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重兴园10套住宅-门总\"/>
    </mc:Choice>
  </mc:AlternateContent>
  <xr:revisionPtr revIDLastSave="0" documentId="13_ncr:1_{37FC3E3F-A6B8-411D-9D8C-E2A15B69DD37}" xr6:coauthVersionLast="47" xr6:coauthVersionMax="47" xr10:uidLastSave="{00000000-0000-0000-0000-000000000000}"/>
  <bookViews>
    <workbookView xWindow="-108" yWindow="-108" windowWidth="20376" windowHeight="12216" tabRatio="899" firstSheet="17" activeTab="3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工业" sheetId="40" state="hidden" r:id="rId31"/>
    <sheet name="土地比较法-住宅、综合" sheetId="39" r:id="rId32"/>
    <sheet name="典型户型修正" sheetId="31" r:id="rId33"/>
    <sheet name="基准地价（汇总）" sheetId="76" state="hidden" r:id="rId34"/>
    <sheet name="信息" sheetId="80" r:id="rId35"/>
    <sheet name="住宅成交案例" sheetId="82" r:id="rId36"/>
    <sheet name="土地案例信息" sheetId="87" r:id="rId37"/>
    <sheet name="土地案例1" sheetId="88" r:id="rId38"/>
    <sheet name="土地案例2" sheetId="89" r:id="rId39"/>
    <sheet name="土地案例3" sheetId="90" r:id="rId40"/>
    <sheet name="修正" sheetId="45" state="hidden" r:id="rId41"/>
    <sheet name="容积率修正" sheetId="46" r:id="rId42"/>
    <sheet name="成本法（废）" sheetId="11" state="hidden" r:id="rId43"/>
    <sheet name="基准地价修正" sheetId="43" r:id="rId44"/>
    <sheet name="收益法 (元)" sheetId="67" r:id="rId45"/>
    <sheet name="区片价" sheetId="44" r:id="rId46"/>
    <sheet name="因素修正幅度" sheetId="65" state="hidden" r:id="rId47"/>
    <sheet name="区片价（范围）" sheetId="75" state="hidden" r:id="rId48"/>
    <sheet name="地价-分区" sheetId="79" r:id="rId49"/>
    <sheet name="地价" sheetId="71" r:id="rId50"/>
    <sheet name="存贷款利率" sheetId="73" r:id="rId51"/>
  </sheets>
  <externalReferences>
    <externalReference r:id="rId5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19"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44">'收益法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0">'土地比较法-工业'!$A$1:$K$61,'土地比较法-工业'!$A$64:$M$121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E8" i="87" l="1"/>
  <c r="G46" i="39"/>
  <c r="E46" i="39"/>
  <c r="I38" i="39"/>
  <c r="G38" i="39"/>
  <c r="E38" i="39"/>
  <c r="I7" i="39"/>
  <c r="G7" i="39"/>
  <c r="E7" i="39"/>
  <c r="I5" i="39"/>
  <c r="G5" i="39"/>
  <c r="E5" i="39"/>
  <c r="F66" i="21" l="1"/>
  <c r="E66" i="21" s="1"/>
  <c r="D66" i="21" s="1"/>
  <c r="C66" i="21" s="1"/>
  <c r="C84" i="39" s="1"/>
  <c r="G66" i="21"/>
  <c r="H66" i="21"/>
  <c r="D117" i="39"/>
  <c r="E117" i="39" s="1"/>
  <c r="F117" i="39" s="1"/>
  <c r="G117" i="39" s="1"/>
  <c r="I83" i="39"/>
  <c r="I84" i="39"/>
  <c r="D83" i="39"/>
  <c r="E83" i="39"/>
  <c r="F83" i="39"/>
  <c r="G83" i="39"/>
  <c r="H83" i="39"/>
  <c r="G84" i="39"/>
  <c r="H84" i="39"/>
  <c r="C83" i="39"/>
  <c r="J49" i="67"/>
  <c r="B14" i="74"/>
  <c r="D33" i="43"/>
  <c r="O18" i="1"/>
  <c r="B58" i="1"/>
  <c r="D24" i="31"/>
  <c r="D5" i="31"/>
  <c r="E5" i="31"/>
  <c r="C5" i="31"/>
  <c r="E91" i="21"/>
  <c r="D91" i="21"/>
  <c r="D3" i="31"/>
  <c r="E3" i="31"/>
  <c r="F3" i="31"/>
  <c r="D4" i="31"/>
  <c r="E4" i="31"/>
  <c r="F4" i="31"/>
  <c r="C4" i="31"/>
  <c r="C3" i="31"/>
  <c r="B25" i="31"/>
  <c r="B26" i="31"/>
  <c r="B27" i="31"/>
  <c r="B28" i="31"/>
  <c r="B29" i="31"/>
  <c r="B30" i="31"/>
  <c r="B31" i="31"/>
  <c r="B32" i="31"/>
  <c r="B33" i="31"/>
  <c r="A26" i="31"/>
  <c r="A27" i="31"/>
  <c r="A28" i="31"/>
  <c r="A29" i="31"/>
  <c r="A30" i="31"/>
  <c r="A31" i="31"/>
  <c r="A32" i="31"/>
  <c r="A33" i="31"/>
  <c r="A25" i="31"/>
  <c r="B24" i="31"/>
  <c r="Y6" i="1"/>
  <c r="E104" i="21"/>
  <c r="F104" i="21" s="1"/>
  <c r="D104" i="21"/>
  <c r="I37" i="21"/>
  <c r="G37" i="21"/>
  <c r="E37" i="21"/>
  <c r="C37" i="21"/>
  <c r="I47" i="21"/>
  <c r="G47" i="21"/>
  <c r="E47" i="21"/>
  <c r="C33" i="21"/>
  <c r="I33" i="21"/>
  <c r="G33" i="21"/>
  <c r="E33" i="21"/>
  <c r="I7" i="21"/>
  <c r="G7" i="21"/>
  <c r="E7" i="21"/>
  <c r="I5" i="21"/>
  <c r="G5" i="21"/>
  <c r="E5" i="21"/>
  <c r="F84" i="39" l="1"/>
  <c r="E84" i="39"/>
  <c r="D84" i="39"/>
  <c r="N6" i="1"/>
  <c r="M21" i="1"/>
  <c r="M19" i="1"/>
  <c r="M18" i="1"/>
  <c r="L31" i="1"/>
  <c r="L43" i="1" s="1"/>
  <c r="K31" i="1"/>
  <c r="K43" i="1" s="1"/>
  <c r="L42" i="1" l="1"/>
  <c r="K42" i="1"/>
  <c r="K41" i="1"/>
  <c r="L41" i="1"/>
  <c r="B21" i="1" l="1"/>
  <c r="C19" i="6"/>
  <c r="F19" i="6"/>
  <c r="O5" i="80"/>
  <c r="C14" i="3"/>
  <c r="C15" i="3"/>
  <c r="C16" i="3"/>
  <c r="C17" i="3"/>
  <c r="C18" i="3"/>
  <c r="C19" i="3"/>
  <c r="C20" i="3"/>
  <c r="C21" i="3"/>
  <c r="C22" i="3"/>
  <c r="C13" i="3"/>
  <c r="I22" i="3"/>
  <c r="I14" i="3"/>
  <c r="I15" i="3"/>
  <c r="I16" i="3"/>
  <c r="I17" i="3"/>
  <c r="I18" i="3"/>
  <c r="I19" i="3"/>
  <c r="I20" i="3"/>
  <c r="I21" i="3"/>
  <c r="I13" i="3"/>
  <c r="D60" i="78"/>
  <c r="C60" i="78"/>
  <c r="D53" i="78"/>
  <c r="D52" i="78"/>
  <c r="B51" i="78"/>
  <c r="B56" i="78" s="1"/>
  <c r="B55" i="78" l="1"/>
  <c r="D55" i="78" s="1"/>
  <c r="D51" i="78"/>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28" i="79" l="1"/>
  <c r="AD28" i="79" s="1"/>
  <c r="S42" i="79"/>
  <c r="AD32" i="79"/>
  <c r="AD31" i="79"/>
  <c r="Z3" i="79"/>
  <c r="T34" i="79"/>
  <c r="W34" i="79" s="1"/>
  <c r="U40" i="79"/>
  <c r="AD41"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C47" i="71" s="1"/>
  <c r="D47" i="71" s="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X38" i="71" s="1"/>
  <c r="Q37" i="71"/>
  <c r="P37" i="71"/>
  <c r="O37" i="71"/>
  <c r="Y37" i="71" s="1"/>
  <c r="Z37" i="71" s="1"/>
  <c r="N37" i="71"/>
  <c r="B38" i="71" s="1"/>
  <c r="D37" i="71"/>
  <c r="Q36" i="71"/>
  <c r="P36" i="71"/>
  <c r="AA35" i="71" s="1"/>
  <c r="O36" i="71"/>
  <c r="N36" i="71"/>
  <c r="X35" i="71" s="1"/>
  <c r="Q35" i="71"/>
  <c r="P35" i="71"/>
  <c r="O35" i="71"/>
  <c r="Y35" i="71"/>
  <c r="Z35" i="71" s="1"/>
  <c r="N35" i="71"/>
  <c r="Q34" i="71"/>
  <c r="P34" i="71"/>
  <c r="O34" i="71"/>
  <c r="N34" i="71"/>
  <c r="F36" i="71"/>
  <c r="V36" i="71" s="1"/>
  <c r="Q33" i="71"/>
  <c r="F34" i="71" s="1"/>
  <c r="F35" i="71" s="1"/>
  <c r="P33" i="71"/>
  <c r="O33" i="71"/>
  <c r="C34" i="71" s="1"/>
  <c r="N33" i="71"/>
  <c r="D33" i="71"/>
  <c r="Q32" i="71"/>
  <c r="P32" i="71"/>
  <c r="O32" i="71"/>
  <c r="N32" i="71"/>
  <c r="Q31" i="71"/>
  <c r="P31" i="71"/>
  <c r="O31" i="71"/>
  <c r="N31" i="71"/>
  <c r="Q30" i="71"/>
  <c r="P30" i="71"/>
  <c r="AA3" i="71" s="1"/>
  <c r="O30" i="71"/>
  <c r="N30" i="71"/>
  <c r="Q29" i="71"/>
  <c r="P29" i="71"/>
  <c r="O29" i="71"/>
  <c r="N29" i="71"/>
  <c r="X25" i="71" s="1"/>
  <c r="D29" i="71"/>
  <c r="O28" i="71"/>
  <c r="C28" i="71" s="1"/>
  <c r="C27" i="71" s="1"/>
  <c r="N28" i="71"/>
  <c r="B30" i="71"/>
  <c r="B31" i="71"/>
  <c r="B32" i="71" s="1"/>
  <c r="S32" i="71" s="1"/>
  <c r="E30" i="71"/>
  <c r="E31" i="71" s="1"/>
  <c r="E32" i="71" s="1"/>
  <c r="U32" i="71" s="1"/>
  <c r="B39" i="71"/>
  <c r="B40" i="71" s="1"/>
  <c r="S40" i="71" s="1"/>
  <c r="E34" i="71"/>
  <c r="E35" i="71" s="1"/>
  <c r="E36" i="71" s="1"/>
  <c r="U36" i="71" s="1"/>
  <c r="C30" i="71"/>
  <c r="AA30" i="71"/>
  <c r="X36" i="71"/>
  <c r="C38" i="71"/>
  <c r="D38" i="71" s="1"/>
  <c r="AA38" i="71"/>
  <c r="B28" i="71"/>
  <c r="C31" i="71"/>
  <c r="C32" i="71" s="1"/>
  <c r="D30" i="71"/>
  <c r="D50" i="71"/>
  <c r="P28" i="71"/>
  <c r="E28" i="71" s="1"/>
  <c r="E59" i="71"/>
  <c r="E60" i="71" s="1"/>
  <c r="U60" i="71" s="1"/>
  <c r="U68" i="71"/>
  <c r="E67" i="71"/>
  <c r="Q28" i="71"/>
  <c r="D58" i="71"/>
  <c r="C63" i="71"/>
  <c r="C64" i="71" s="1"/>
  <c r="D62" i="71"/>
  <c r="T68" i="71"/>
  <c r="D68" i="71"/>
  <c r="C67" i="71"/>
  <c r="E71" i="71"/>
  <c r="E70" i="71"/>
  <c r="D72" i="71"/>
  <c r="D76" i="71"/>
  <c r="D80" i="71"/>
  <c r="C87" i="71"/>
  <c r="C86" i="71" s="1"/>
  <c r="D86" i="71" s="1"/>
  <c r="F28" i="71"/>
  <c r="F27" i="71"/>
  <c r="F26" i="71" s="1"/>
  <c r="AB28" i="71"/>
  <c r="D63" i="71"/>
  <c r="D87" i="71"/>
  <c r="P67" i="71"/>
  <c r="E66" i="71"/>
  <c r="P65" i="71" s="1"/>
  <c r="C52" i="7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C21" i="34"/>
  <c r="Q21" i="33"/>
  <c r="Z21" i="33" s="1"/>
  <c r="D83" i="33"/>
  <c r="E83" i="33" s="1"/>
  <c r="F83" i="33" s="1"/>
  <c r="G83" i="33" s="1"/>
  <c r="C21" i="33"/>
  <c r="C21" i="21"/>
  <c r="Q21" i="21"/>
  <c r="Z21" i="21" s="1"/>
  <c r="H19" i="21"/>
  <c r="D83" i="21"/>
  <c r="F21" i="21"/>
  <c r="AA21" i="21" s="1"/>
  <c r="D81" i="21"/>
  <c r="G20" i="20"/>
  <c r="C22" i="20"/>
  <c r="B100" i="43" s="1"/>
  <c r="B57" i="43"/>
  <c r="B68" i="43"/>
  <c r="C29" i="39"/>
  <c r="S18" i="36"/>
  <c r="H25" i="40"/>
  <c r="AB25" i="40" s="1"/>
  <c r="J25" i="40"/>
  <c r="H29" i="39"/>
  <c r="J29" i="39"/>
  <c r="AC29" i="39" s="1"/>
  <c r="J18" i="36"/>
  <c r="AC18" i="36" s="1"/>
  <c r="H18" i="35"/>
  <c r="AB18" i="35" s="1"/>
  <c r="J18" i="35"/>
  <c r="W18" i="35" s="1"/>
  <c r="H21" i="37"/>
  <c r="AB21" i="37" s="1"/>
  <c r="F21" i="37"/>
  <c r="F84" i="34"/>
  <c r="H21" i="34"/>
  <c r="AB21" i="34" s="1"/>
  <c r="H21" i="33"/>
  <c r="U21" i="33" s="1"/>
  <c r="F21" i="33"/>
  <c r="E83" i="21"/>
  <c r="F83" i="21" s="1"/>
  <c r="H1" i="69"/>
  <c r="AC25" i="40"/>
  <c r="W25" i="40"/>
  <c r="U25" i="40"/>
  <c r="W18" i="36"/>
  <c r="U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4" i="31"/>
  <c r="S34" i="31" s="1"/>
  <c r="R35" i="31"/>
  <c r="S35" i="31" s="1"/>
  <c r="R36" i="31"/>
  <c r="R37" i="31"/>
  <c r="S37" i="31" s="1"/>
  <c r="R38" i="31"/>
  <c r="R39" i="31"/>
  <c r="S39" i="31" s="1"/>
  <c r="R40" i="31"/>
  <c r="R41" i="31"/>
  <c r="S41" i="31" s="1"/>
  <c r="R42" i="31"/>
  <c r="R43" i="31"/>
  <c r="S43" i="31" s="1"/>
  <c r="R44" i="31"/>
  <c r="R45" i="31"/>
  <c r="S45" i="31" s="1"/>
  <c r="R46" i="31"/>
  <c r="S46" i="31" s="1"/>
  <c r="R47" i="31"/>
  <c r="R48" i="31"/>
  <c r="R49" i="31"/>
  <c r="S49" i="31" s="1"/>
  <c r="R50" i="31"/>
  <c r="S50" i="31" s="1"/>
  <c r="R51" i="31"/>
  <c r="S51" i="31" s="1"/>
  <c r="R52" i="31"/>
  <c r="R53" i="31"/>
  <c r="S53" i="31" s="1"/>
  <c r="R54" i="31"/>
  <c r="R55" i="31"/>
  <c r="S55" i="31" s="1"/>
  <c r="R56" i="31"/>
  <c r="R57" i="31"/>
  <c r="S57" i="31" s="1"/>
  <c r="R58" i="31"/>
  <c r="S58" i="31" s="1"/>
  <c r="R59" i="31"/>
  <c r="S59" i="31" s="1"/>
  <c r="R60" i="31"/>
  <c r="R61" i="31"/>
  <c r="S61" i="31" s="1"/>
  <c r="R62" i="31"/>
  <c r="S62" i="31" s="1"/>
  <c r="R63" i="31"/>
  <c r="S63" i="31" s="1"/>
  <c r="R64" i="31"/>
  <c r="R65" i="31"/>
  <c r="S65" i="31" s="1"/>
  <c r="R66" i="31"/>
  <c r="S66" i="31" s="1"/>
  <c r="R67" i="31"/>
  <c r="S67" i="31" s="1"/>
  <c r="R68" i="31"/>
  <c r="R69" i="31"/>
  <c r="S69" i="31" s="1"/>
  <c r="R70" i="31"/>
  <c r="S70" i="31" s="1"/>
  <c r="R71" i="31"/>
  <c r="S71" i="31" s="1"/>
  <c r="R72" i="31"/>
  <c r="R73" i="31"/>
  <c r="S73" i="31" s="1"/>
  <c r="R74" i="31"/>
  <c r="S74" i="31" s="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R94" i="31"/>
  <c r="S94" i="31" s="1"/>
  <c r="R95" i="31"/>
  <c r="R96" i="31"/>
  <c r="R97" i="31"/>
  <c r="S97" i="31" s="1"/>
  <c r="R98" i="31"/>
  <c r="S98" i="31" s="1"/>
  <c r="R99" i="31"/>
  <c r="S99" i="31" s="1"/>
  <c r="R100" i="31"/>
  <c r="R101" i="31"/>
  <c r="S101" i="31" s="1"/>
  <c r="R102" i="31"/>
  <c r="S102" i="31" s="1"/>
  <c r="R103" i="31"/>
  <c r="R104" i="31"/>
  <c r="R105" i="31"/>
  <c r="S105" i="31" s="1"/>
  <c r="R106" i="31"/>
  <c r="S106" i="31" s="1"/>
  <c r="R107" i="31"/>
  <c r="S107" i="31" s="1"/>
  <c r="R108" i="31"/>
  <c r="R109" i="31"/>
  <c r="S109" i="31" s="1"/>
  <c r="R110" i="31"/>
  <c r="S110" i="31" s="1"/>
  <c r="R111" i="31"/>
  <c r="R112" i="31"/>
  <c r="R113" i="31"/>
  <c r="R114" i="31"/>
  <c r="S114" i="31" s="1"/>
  <c r="R115" i="31"/>
  <c r="S115" i="31" s="1"/>
  <c r="R116" i="31"/>
  <c r="R117" i="31"/>
  <c r="S117" i="31" s="1"/>
  <c r="R118" i="31"/>
  <c r="S118" i="31" s="1"/>
  <c r="R119" i="31"/>
  <c r="S119" i="31" s="1"/>
  <c r="R120" i="31"/>
  <c r="R121" i="31"/>
  <c r="S121" i="31" s="1"/>
  <c r="R122" i="31"/>
  <c r="S122" i="31" s="1"/>
  <c r="R123" i="31"/>
  <c r="R124" i="31"/>
  <c r="R125" i="31"/>
  <c r="S125" i="31" s="1"/>
  <c r="R126" i="31"/>
  <c r="S126" i="31" s="1"/>
  <c r="R127" i="31"/>
  <c r="S127" i="31" s="1"/>
  <c r="R128" i="31"/>
  <c r="R129" i="31"/>
  <c r="S129" i="31" s="1"/>
  <c r="R130" i="31"/>
  <c r="S130" i="31" s="1"/>
  <c r="R131" i="31"/>
  <c r="R132" i="31"/>
  <c r="R133" i="31"/>
  <c r="S133" i="31" s="1"/>
  <c r="R134" i="31"/>
  <c r="S134" i="31" s="1"/>
  <c r="R135" i="31"/>
  <c r="S135" i="31" s="1"/>
  <c r="R136" i="31"/>
  <c r="R137" i="31"/>
  <c r="S137" i="31" s="1"/>
  <c r="R138" i="31"/>
  <c r="S138" i="31" s="1"/>
  <c r="R139" i="31"/>
  <c r="R140" i="31"/>
  <c r="R141" i="31"/>
  <c r="S141" i="31" s="1"/>
  <c r="R142" i="31"/>
  <c r="S142" i="31" s="1"/>
  <c r="R143" i="31"/>
  <c r="S143" i="31" s="1"/>
  <c r="R144" i="31"/>
  <c r="R145" i="3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R178" i="31"/>
  <c r="S178" i="31" s="1"/>
  <c r="R179" i="31"/>
  <c r="S179" i="31" s="1"/>
  <c r="R180" i="31"/>
  <c r="R181" i="31"/>
  <c r="S181" i="31" s="1"/>
  <c r="R182" i="31"/>
  <c r="S182" i="31" s="1"/>
  <c r="R183" i="31"/>
  <c r="R184" i="31"/>
  <c r="R185" i="31"/>
  <c r="S185" i="31" s="1"/>
  <c r="R186" i="31"/>
  <c r="S186" i="31" s="1"/>
  <c r="R187" i="31"/>
  <c r="S187" i="31" s="1"/>
  <c r="R188" i="31"/>
  <c r="R189" i="31"/>
  <c r="S189" i="31" s="1"/>
  <c r="R190" i="31"/>
  <c r="S190" i="31" s="1"/>
  <c r="R191" i="31"/>
  <c r="R192" i="31"/>
  <c r="R193" i="31"/>
  <c r="S193" i="31" s="1"/>
  <c r="R194" i="31"/>
  <c r="S194" i="31" s="1"/>
  <c r="R195" i="31"/>
  <c r="S195" i="31" s="1"/>
  <c r="R196" i="31"/>
  <c r="R197" i="31"/>
  <c r="S197" i="31" s="1"/>
  <c r="R198" i="31"/>
  <c r="S198" i="31" s="1"/>
  <c r="R199" i="31"/>
  <c r="R200" i="31"/>
  <c r="R201" i="31"/>
  <c r="S201" i="31" s="1"/>
  <c r="R202" i="31"/>
  <c r="S202" i="31" s="1"/>
  <c r="R203" i="31"/>
  <c r="S203" i="31" s="1"/>
  <c r="R204" i="31"/>
  <c r="R205" i="31"/>
  <c r="S205" i="31" s="1"/>
  <c r="R206" i="31"/>
  <c r="S206" i="31" s="1"/>
  <c r="R207" i="31"/>
  <c r="R208" i="31"/>
  <c r="R209" i="3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R226" i="31"/>
  <c r="S226" i="31" s="1"/>
  <c r="R227" i="31"/>
  <c r="S227" i="31" s="1"/>
  <c r="R228" i="31"/>
  <c r="R229" i="31"/>
  <c r="S229" i="31" s="1"/>
  <c r="R230" i="31"/>
  <c r="S230" i="31" s="1"/>
  <c r="R231" i="31"/>
  <c r="R232" i="31"/>
  <c r="R233" i="31"/>
  <c r="S233" i="31" s="1"/>
  <c r="R234" i="31"/>
  <c r="S234" i="31" s="1"/>
  <c r="R235" i="31"/>
  <c r="S235" i="31" s="1"/>
  <c r="R236" i="31"/>
  <c r="R237" i="31"/>
  <c r="S237" i="31" s="1"/>
  <c r="R238" i="31"/>
  <c r="S238" i="31" s="1"/>
  <c r="R239" i="31"/>
  <c r="R240" i="31"/>
  <c r="R241" i="3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S430" i="31" s="1"/>
  <c r="R431" i="31"/>
  <c r="R432" i="31"/>
  <c r="S432" i="31" s="1"/>
  <c r="R433" i="31"/>
  <c r="S433" i="31" s="1"/>
  <c r="R434" i="31"/>
  <c r="R435" i="31"/>
  <c r="S435" i="31" s="1"/>
  <c r="R436" i="31"/>
  <c r="S436" i="31" s="1"/>
  <c r="R437" i="31"/>
  <c r="R438" i="3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R463" i="31"/>
  <c r="S463" i="31" s="1"/>
  <c r="R464" i="31"/>
  <c r="S464" i="31" s="1"/>
  <c r="R465" i="31"/>
  <c r="R466" i="31"/>
  <c r="R467" i="31"/>
  <c r="S467" i="31" s="1"/>
  <c r="R468" i="31"/>
  <c r="S468" i="31" s="1"/>
  <c r="R469" i="31"/>
  <c r="S469" i="31" s="1"/>
  <c r="R470" i="31"/>
  <c r="S470" i="31" s="1"/>
  <c r="R471" i="31"/>
  <c r="R472" i="31"/>
  <c r="S472" i="31" s="1"/>
  <c r="R473" i="31"/>
  <c r="S473" i="31" s="1"/>
  <c r="R474" i="31"/>
  <c r="S474" i="31" s="1"/>
  <c r="R475" i="31"/>
  <c r="S475" i="31" s="1"/>
  <c r="R476" i="31"/>
  <c r="S476" i="31" s="1"/>
  <c r="R477" i="31"/>
  <c r="R478" i="31"/>
  <c r="S478" i="31" s="1"/>
  <c r="R479" i="31"/>
  <c r="R480" i="31"/>
  <c r="S480" i="31" s="1"/>
  <c r="R481" i="31"/>
  <c r="S481" i="31" s="1"/>
  <c r="R482" i="31"/>
  <c r="R483" i="31"/>
  <c r="S483" i="31" s="1"/>
  <c r="R484" i="31"/>
  <c r="S484" i="31" s="1"/>
  <c r="R485" i="31"/>
  <c r="S485" i="31" s="1"/>
  <c r="R486" i="31"/>
  <c r="S486" i="31" s="1"/>
  <c r="R487" i="31"/>
  <c r="R488" i="31"/>
  <c r="S488" i="31" s="1"/>
  <c r="R489" i="31"/>
  <c r="S489" i="31" s="1"/>
  <c r="R490" i="31"/>
  <c r="R491" i="31"/>
  <c r="S491" i="31" s="1"/>
  <c r="R492" i="31"/>
  <c r="S492" i="31" s="1"/>
  <c r="R493" i="31"/>
  <c r="R494" i="31"/>
  <c r="S494" i="31" s="1"/>
  <c r="R495" i="31"/>
  <c r="S495" i="31" s="1"/>
  <c r="R496" i="31"/>
  <c r="S496" i="31" s="1"/>
  <c r="R497" i="31"/>
  <c r="S497" i="31" s="1"/>
  <c r="R498" i="31"/>
  <c r="S498" i="31" s="1"/>
  <c r="R499" i="31"/>
  <c r="S499" i="31" s="1"/>
  <c r="R500" i="31"/>
  <c r="R501" i="31"/>
  <c r="S501" i="31" s="1"/>
  <c r="R502" i="3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R515" i="31"/>
  <c r="R516" i="31"/>
  <c r="S516" i="31" s="1"/>
  <c r="R517" i="31"/>
  <c r="S517" i="31" s="1"/>
  <c r="R518" i="31"/>
  <c r="S518" i="31" s="1"/>
  <c r="R519" i="31"/>
  <c r="S519" i="31" s="1"/>
  <c r="R520" i="31"/>
  <c r="S520" i="31" s="1"/>
  <c r="R521" i="31"/>
  <c r="S521" i="31" s="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390" i="31"/>
  <c r="S382" i="31"/>
  <c r="S364" i="31"/>
  <c r="S362" i="31"/>
  <c r="S338" i="31"/>
  <c r="S332" i="31"/>
  <c r="S318" i="31"/>
  <c r="S310" i="31"/>
  <c r="S300" i="31"/>
  <c r="S298" i="31"/>
  <c r="S284" i="31"/>
  <c r="S280" i="31"/>
  <c r="S276" i="31"/>
  <c r="S272" i="31"/>
  <c r="S270" i="31"/>
  <c r="S268" i="31"/>
  <c r="S264" i="31"/>
  <c r="S260" i="31"/>
  <c r="S256" i="31"/>
  <c r="S252" i="31"/>
  <c r="S248" i="31"/>
  <c r="S244" i="31"/>
  <c r="S241" i="31"/>
  <c r="S240" i="31"/>
  <c r="S239" i="31"/>
  <c r="S236" i="31"/>
  <c r="S232" i="31"/>
  <c r="S231" i="31"/>
  <c r="S228" i="31"/>
  <c r="S225" i="31"/>
  <c r="S224" i="31"/>
  <c r="S426" i="31"/>
  <c r="S220" i="31"/>
  <c r="S216" i="31"/>
  <c r="S212" i="31"/>
  <c r="S209" i="31"/>
  <c r="S208" i="31"/>
  <c r="S207" i="31"/>
  <c r="S204" i="31"/>
  <c r="S200" i="31"/>
  <c r="S199" i="31"/>
  <c r="S196" i="31"/>
  <c r="S192" i="31"/>
  <c r="S191" i="31"/>
  <c r="S188" i="31"/>
  <c r="S184" i="31"/>
  <c r="S183" i="31"/>
  <c r="S180" i="31"/>
  <c r="S177" i="31"/>
  <c r="S176" i="31"/>
  <c r="S172" i="31"/>
  <c r="S168" i="31"/>
  <c r="S164" i="31"/>
  <c r="S160" i="31"/>
  <c r="S156" i="31"/>
  <c r="S152" i="31"/>
  <c r="S148" i="31"/>
  <c r="S145" i="31"/>
  <c r="S144" i="31"/>
  <c r="S140" i="31"/>
  <c r="S139" i="31"/>
  <c r="S136" i="31"/>
  <c r="S132" i="31"/>
  <c r="S131" i="31"/>
  <c r="S128" i="31"/>
  <c r="S124" i="31"/>
  <c r="S123" i="31"/>
  <c r="S493" i="31"/>
  <c r="S490" i="31"/>
  <c r="S487" i="31"/>
  <c r="S482" i="31"/>
  <c r="S479" i="31"/>
  <c r="S477" i="31"/>
  <c r="S471" i="31"/>
  <c r="S438" i="31"/>
  <c r="S437" i="31"/>
  <c r="S434" i="31"/>
  <c r="S431" i="31"/>
  <c r="S120" i="31"/>
  <c r="S116" i="31"/>
  <c r="S113" i="31"/>
  <c r="S112" i="31"/>
  <c r="S502" i="31"/>
  <c r="S500" i="31"/>
  <c r="S466" i="31"/>
  <c r="S465" i="31"/>
  <c r="S462" i="31"/>
  <c r="S459" i="31"/>
  <c r="S54" i="31"/>
  <c r="S52" i="31"/>
  <c r="S48" i="31"/>
  <c r="S47" i="31"/>
  <c r="S44" i="31"/>
  <c r="S42" i="31"/>
  <c r="S40" i="31"/>
  <c r="S38" i="31"/>
  <c r="S36" i="31"/>
  <c r="S76" i="31"/>
  <c r="S72" i="31"/>
  <c r="S68" i="31"/>
  <c r="S64" i="31"/>
  <c r="S60" i="31"/>
  <c r="S56" i="31"/>
  <c r="S96" i="31"/>
  <c r="S95" i="31"/>
  <c r="S93" i="31"/>
  <c r="S92" i="31"/>
  <c r="S88" i="31"/>
  <c r="S84" i="31"/>
  <c r="S80" i="31"/>
  <c r="S100" i="31"/>
  <c r="S103" i="31"/>
  <c r="S104" i="31"/>
  <c r="S108" i="31"/>
  <c r="S111" i="31"/>
  <c r="S449"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A493" i="3" s="1"/>
  <c r="BD493" i="3"/>
  <c r="BE493" i="3"/>
  <c r="BF493" i="3"/>
  <c r="BG493" i="3"/>
  <c r="BH493" i="3"/>
  <c r="BI493" i="3"/>
  <c r="BJ493" i="3"/>
  <c r="BK493" i="3"/>
  <c r="BM493" i="3"/>
  <c r="BN493" i="3"/>
  <c r="BO493" i="3"/>
  <c r="BP493" i="3"/>
  <c r="BR493" i="3"/>
  <c r="BS493" i="3"/>
  <c r="BT493" i="3"/>
  <c r="H494" i="3"/>
  <c r="AC494" i="3"/>
  <c r="BB494" i="3"/>
  <c r="BC494" i="3"/>
  <c r="BD494" i="3"/>
  <c r="BA494" i="3" s="1"/>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L496" i="3" s="1"/>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T497" i="3"/>
  <c r="H498" i="3"/>
  <c r="AC498" i="3"/>
  <c r="BB498" i="3"/>
  <c r="BC498" i="3"/>
  <c r="BD498" i="3"/>
  <c r="BE498" i="3"/>
  <c r="BF498" i="3"/>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O500" i="3"/>
  <c r="BP500" i="3"/>
  <c r="BQ500" i="3"/>
  <c r="BR500" i="3"/>
  <c r="BS500" i="3"/>
  <c r="BT500" i="3"/>
  <c r="H501" i="3"/>
  <c r="AC501" i="3"/>
  <c r="BB501" i="3"/>
  <c r="BC501" i="3"/>
  <c r="BA501" i="3" s="1"/>
  <c r="AZ501" i="3" s="1"/>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BO505" i="3"/>
  <c r="BP505" i="3"/>
  <c r="BR505" i="3"/>
  <c r="BS505" i="3"/>
  <c r="BT505" i="3"/>
  <c r="H506" i="3"/>
  <c r="AC506" i="3"/>
  <c r="BB506" i="3"/>
  <c r="BA506" i="3" s="1"/>
  <c r="BC506" i="3"/>
  <c r="BD506" i="3"/>
  <c r="BE506" i="3"/>
  <c r="BF506" i="3"/>
  <c r="BG506" i="3"/>
  <c r="BH506" i="3"/>
  <c r="BI506" i="3"/>
  <c r="BJ506" i="3"/>
  <c r="BJ5" i="3" s="1"/>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C5" i="3" s="1"/>
  <c r="BD508" i="3"/>
  <c r="BE508" i="3"/>
  <c r="BF508" i="3"/>
  <c r="BG508" i="3"/>
  <c r="BH508" i="3"/>
  <c r="BI508" i="3"/>
  <c r="BJ508" i="3"/>
  <c r="BK508" i="3"/>
  <c r="BK5" i="3" s="1"/>
  <c r="BM508" i="3"/>
  <c r="BN508" i="3"/>
  <c r="BO508" i="3"/>
  <c r="BP508" i="3"/>
  <c r="BQ508" i="3"/>
  <c r="BR508" i="3"/>
  <c r="BS508" i="3"/>
  <c r="BT508" i="3"/>
  <c r="H509" i="3"/>
  <c r="BB509" i="3"/>
  <c r="BC509" i="3"/>
  <c r="BD509" i="3"/>
  <c r="BE509" i="3"/>
  <c r="BF509" i="3"/>
  <c r="BG509" i="3"/>
  <c r="BH509" i="3"/>
  <c r="BI509" i="3"/>
  <c r="BJ509" i="3"/>
  <c r="BK509" i="3"/>
  <c r="BM509" i="3"/>
  <c r="BL509" i="3" s="1"/>
  <c r="AZ509" i="3" s="1"/>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L517" i="3" s="1"/>
  <c r="BN517" i="3"/>
  <c r="BO517" i="3"/>
  <c r="BP517" i="3"/>
  <c r="BR517" i="3"/>
  <c r="BS517" i="3"/>
  <c r="BT517" i="3"/>
  <c r="H518" i="3"/>
  <c r="AC518" i="3"/>
  <c r="BB518" i="3"/>
  <c r="BA518" i="3" s="1"/>
  <c r="AZ518" i="3" s="1"/>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L525" i="3" s="1"/>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A529" i="3" s="1"/>
  <c r="AZ529" i="3" s="1"/>
  <c r="BD529" i="3"/>
  <c r="BE529" i="3"/>
  <c r="BF529" i="3"/>
  <c r="BG529" i="3"/>
  <c r="BH529" i="3"/>
  <c r="BI529" i="3"/>
  <c r="BJ529" i="3"/>
  <c r="BK529" i="3"/>
  <c r="BM529" i="3"/>
  <c r="BL529" i="3" s="1"/>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A532" i="3" s="1"/>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AZ536" i="3" s="1"/>
  <c r="BD536" i="3"/>
  <c r="BE536" i="3"/>
  <c r="BF536" i="3"/>
  <c r="BG536" i="3"/>
  <c r="BH536" i="3"/>
  <c r="BI536" i="3"/>
  <c r="BJ536" i="3"/>
  <c r="BK536" i="3"/>
  <c r="BM536" i="3"/>
  <c r="BL536" i="3" s="1"/>
  <c r="BN536" i="3"/>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A546" i="3" s="1"/>
  <c r="AZ546" i="3" s="1"/>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A564" i="3" s="1"/>
  <c r="AZ564" i="3" s="1"/>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L571" i="3" s="1"/>
  <c r="BP571" i="3"/>
  <c r="BR571" i="3"/>
  <c r="BS571" i="3"/>
  <c r="BT571" i="3"/>
  <c r="H572" i="3"/>
  <c r="AC572" i="3"/>
  <c r="BB572" i="3"/>
  <c r="BC572" i="3"/>
  <c r="BA572" i="3" s="1"/>
  <c r="AZ572" i="3" s="1"/>
  <c r="BD572" i="3"/>
  <c r="BE572" i="3"/>
  <c r="BF572" i="3"/>
  <c r="BG572" i="3"/>
  <c r="BH572" i="3"/>
  <c r="BI572" i="3"/>
  <c r="BJ572" i="3"/>
  <c r="BK572" i="3"/>
  <c r="BM572" i="3"/>
  <c r="BL572" i="3" s="1"/>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L574" i="3" s="1"/>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L581" i="3" s="1"/>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22" i="31"/>
  <c r="S523" i="31"/>
  <c r="F41" i="21"/>
  <c r="S41" i="21" s="1"/>
  <c r="J41" i="21"/>
  <c r="AC41" i="21" s="1"/>
  <c r="H41" i="21"/>
  <c r="U41" i="21" s="1"/>
  <c r="D80" i="39"/>
  <c r="E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J11" i="36" s="1"/>
  <c r="AC11" i="36" s="1"/>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s="1"/>
  <c r="F23" i="36"/>
  <c r="AA23" i="36"/>
  <c r="Q22" i="36"/>
  <c r="Z22" i="36" s="1"/>
  <c r="J22" i="36"/>
  <c r="AC22" i="36"/>
  <c r="Q20" i="36"/>
  <c r="Z20" i="36" s="1"/>
  <c r="Q16" i="36"/>
  <c r="Z16" i="36" s="1"/>
  <c r="Q14" i="36"/>
  <c r="Z14" i="36" s="1"/>
  <c r="Q13" i="36"/>
  <c r="Z13" i="36" s="1"/>
  <c r="Q12" i="36"/>
  <c r="Z12" i="36" s="1"/>
  <c r="H12" i="36"/>
  <c r="U12" i="36"/>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F35" i="35" s="1"/>
  <c r="AA35" i="35" s="1"/>
  <c r="B97" i="35"/>
  <c r="B77" i="35"/>
  <c r="B75" i="35"/>
  <c r="J24" i="35" s="1"/>
  <c r="AC24" i="35"/>
  <c r="B73" i="35"/>
  <c r="J23" i="35" s="1"/>
  <c r="AC23" i="35" s="1"/>
  <c r="H23" i="35"/>
  <c r="U23" i="35" s="1"/>
  <c r="B57" i="35"/>
  <c r="B61" i="35"/>
  <c r="B59" i="35"/>
  <c r="F12" i="35" s="1"/>
  <c r="B131" i="34"/>
  <c r="B129" i="34"/>
  <c r="B127" i="34"/>
  <c r="F45" i="34" s="1"/>
  <c r="S45" i="34" s="1"/>
  <c r="B99" i="34"/>
  <c r="B97" i="34"/>
  <c r="B95" i="34"/>
  <c r="B93" i="34"/>
  <c r="J29" i="34" s="1"/>
  <c r="B75" i="34"/>
  <c r="B73" i="34"/>
  <c r="B71" i="34"/>
  <c r="J12" i="34" s="1"/>
  <c r="W12" i="34" s="1"/>
  <c r="B130" i="33"/>
  <c r="B128" i="33"/>
  <c r="B126" i="33"/>
  <c r="B98" i="33"/>
  <c r="B96" i="33"/>
  <c r="B94" i="33"/>
  <c r="B74" i="33"/>
  <c r="B72" i="33"/>
  <c r="B70" i="33"/>
  <c r="H12" i="33" s="1"/>
  <c r="U12" i="33" s="1"/>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c r="AA40" i="33"/>
  <c r="Q39" i="33"/>
  <c r="Z39" i="33" s="1"/>
  <c r="J39" i="33"/>
  <c r="AC39" i="33" s="1"/>
  <c r="Q38" i="33"/>
  <c r="Z38" i="33" s="1"/>
  <c r="J38" i="33"/>
  <c r="AC38" i="33" s="1"/>
  <c r="H38" i="33"/>
  <c r="AB38" i="33"/>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s="1"/>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J45" i="21"/>
  <c r="W45" i="21" s="1"/>
  <c r="B126" i="21"/>
  <c r="B98" i="21"/>
  <c r="H31" i="21"/>
  <c r="B96" i="21"/>
  <c r="F30" i="21" s="1"/>
  <c r="S30" i="21" s="1"/>
  <c r="B94" i="21"/>
  <c r="J29" i="21"/>
  <c r="AC29" i="21"/>
  <c r="B92" i="21"/>
  <c r="F28" i="21" s="1"/>
  <c r="B90" i="21"/>
  <c r="J27" i="21"/>
  <c r="W27" i="21" s="1"/>
  <c r="B74" i="21"/>
  <c r="F14" i="21" s="1"/>
  <c r="S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AA41" i="21"/>
  <c r="F36" i="39"/>
  <c r="S36" i="39" s="1"/>
  <c r="H36" i="39"/>
  <c r="AB36" i="39"/>
  <c r="J36" i="39"/>
  <c r="AC36" i="39" s="1"/>
  <c r="W25" i="37"/>
  <c r="U30" i="37"/>
  <c r="W31" i="37"/>
  <c r="E103" i="37"/>
  <c r="F103" i="37"/>
  <c r="G103" i="37" s="1"/>
  <c r="H103" i="37" s="1"/>
  <c r="I103" i="37" s="1"/>
  <c r="J103" i="37" s="1"/>
  <c r="K103" i="37" s="1"/>
  <c r="L103" i="37" s="1"/>
  <c r="M103" i="37" s="1"/>
  <c r="F39" i="37"/>
  <c r="S39" i="37" s="1"/>
  <c r="F29" i="36"/>
  <c r="AA29" i="36" s="1"/>
  <c r="F16" i="36"/>
  <c r="AA16" i="36" s="1"/>
  <c r="U31" i="36"/>
  <c r="J33" i="36"/>
  <c r="AC33" i="36" s="1"/>
  <c r="H22" i="35"/>
  <c r="AB22" i="35"/>
  <c r="AC27" i="35"/>
  <c r="U31" i="35"/>
  <c r="W22" i="35"/>
  <c r="S31" i="35"/>
  <c r="U34" i="35"/>
  <c r="F36" i="34"/>
  <c r="J35" i="34"/>
  <c r="W9" i="34"/>
  <c r="H39" i="33"/>
  <c r="AB39" i="33"/>
  <c r="F26" i="33"/>
  <c r="AA26" i="33" s="1"/>
  <c r="U35" i="33"/>
  <c r="S40" i="33"/>
  <c r="W33" i="33"/>
  <c r="S27" i="35"/>
  <c r="F11" i="40"/>
  <c r="AA11" i="40"/>
  <c r="H11" i="40"/>
  <c r="AB11" i="40" s="1"/>
  <c r="AA9" i="40"/>
  <c r="U9" i="40"/>
  <c r="U38" i="40"/>
  <c r="W31" i="40"/>
  <c r="U34" i="40"/>
  <c r="S38" i="40"/>
  <c r="F42" i="39"/>
  <c r="AA42" i="39" s="1"/>
  <c r="H40" i="39"/>
  <c r="AB40" i="39" s="1"/>
  <c r="H39" i="39"/>
  <c r="U39" i="39" s="1"/>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H27" i="39"/>
  <c r="U27" i="39" s="1"/>
  <c r="J19" i="39"/>
  <c r="AC19" i="39" s="1"/>
  <c r="J17" i="39"/>
  <c r="W17" i="39" s="1"/>
  <c r="J27" i="39"/>
  <c r="AC27" i="39"/>
  <c r="F27" i="39"/>
  <c r="AA27" i="39" s="1"/>
  <c r="F11" i="21"/>
  <c r="S11" i="21" s="1"/>
  <c r="S40" i="21"/>
  <c r="U34" i="21"/>
  <c r="C25" i="39"/>
  <c r="C15" i="39"/>
  <c r="H32" i="33"/>
  <c r="AB32" i="33" s="1"/>
  <c r="H11" i="21"/>
  <c r="U11" i="21" s="1"/>
  <c r="J11" i="21"/>
  <c r="W11" i="21" s="1"/>
  <c r="H37" i="40"/>
  <c r="U37" i="40" s="1"/>
  <c r="H36" i="40"/>
  <c r="AB36" i="40" s="1"/>
  <c r="F35" i="40"/>
  <c r="AA35" i="40" s="1"/>
  <c r="H23" i="40"/>
  <c r="AB23" i="40" s="1"/>
  <c r="H17" i="40"/>
  <c r="U17" i="40"/>
  <c r="J15" i="40"/>
  <c r="W15" i="40" s="1"/>
  <c r="J11" i="40"/>
  <c r="W11" i="40"/>
  <c r="AC12" i="34"/>
  <c r="AB12" i="35"/>
  <c r="AB12" i="36"/>
  <c r="W32" i="40"/>
  <c r="F37" i="39"/>
  <c r="AA37" i="39" s="1"/>
  <c r="U30" i="36"/>
  <c r="J30" i="35"/>
  <c r="W30" i="35" s="1"/>
  <c r="H30" i="35"/>
  <c r="AB30" i="35" s="1"/>
  <c r="F22" i="35"/>
  <c r="AA22" i="35"/>
  <c r="H10" i="35"/>
  <c r="U10" i="35" s="1"/>
  <c r="F33" i="36"/>
  <c r="AA33" i="36"/>
  <c r="W30" i="36"/>
  <c r="H16" i="36"/>
  <c r="AB16" i="36" s="1"/>
  <c r="E85" i="36"/>
  <c r="F85" i="36"/>
  <c r="G85" i="36" s="1"/>
  <c r="H85" i="36" s="1"/>
  <c r="I85" i="36" s="1"/>
  <c r="J85" i="36" s="1"/>
  <c r="K85" i="36" s="1"/>
  <c r="L85" i="36" s="1"/>
  <c r="M85" i="36" s="1"/>
  <c r="J29" i="36"/>
  <c r="AC29" i="36" s="1"/>
  <c r="F12" i="36"/>
  <c r="S12" i="36" s="1"/>
  <c r="F24" i="36"/>
  <c r="AA2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W15" i="34" s="1"/>
  <c r="H15" i="34"/>
  <c r="AB15" i="34" s="1"/>
  <c r="W8" i="34"/>
  <c r="J28" i="34"/>
  <c r="W28" i="34"/>
  <c r="F41" i="33"/>
  <c r="AA41" i="33" s="1"/>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c r="J42" i="21"/>
  <c r="AC42" i="21" s="1"/>
  <c r="H42" i="21"/>
  <c r="U42" i="21"/>
  <c r="J44" i="34"/>
  <c r="AC44" i="34" s="1"/>
  <c r="F44" i="34"/>
  <c r="AA44" i="34" s="1"/>
  <c r="J10" i="35"/>
  <c r="AC10" i="35" s="1"/>
  <c r="J14" i="21"/>
  <c r="W14" i="21" s="1"/>
  <c r="H28" i="21"/>
  <c r="AB28" i="21" s="1"/>
  <c r="J28" i="21"/>
  <c r="W28" i="21" s="1"/>
  <c r="H30" i="21"/>
  <c r="U30" i="21" s="1"/>
  <c r="J30" i="21"/>
  <c r="AC30" i="21" s="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H29" i="33"/>
  <c r="U29" i="33"/>
  <c r="F29" i="33"/>
  <c r="S29" i="33" s="1"/>
  <c r="J31" i="33"/>
  <c r="W31" i="33" s="1"/>
  <c r="H31" i="33"/>
  <c r="F31" i="33"/>
  <c r="S31" i="33" s="1"/>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F11" i="36"/>
  <c r="AA11" i="36" s="1"/>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F14" i="33"/>
  <c r="S14" i="33"/>
  <c r="J14" i="33"/>
  <c r="AC14" i="33" s="1"/>
  <c r="H30" i="33"/>
  <c r="AB30" i="33" s="1"/>
  <c r="F30" i="33"/>
  <c r="J30" i="33"/>
  <c r="W30" i="33" s="1"/>
  <c r="H44" i="33"/>
  <c r="J44" i="33"/>
  <c r="AC44" i="33"/>
  <c r="F44" i="33"/>
  <c r="S44" i="33" s="1"/>
  <c r="J46" i="33"/>
  <c r="AC46" i="33" s="1"/>
  <c r="F46" i="33"/>
  <c r="AA46" i="33" s="1"/>
  <c r="H46" i="33"/>
  <c r="AB46" i="33" s="1"/>
  <c r="H13" i="34"/>
  <c r="U13" i="34" s="1"/>
  <c r="J13" i="34"/>
  <c r="W13" i="34"/>
  <c r="F13" i="34"/>
  <c r="AA13" i="34" s="1"/>
  <c r="F29" i="34"/>
  <c r="S29" i="34"/>
  <c r="H29" i="34"/>
  <c r="AB29" i="34" s="1"/>
  <c r="J31" i="34"/>
  <c r="AC31" i="34"/>
  <c r="H31" i="34"/>
  <c r="F31" i="34"/>
  <c r="S31" i="34" s="1"/>
  <c r="H45" i="34"/>
  <c r="U45" i="34" s="1"/>
  <c r="J45" i="34"/>
  <c r="W45" i="34" s="1"/>
  <c r="H47" i="34"/>
  <c r="U47" i="34"/>
  <c r="F47" i="34"/>
  <c r="S47" i="34" s="1"/>
  <c r="J47" i="34"/>
  <c r="AC47" i="34"/>
  <c r="F13" i="35"/>
  <c r="J13" i="35"/>
  <c r="AC13" i="35" s="1"/>
  <c r="H13" i="35"/>
  <c r="U13" i="35" s="1"/>
  <c r="J25" i="35"/>
  <c r="W25" i="35" s="1"/>
  <c r="F25" i="35"/>
  <c r="S25" i="35" s="1"/>
  <c r="H25" i="35"/>
  <c r="AB25" i="35"/>
  <c r="J35" i="35"/>
  <c r="AC35" i="35" s="1"/>
  <c r="H35" i="35"/>
  <c r="J25" i="36"/>
  <c r="W25" i="36" s="1"/>
  <c r="F25" i="36"/>
  <c r="S25" i="36" s="1"/>
  <c r="H25" i="36"/>
  <c r="AB25" i="36" s="1"/>
  <c r="H13" i="37"/>
  <c r="AB13" i="37" s="1"/>
  <c r="F13" i="37"/>
  <c r="AA13" i="37" s="1"/>
  <c r="S13" i="37"/>
  <c r="J13" i="37"/>
  <c r="W13" i="37" s="1"/>
  <c r="F28" i="37"/>
  <c r="AA28" i="37" s="1"/>
  <c r="J28" i="37"/>
  <c r="AC28" i="37"/>
  <c r="H28" i="37"/>
  <c r="H38" i="37"/>
  <c r="AB38" i="37"/>
  <c r="J38" i="37"/>
  <c r="AC38" i="37" s="1"/>
  <c r="F38" i="37"/>
  <c r="S38" i="37" s="1"/>
  <c r="F43" i="39"/>
  <c r="AA43" i="39" s="1"/>
  <c r="H43" i="39"/>
  <c r="AB43" i="39" s="1"/>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AA13" i="39" s="1"/>
  <c r="H13" i="39"/>
  <c r="AB13" i="39" s="1"/>
  <c r="H14" i="40"/>
  <c r="AB14" i="40" s="1"/>
  <c r="J14" i="40"/>
  <c r="W14" i="40" s="1"/>
  <c r="F14" i="40"/>
  <c r="AA14" i="40"/>
  <c r="J14" i="37"/>
  <c r="J27" i="37"/>
  <c r="AC27" i="37"/>
  <c r="AA44" i="33"/>
  <c r="AA14" i="33"/>
  <c r="J36" i="37"/>
  <c r="AC36" i="37"/>
  <c r="J10" i="36"/>
  <c r="AC10" i="36" s="1"/>
  <c r="AA14" i="37"/>
  <c r="W31" i="34"/>
  <c r="AA14" i="34"/>
  <c r="S44" i="34"/>
  <c r="BA586" i="3"/>
  <c r="F17" i="21"/>
  <c r="AA17" i="21" s="1"/>
  <c r="H17" i="21"/>
  <c r="AB17" i="21" s="1"/>
  <c r="F15" i="21"/>
  <c r="S15" i="21" s="1"/>
  <c r="U36" i="39"/>
  <c r="G540" i="3"/>
  <c r="G536" i="3"/>
  <c r="G535" i="3"/>
  <c r="G531" i="3"/>
  <c r="G528" i="3"/>
  <c r="G527" i="3"/>
  <c r="G518" i="3"/>
  <c r="G514" i="3"/>
  <c r="G510" i="3"/>
  <c r="G504" i="3"/>
  <c r="G500" i="3"/>
  <c r="G496" i="3"/>
  <c r="G580" i="3"/>
  <c r="G576" i="3"/>
  <c r="G572" i="3"/>
  <c r="G568" i="3"/>
  <c r="G564" i="3"/>
  <c r="G560" i="3"/>
  <c r="G554" i="3"/>
  <c r="G550" i="3"/>
  <c r="BL584" i="3"/>
  <c r="BL580" i="3"/>
  <c r="BL576" i="3"/>
  <c r="BL568" i="3"/>
  <c r="BL564" i="3"/>
  <c r="BL560" i="3"/>
  <c r="BL546" i="3"/>
  <c r="BL542" i="3"/>
  <c r="BL538" i="3"/>
  <c r="BL530" i="3"/>
  <c r="BL526" i="3"/>
  <c r="BL522" i="3"/>
  <c r="BL512" i="3"/>
  <c r="BL506" i="3"/>
  <c r="BL502" i="3"/>
  <c r="BL494" i="3"/>
  <c r="BL582" i="3"/>
  <c r="BL578" i="3"/>
  <c r="BL570" i="3"/>
  <c r="BL566" i="3"/>
  <c r="BL562" i="3"/>
  <c r="BL552" i="3"/>
  <c r="BL544" i="3"/>
  <c r="AZ544" i="3" s="1"/>
  <c r="BL540" i="3"/>
  <c r="AZ540" i="3" s="1"/>
  <c r="G533" i="3"/>
  <c r="BL532" i="3"/>
  <c r="G529" i="3"/>
  <c r="G525" i="3"/>
  <c r="BL524" i="3"/>
  <c r="BL518" i="3"/>
  <c r="BL510" i="3"/>
  <c r="BL504" i="3"/>
  <c r="BL500" i="3"/>
  <c r="G493" i="3"/>
  <c r="BA584" i="3"/>
  <c r="AZ584" i="3" s="1"/>
  <c r="BA582" i="3"/>
  <c r="BA578" i="3"/>
  <c r="BA576" i="3"/>
  <c r="AZ576" i="3" s="1"/>
  <c r="BA574" i="3"/>
  <c r="BA570" i="3"/>
  <c r="AZ570" i="3" s="1"/>
  <c r="BA568" i="3"/>
  <c r="AZ568" i="3" s="1"/>
  <c r="BA566" i="3"/>
  <c r="BA562" i="3"/>
  <c r="BA560" i="3"/>
  <c r="AZ560" i="3" s="1"/>
  <c r="BA558" i="3"/>
  <c r="BA556" i="3"/>
  <c r="AZ556" i="3"/>
  <c r="BA554" i="3"/>
  <c r="BA552" i="3"/>
  <c r="AZ552" i="3"/>
  <c r="BA548" i="3"/>
  <c r="BA544" i="3"/>
  <c r="BA542" i="3"/>
  <c r="AZ542" i="3" s="1"/>
  <c r="BA540" i="3"/>
  <c r="BA538" i="3"/>
  <c r="AZ538" i="3" s="1"/>
  <c r="BA534" i="3"/>
  <c r="BA530" i="3"/>
  <c r="AZ530" i="3" s="1"/>
  <c r="BA528" i="3"/>
  <c r="BA524" i="3"/>
  <c r="BA522" i="3"/>
  <c r="AZ522" i="3" s="1"/>
  <c r="BA520" i="3"/>
  <c r="AZ520" i="3" s="1"/>
  <c r="BA516" i="3"/>
  <c r="BA514" i="3"/>
  <c r="BA512" i="3"/>
  <c r="AZ512" i="3" s="1"/>
  <c r="BA510" i="3"/>
  <c r="AZ510" i="3"/>
  <c r="BA508" i="3"/>
  <c r="BA504" i="3"/>
  <c r="AZ504" i="3"/>
  <c r="BA502" i="3"/>
  <c r="BA498" i="3"/>
  <c r="AZ498" i="3"/>
  <c r="BA496" i="3"/>
  <c r="AZ496" i="3" s="1"/>
  <c r="BA583" i="3"/>
  <c r="BA579" i="3"/>
  <c r="BA577" i="3"/>
  <c r="BA575" i="3"/>
  <c r="AZ575" i="3" s="1"/>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AZ499" i="3" s="1"/>
  <c r="BA497" i="3"/>
  <c r="AZ497" i="3" s="1"/>
  <c r="BA495" i="3"/>
  <c r="G583" i="3"/>
  <c r="G581" i="3"/>
  <c r="G579" i="3"/>
  <c r="G577" i="3"/>
  <c r="G575" i="3"/>
  <c r="G573" i="3"/>
  <c r="G571" i="3"/>
  <c r="G569" i="3"/>
  <c r="G567" i="3"/>
  <c r="G565" i="3"/>
  <c r="G561" i="3"/>
  <c r="BL558" i="3"/>
  <c r="BA557" i="3"/>
  <c r="AZ557" i="3" s="1"/>
  <c r="AC557" i="3"/>
  <c r="BQ557" i="3"/>
  <c r="BL557" i="3" s="1"/>
  <c r="BQ583" i="3"/>
  <c r="BL583" i="3" s="1"/>
  <c r="AZ583" i="3" s="1"/>
  <c r="BQ581" i="3"/>
  <c r="BQ579" i="3"/>
  <c r="BL579" i="3"/>
  <c r="BQ577" i="3"/>
  <c r="BL577" i="3" s="1"/>
  <c r="BQ575" i="3"/>
  <c r="BL575" i="3"/>
  <c r="BQ573" i="3"/>
  <c r="BL573" i="3" s="1"/>
  <c r="AZ573" i="3" s="1"/>
  <c r="BQ571" i="3"/>
  <c r="BQ569" i="3"/>
  <c r="BL569" i="3" s="1"/>
  <c r="BQ567" i="3"/>
  <c r="BL567" i="3" s="1"/>
  <c r="BQ565" i="3"/>
  <c r="BQ563" i="3"/>
  <c r="BL563" i="3" s="1"/>
  <c r="BQ561" i="3"/>
  <c r="BL561" i="3"/>
  <c r="BQ559" i="3"/>
  <c r="BL559" i="3" s="1"/>
  <c r="AZ559" i="3" s="1"/>
  <c r="G559" i="3"/>
  <c r="G555" i="3"/>
  <c r="G553" i="3"/>
  <c r="G549" i="3"/>
  <c r="G545" i="3"/>
  <c r="G543" i="3"/>
  <c r="G541" i="3"/>
  <c r="G537" i="3"/>
  <c r="BQ555" i="3"/>
  <c r="BL555" i="3" s="1"/>
  <c r="BQ553" i="3"/>
  <c r="BQ551" i="3"/>
  <c r="BL551" i="3" s="1"/>
  <c r="BQ549" i="3"/>
  <c r="BQ547" i="3"/>
  <c r="BL547" i="3" s="1"/>
  <c r="BQ545" i="3"/>
  <c r="BL545" i="3" s="1"/>
  <c r="BQ543" i="3"/>
  <c r="BQ541" i="3"/>
  <c r="BL541" i="3" s="1"/>
  <c r="BQ539" i="3"/>
  <c r="BQ537" i="3"/>
  <c r="BL537" i="3"/>
  <c r="BQ535" i="3"/>
  <c r="BL535" i="3" s="1"/>
  <c r="AZ535" i="3" s="1"/>
  <c r="BQ533" i="3"/>
  <c r="BL533" i="3"/>
  <c r="BQ531" i="3"/>
  <c r="BL531" i="3" s="1"/>
  <c r="AZ531" i="3" s="1"/>
  <c r="BQ529" i="3"/>
  <c r="BQ527" i="3"/>
  <c r="BL527" i="3" s="1"/>
  <c r="AZ527" i="3"/>
  <c r="BQ525" i="3"/>
  <c r="BQ523" i="3"/>
  <c r="BL523" i="3" s="1"/>
  <c r="BA521" i="3"/>
  <c r="AC521" i="3"/>
  <c r="G521" i="3" s="1"/>
  <c r="BQ521" i="3"/>
  <c r="BL521" i="3"/>
  <c r="BL520" i="3"/>
  <c r="G519" i="3"/>
  <c r="G517" i="3"/>
  <c r="G515" i="3"/>
  <c r="G513" i="3"/>
  <c r="G511" i="3"/>
  <c r="BQ519" i="3"/>
  <c r="BL519" i="3" s="1"/>
  <c r="AZ519" i="3" s="1"/>
  <c r="BQ517" i="3"/>
  <c r="BQ515" i="3"/>
  <c r="BL515" i="3" s="1"/>
  <c r="BQ513" i="3"/>
  <c r="BL513" i="3" s="1"/>
  <c r="BQ511" i="3"/>
  <c r="BA509" i="3"/>
  <c r="AC509" i="3"/>
  <c r="BQ509" i="3"/>
  <c r="BL508" i="3"/>
  <c r="AZ508" i="3"/>
  <c r="G507" i="3"/>
  <c r="G503" i="3"/>
  <c r="G501" i="3"/>
  <c r="G499" i="3"/>
  <c r="G495" i="3"/>
  <c r="BQ507" i="3"/>
  <c r="BQ505" i="3"/>
  <c r="BQ503" i="3"/>
  <c r="BL503" i="3" s="1"/>
  <c r="AZ503" i="3"/>
  <c r="BQ501" i="3"/>
  <c r="BQ499" i="3"/>
  <c r="BL499" i="3"/>
  <c r="BQ497" i="3"/>
  <c r="BQ495" i="3"/>
  <c r="BL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E125" i="33"/>
  <c r="F125" i="33" s="1"/>
  <c r="G125" i="33" s="1"/>
  <c r="H43" i="33"/>
  <c r="H17" i="37"/>
  <c r="U17" i="37" s="1"/>
  <c r="AB27" i="37"/>
  <c r="U32" i="33"/>
  <c r="F39" i="33"/>
  <c r="S39" i="33" s="1"/>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W23" i="35"/>
  <c r="U26" i="37"/>
  <c r="W47" i="34"/>
  <c r="AC36" i="34"/>
  <c r="AA13" i="33"/>
  <c r="AC45" i="33"/>
  <c r="W44" i="33"/>
  <c r="U11" i="33"/>
  <c r="U19" i="21"/>
  <c r="W44" i="21"/>
  <c r="AB38" i="21"/>
  <c r="F43" i="33"/>
  <c r="AA43" i="33" s="1"/>
  <c r="AC15" i="34"/>
  <c r="W16" i="35"/>
  <c r="G107" i="37"/>
  <c r="H107" i="37"/>
  <c r="I107" i="37" s="1"/>
  <c r="J107" i="37" s="1"/>
  <c r="K107" i="37" s="1"/>
  <c r="L107" i="37" s="1"/>
  <c r="M107" i="37" s="1"/>
  <c r="H37" i="21"/>
  <c r="U37" i="21" s="1"/>
  <c r="H19" i="34"/>
  <c r="AB19" i="34" s="1"/>
  <c r="F36" i="35"/>
  <c r="J9" i="37"/>
  <c r="W9" i="37" s="1"/>
  <c r="H9" i="37"/>
  <c r="U9" i="37" s="1"/>
  <c r="F9" i="37"/>
  <c r="S9" i="37" s="1"/>
  <c r="J12" i="37"/>
  <c r="H12" i="37"/>
  <c r="AB12" i="37" s="1"/>
  <c r="E71" i="37"/>
  <c r="F71" i="37" s="1"/>
  <c r="G71" i="37" s="1"/>
  <c r="F15" i="37"/>
  <c r="E94" i="37"/>
  <c r="F31" i="37"/>
  <c r="S31" i="37" s="1"/>
  <c r="F12" i="39"/>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S14" i="40"/>
  <c r="AC13" i="40"/>
  <c r="W23" i="39"/>
  <c r="AC43" i="39"/>
  <c r="W43" i="39"/>
  <c r="H37" i="39"/>
  <c r="AB37" i="39"/>
  <c r="AC37" i="39"/>
  <c r="W37" i="39"/>
  <c r="H25" i="39"/>
  <c r="U25" i="39" s="1"/>
  <c r="AB25" i="39"/>
  <c r="J25" i="39"/>
  <c r="AC25" i="39" s="1"/>
  <c r="F25" i="39"/>
  <c r="AA25" i="39" s="1"/>
  <c r="F15" i="39"/>
  <c r="AA15" i="39" s="1"/>
  <c r="H15" i="39"/>
  <c r="U15" i="39" s="1"/>
  <c r="J15" i="39"/>
  <c r="W15" i="39" s="1"/>
  <c r="W27" i="39"/>
  <c r="AB34" i="39"/>
  <c r="S42" i="39"/>
  <c r="J19" i="40"/>
  <c r="AC19" i="40" s="1"/>
  <c r="J50" i="40"/>
  <c r="H103" i="9"/>
  <c r="B16" i="53"/>
  <c r="B33" i="72" s="1"/>
  <c r="C7" i="37"/>
  <c r="C52" i="37" s="1"/>
  <c r="D52" i="37" s="1"/>
  <c r="C7" i="36"/>
  <c r="C46" i="36" s="1"/>
  <c r="D46" i="36" s="1"/>
  <c r="E46" i="36" s="1"/>
  <c r="F46" i="36" s="1"/>
  <c r="G46" i="36" s="1"/>
  <c r="H46" i="36" s="1"/>
  <c r="I46" i="36" s="1"/>
  <c r="W35" i="40"/>
  <c r="G4" i="4"/>
  <c r="I4" i="4"/>
  <c r="F61" i="43"/>
  <c r="H64" i="43" s="1"/>
  <c r="BL549" i="3"/>
  <c r="AZ494" i="3"/>
  <c r="AZ51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AZ120" i="3" s="1"/>
  <c r="G121" i="3"/>
  <c r="BA123" i="3"/>
  <c r="BL124" i="3"/>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c r="BL160" i="3"/>
  <c r="G161" i="3"/>
  <c r="BA163" i="3"/>
  <c r="AZ163" i="3"/>
  <c r="BL164" i="3"/>
  <c r="G165" i="3"/>
  <c r="BA167" i="3"/>
  <c r="AZ167" i="3"/>
  <c r="BL168" i="3"/>
  <c r="AZ168" i="3" s="1"/>
  <c r="G169" i="3"/>
  <c r="BA171" i="3"/>
  <c r="BL172" i="3"/>
  <c r="G173" i="3"/>
  <c r="BA175" i="3"/>
  <c r="AZ175" i="3"/>
  <c r="BL176" i="3"/>
  <c r="G177" i="3"/>
  <c r="BA179" i="3"/>
  <c r="BL180" i="3"/>
  <c r="AZ180" i="3" s="1"/>
  <c r="G181" i="3"/>
  <c r="BA183" i="3"/>
  <c r="BL184" i="3"/>
  <c r="G185" i="3"/>
  <c r="BA187" i="3"/>
  <c r="BL188" i="3"/>
  <c r="AZ188" i="3" s="1"/>
  <c r="G189" i="3"/>
  <c r="BA191" i="3"/>
  <c r="BL192" i="3"/>
  <c r="G193" i="3"/>
  <c r="BA195" i="3"/>
  <c r="AZ195" i="3" s="1"/>
  <c r="BL196" i="3"/>
  <c r="G197" i="3"/>
  <c r="BA199" i="3"/>
  <c r="BL200" i="3"/>
  <c r="G201" i="3"/>
  <c r="BA203" i="3"/>
  <c r="AZ203" i="3" s="1"/>
  <c r="BL204" i="3"/>
  <c r="AZ204" i="3" s="1"/>
  <c r="AZ67" i="3"/>
  <c r="G534" i="3"/>
  <c r="G530" i="3"/>
  <c r="G522"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AZ346" i="3" s="1"/>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500" i="3"/>
  <c r="BA16" i="3"/>
  <c r="AZ16" i="3" s="1"/>
  <c r="BL303" i="3"/>
  <c r="G304" i="3"/>
  <c r="BA306" i="3"/>
  <c r="BL307" i="3"/>
  <c r="G308" i="3"/>
  <c r="BA310" i="3"/>
  <c r="AZ310" i="3"/>
  <c r="BL311" i="3"/>
  <c r="AZ311" i="3" s="1"/>
  <c r="G312" i="3"/>
  <c r="BA314" i="3"/>
  <c r="BL315" i="3"/>
  <c r="AZ315" i="3"/>
  <c r="G316" i="3"/>
  <c r="BA318" i="3"/>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AZ369" i="3"/>
  <c r="BL370" i="3"/>
  <c r="G371" i="3"/>
  <c r="BA373" i="3"/>
  <c r="AZ373" i="3"/>
  <c r="BL374" i="3"/>
  <c r="G375" i="3"/>
  <c r="BA377" i="3"/>
  <c r="AZ377" i="3"/>
  <c r="AZ229" i="3"/>
  <c r="AZ233" i="3"/>
  <c r="AZ249" i="3"/>
  <c r="BA379" i="3"/>
  <c r="AZ379" i="3" s="1"/>
  <c r="BL380" i="3"/>
  <c r="G381" i="3"/>
  <c r="BA383" i="3"/>
  <c r="AZ383" i="3" s="1"/>
  <c r="BL384" i="3"/>
  <c r="G385" i="3"/>
  <c r="BA387" i="3"/>
  <c r="BL388" i="3"/>
  <c r="G389" i="3"/>
  <c r="BA391" i="3"/>
  <c r="AZ391" i="3" s="1"/>
  <c r="BL392" i="3"/>
  <c r="G393" i="3"/>
  <c r="AZ275" i="3"/>
  <c r="BO5" i="3"/>
  <c r="BM5" i="3"/>
  <c r="F29" i="6" s="1"/>
  <c r="BH5" i="3"/>
  <c r="BF5" i="3"/>
  <c r="BD5" i="3"/>
  <c r="AC5" i="3"/>
  <c r="AZ506" i="3"/>
  <c r="G548" i="3"/>
  <c r="G538" i="3"/>
  <c r="G520" i="3"/>
  <c r="G502" i="3"/>
  <c r="BS5" i="3"/>
  <c r="BP5" i="3"/>
  <c r="BN5" i="3"/>
  <c r="G29" i="6" s="1"/>
  <c r="BI5" i="3"/>
  <c r="BG5" i="3"/>
  <c r="BE5" i="3"/>
  <c r="G17" i="3"/>
  <c r="BA17" i="3"/>
  <c r="BT5" i="3"/>
  <c r="BA15" i="3"/>
  <c r="BR5" i="3"/>
  <c r="AZ380" i="3"/>
  <c r="G509" i="3"/>
  <c r="BL493" i="3"/>
  <c r="U36" i="40"/>
  <c r="F83" i="43"/>
  <c r="H85" i="43" s="1"/>
  <c r="F50" i="43"/>
  <c r="H54" i="43" s="1"/>
  <c r="F72" i="43"/>
  <c r="H75" i="43" s="1"/>
  <c r="S14" i="35"/>
  <c r="U43" i="21"/>
  <c r="U35" i="21"/>
  <c r="AC35" i="21"/>
  <c r="W37" i="37"/>
  <c r="W44" i="34"/>
  <c r="U13" i="37"/>
  <c r="U12" i="40"/>
  <c r="J37" i="33"/>
  <c r="W37" i="33"/>
  <c r="AC17" i="34"/>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AC14" i="35"/>
  <c r="H20" i="35"/>
  <c r="U20" i="35"/>
  <c r="F20" i="35"/>
  <c r="AB23" i="35"/>
  <c r="AB29" i="36"/>
  <c r="U29" i="36"/>
  <c r="H32" i="37"/>
  <c r="AB32" i="37" s="1"/>
  <c r="F96" i="37"/>
  <c r="H27" i="40"/>
  <c r="AB27" i="40" s="1"/>
  <c r="U27" i="40"/>
  <c r="J27" i="40"/>
  <c r="AC27" i="40"/>
  <c r="F27" i="40"/>
  <c r="AA27" i="40" s="1"/>
  <c r="S27" i="40"/>
  <c r="J30" i="40"/>
  <c r="AC30" i="40"/>
  <c r="F30" i="40"/>
  <c r="S30" i="40" s="1"/>
  <c r="S11" i="40"/>
  <c r="E98" i="40"/>
  <c r="F98" i="40" s="1"/>
  <c r="G98" i="40" s="1"/>
  <c r="H98" i="40" s="1"/>
  <c r="I98" i="40" s="1"/>
  <c r="J98" i="40" s="1"/>
  <c r="K98" i="40" s="1"/>
  <c r="L98" i="40" s="1"/>
  <c r="M98" i="40" s="1"/>
  <c r="F10" i="33"/>
  <c r="S10" i="33" s="1"/>
  <c r="F34" i="33"/>
  <c r="S34" i="33" s="1"/>
  <c r="H34" i="33"/>
  <c r="F35" i="33"/>
  <c r="F39" i="34"/>
  <c r="AA39" i="34" s="1"/>
  <c r="J39" i="34"/>
  <c r="W39" i="34" s="1"/>
  <c r="F40" i="34"/>
  <c r="F43" i="34"/>
  <c r="H44" i="34"/>
  <c r="U44" i="34" s="1"/>
  <c r="F39" i="39"/>
  <c r="S39" i="39" s="1"/>
  <c r="J39" i="39"/>
  <c r="AC39" i="39" s="1"/>
  <c r="E96" i="39"/>
  <c r="F96" i="39" s="1"/>
  <c r="G96" i="39" s="1"/>
  <c r="C40" i="11"/>
  <c r="AZ227" i="3"/>
  <c r="AZ235" i="3"/>
  <c r="AZ251" i="3"/>
  <c r="AZ50" i="3"/>
  <c r="F23" i="39"/>
  <c r="H27" i="36"/>
  <c r="U27" i="36" s="1"/>
  <c r="F27" i="36"/>
  <c r="AA27" i="36" s="1"/>
  <c r="H33" i="34"/>
  <c r="F32" i="37"/>
  <c r="S32" i="37" s="1"/>
  <c r="AA32" i="37"/>
  <c r="G96" i="37"/>
  <c r="H96" i="37" s="1"/>
  <c r="I96" i="37" s="1"/>
  <c r="J96" i="37" s="1"/>
  <c r="K96" i="37" s="1"/>
  <c r="L96" i="37" s="1"/>
  <c r="M96" i="37" s="1"/>
  <c r="F20" i="36"/>
  <c r="AA20" i="36" s="1"/>
  <c r="J33" i="34"/>
  <c r="H23" i="39"/>
  <c r="U23" i="39" s="1"/>
  <c r="D48" i="9"/>
  <c r="M52" i="9" s="1"/>
  <c r="K9" i="1"/>
  <c r="M9" i="1" s="1"/>
  <c r="D93" i="9"/>
  <c r="K6" i="1"/>
  <c r="AP6" i="1" s="1"/>
  <c r="AC26" i="33"/>
  <c r="W26" i="33"/>
  <c r="W27" i="34"/>
  <c r="AC27" i="34"/>
  <c r="AB34" i="36"/>
  <c r="U34" i="36"/>
  <c r="AB33" i="36"/>
  <c r="U33" i="36"/>
  <c r="AC12" i="39"/>
  <c r="AC39" i="40"/>
  <c r="W39" i="40"/>
  <c r="AA32" i="36"/>
  <c r="S32" i="36"/>
  <c r="BL14" i="3"/>
  <c r="AC13" i="34"/>
  <c r="AA47" i="34"/>
  <c r="W28" i="37"/>
  <c r="S19" i="39"/>
  <c r="F12" i="33"/>
  <c r="H12" i="39"/>
  <c r="U12" i="39" s="1"/>
  <c r="F39" i="40"/>
  <c r="BA14" i="3"/>
  <c r="AZ157" i="3"/>
  <c r="B12" i="1"/>
  <c r="E12" i="1" s="1"/>
  <c r="B10" i="1"/>
  <c r="E10" i="1" s="1"/>
  <c r="K12" i="1"/>
  <c r="M12" i="1" s="1"/>
  <c r="S13" i="1"/>
  <c r="AR13" i="1" s="1"/>
  <c r="R13" i="1"/>
  <c r="J51" i="67"/>
  <c r="C42" i="1"/>
  <c r="C24" i="12" s="1"/>
  <c r="AC34" i="33"/>
  <c r="AB37" i="40"/>
  <c r="S35" i="40"/>
  <c r="U35" i="40"/>
  <c r="W38" i="40"/>
  <c r="AA32" i="40"/>
  <c r="S23" i="40"/>
  <c r="AC17" i="40"/>
  <c r="AC15" i="40"/>
  <c r="AA19" i="40"/>
  <c r="S28" i="40"/>
  <c r="U21" i="40"/>
  <c r="AB19" i="40"/>
  <c r="U37" i="39"/>
  <c r="F32" i="39"/>
  <c r="S32" i="39" s="1"/>
  <c r="F106" i="39"/>
  <c r="G106" i="39" s="1"/>
  <c r="H106" i="39" s="1"/>
  <c r="I106" i="39" s="1"/>
  <c r="J106" i="39" s="1"/>
  <c r="K106" i="39" s="1"/>
  <c r="L106" i="39" s="1"/>
  <c r="M106" i="39" s="1"/>
  <c r="AB27" i="39"/>
  <c r="J21" i="39"/>
  <c r="W21" i="39" s="1"/>
  <c r="F21" i="39"/>
  <c r="G94" i="39"/>
  <c r="H21" i="39"/>
  <c r="U19" i="39"/>
  <c r="S17" i="39"/>
  <c r="U14" i="39"/>
  <c r="S23" i="36"/>
  <c r="U13" i="36"/>
  <c r="U26" i="36"/>
  <c r="S33" i="36"/>
  <c r="AA26" i="36"/>
  <c r="AC26" i="36"/>
  <c r="W14" i="36"/>
  <c r="AB14" i="36"/>
  <c r="U22" i="36"/>
  <c r="S16" i="36"/>
  <c r="AA25" i="36"/>
  <c r="S24" i="36"/>
  <c r="U23" i="36"/>
  <c r="AB20" i="36"/>
  <c r="U16" i="36"/>
  <c r="S14" i="36"/>
  <c r="AA25" i="35"/>
  <c r="S23" i="35"/>
  <c r="W24" i="35"/>
  <c r="AB13" i="35"/>
  <c r="U29" i="35"/>
  <c r="U28" i="35"/>
  <c r="AB27" i="35"/>
  <c r="U36" i="35"/>
  <c r="U32" i="35"/>
  <c r="AC30" i="35"/>
  <c r="S32" i="35"/>
  <c r="S28" i="35"/>
  <c r="AB16" i="35"/>
  <c r="U22" i="35"/>
  <c r="AC20" i="35"/>
  <c r="S22" i="35"/>
  <c r="U14" i="35"/>
  <c r="AC9" i="35"/>
  <c r="W9" i="35"/>
  <c r="AC12" i="35"/>
  <c r="F9" i="35"/>
  <c r="S9" i="35" s="1"/>
  <c r="H9" i="35"/>
  <c r="U9" i="35" s="1"/>
  <c r="AB40" i="37"/>
  <c r="S25" i="37"/>
  <c r="W27" i="37"/>
  <c r="AC29" i="37"/>
  <c r="U29" i="37"/>
  <c r="AB31" i="37"/>
  <c r="W30" i="37"/>
  <c r="S36" i="37"/>
  <c r="U32" i="37"/>
  <c r="W38" i="37"/>
  <c r="AC35" i="37"/>
  <c r="S30" i="37"/>
  <c r="S37" i="37"/>
  <c r="AC15" i="37"/>
  <c r="J17" i="37"/>
  <c r="W17" i="37"/>
  <c r="G73" i="37"/>
  <c r="F17" i="37"/>
  <c r="F75" i="37"/>
  <c r="F19" i="37"/>
  <c r="F79" i="37"/>
  <c r="G79" i="37" s="1"/>
  <c r="F23" i="37"/>
  <c r="S23" i="37" s="1"/>
  <c r="U15" i="37"/>
  <c r="AC13" i="37"/>
  <c r="H10" i="37"/>
  <c r="AB10" i="37" s="1"/>
  <c r="F63" i="37"/>
  <c r="G63" i="37" s="1"/>
  <c r="H63" i="37" s="1"/>
  <c r="I63" i="37" s="1"/>
  <c r="F11" i="37"/>
  <c r="S11" i="37" s="1"/>
  <c r="AB8" i="34"/>
  <c r="AA33" i="34"/>
  <c r="U43" i="34"/>
  <c r="W41" i="34"/>
  <c r="AC42" i="34"/>
  <c r="AB35" i="34"/>
  <c r="U39" i="34"/>
  <c r="AB41" i="34"/>
  <c r="AA45" i="34"/>
  <c r="U28" i="34"/>
  <c r="S17" i="34"/>
  <c r="AA29"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G111" i="33"/>
  <c r="J35" i="33"/>
  <c r="S37" i="33"/>
  <c r="AA37" i="33"/>
  <c r="F101" i="33"/>
  <c r="G101" i="33"/>
  <c r="H101" i="33" s="1"/>
  <c r="I101" i="33" s="1"/>
  <c r="J101" i="33" s="1"/>
  <c r="K101" i="33" s="1"/>
  <c r="L101" i="33" s="1"/>
  <c r="M101" i="33" s="1"/>
  <c r="J32" i="33"/>
  <c r="W32" i="33" s="1"/>
  <c r="W43" i="33"/>
  <c r="S43" i="33"/>
  <c r="F91" i="33"/>
  <c r="H27" i="33"/>
  <c r="F87" i="33"/>
  <c r="H25" i="33"/>
  <c r="AB25" i="33" s="1"/>
  <c r="F25" i="33"/>
  <c r="S25" i="33" s="1"/>
  <c r="J23" i="33"/>
  <c r="AC23" i="33" s="1"/>
  <c r="F85" i="33"/>
  <c r="H23" i="33"/>
  <c r="U23" i="33" s="1"/>
  <c r="F81" i="33"/>
  <c r="G81" i="33" s="1"/>
  <c r="F19" i="33"/>
  <c r="S19" i="33" s="1"/>
  <c r="W19" i="33"/>
  <c r="J17" i="33"/>
  <c r="F79" i="33"/>
  <c r="G79" i="33" s="1"/>
  <c r="S15" i="33"/>
  <c r="W15" i="33"/>
  <c r="U9" i="33"/>
  <c r="J10" i="33"/>
  <c r="W10" i="33" s="1"/>
  <c r="H10" i="33"/>
  <c r="U10" i="33" s="1"/>
  <c r="AB14" i="33"/>
  <c r="W43" i="21"/>
  <c r="W36" i="21"/>
  <c r="W41" i="21"/>
  <c r="AB39" i="21"/>
  <c r="AA43" i="21"/>
  <c r="S39" i="21"/>
  <c r="AA38" i="21"/>
  <c r="AA36" i="21"/>
  <c r="AC40" i="21"/>
  <c r="J15" i="21"/>
  <c r="W15" i="21"/>
  <c r="F77" i="21"/>
  <c r="G77" i="21"/>
  <c r="F23" i="21"/>
  <c r="S23" i="21" s="1"/>
  <c r="E85" i="21"/>
  <c r="AA14" i="21"/>
  <c r="F34" i="67"/>
  <c r="F62" i="67" s="1"/>
  <c r="G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3"/>
  <c r="C7" i="40"/>
  <c r="C63" i="40" s="1"/>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W25" i="39"/>
  <c r="S14" i="39"/>
  <c r="AA14" i="39"/>
  <c r="AC17" i="39"/>
  <c r="W34" i="39"/>
  <c r="S20" i="36"/>
  <c r="AC25" i="36"/>
  <c r="W29" i="36"/>
  <c r="AC20" i="36"/>
  <c r="AB28" i="36"/>
  <c r="AA13" i="36"/>
  <c r="W22" i="36"/>
  <c r="AB20" i="35"/>
  <c r="AC25" i="35"/>
  <c r="U25" i="35"/>
  <c r="S24" i="35"/>
  <c r="U24" i="35"/>
  <c r="S35" i="35"/>
  <c r="W35" i="35"/>
  <c r="AA16" i="35"/>
  <c r="AA35" i="37"/>
  <c r="W36" i="37"/>
  <c r="S27" i="37"/>
  <c r="S28" i="37"/>
  <c r="W32" i="37"/>
  <c r="U36" i="37"/>
  <c r="S40" i="37"/>
  <c r="U38" i="37"/>
  <c r="AB37" i="37"/>
  <c r="AC34" i="37"/>
  <c r="AA31" i="37"/>
  <c r="U19" i="37"/>
  <c r="AA29" i="37"/>
  <c r="U8" i="37"/>
  <c r="AB40" i="34"/>
  <c r="U19" i="34"/>
  <c r="W19" i="34"/>
  <c r="AC45" i="34"/>
  <c r="AA31" i="34"/>
  <c r="AA30" i="34"/>
  <c r="AB45" i="34"/>
  <c r="AB47" i="34"/>
  <c r="U25" i="34"/>
  <c r="AB36"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W14" i="33"/>
  <c r="AC30" i="33"/>
  <c r="AA31" i="33"/>
  <c r="W13" i="33"/>
  <c r="AC13" i="33"/>
  <c r="U15" i="33"/>
  <c r="S11" i="33"/>
  <c r="U37" i="33"/>
  <c r="AC28" i="33"/>
  <c r="W9"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C38" i="21"/>
  <c r="H32" i="21"/>
  <c r="H9" i="21"/>
  <c r="J9" i="21"/>
  <c r="J32" i="21"/>
  <c r="W32" i="21" s="1"/>
  <c r="F32" i="21"/>
  <c r="AA31" i="21"/>
  <c r="U17" i="21"/>
  <c r="W29" i="21"/>
  <c r="S19" i="21"/>
  <c r="K141" i="21"/>
  <c r="K144" i="21"/>
  <c r="K143" i="21"/>
  <c r="AB25" i="21"/>
  <c r="AB44" i="21"/>
  <c r="AA30" i="21"/>
  <c r="W13" i="21"/>
  <c r="W42" i="21"/>
  <c r="AC45" i="21"/>
  <c r="F10" i="21"/>
  <c r="AA10" i="21" s="1"/>
  <c r="K145" i="21"/>
  <c r="W31" i="21"/>
  <c r="S17" i="21"/>
  <c r="AA15"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AA32" i="39"/>
  <c r="AA21" i="39"/>
  <c r="S21" i="39"/>
  <c r="AC17" i="37"/>
  <c r="J19" i="37"/>
  <c r="W19" i="37" s="1"/>
  <c r="G75" i="37"/>
  <c r="AA23" i="37"/>
  <c r="J23"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U27" i="33"/>
  <c r="AB27" i="33"/>
  <c r="G91" i="33"/>
  <c r="H91" i="33"/>
  <c r="I91" i="33" s="1"/>
  <c r="J91" i="33" s="1"/>
  <c r="K91" i="33" s="1"/>
  <c r="L91" i="33" s="1"/>
  <c r="M91" i="33" s="1"/>
  <c r="J27" i="33"/>
  <c r="U25" i="33"/>
  <c r="AA25" i="33"/>
  <c r="G87" i="33"/>
  <c r="H87" i="33" s="1"/>
  <c r="I87" i="33" s="1"/>
  <c r="J87" i="33" s="1"/>
  <c r="K87" i="33" s="1"/>
  <c r="L87" i="33" s="1"/>
  <c r="M87" i="33" s="1"/>
  <c r="J25" i="33"/>
  <c r="AC25" i="33" s="1"/>
  <c r="AB23" i="33"/>
  <c r="F23" i="33"/>
  <c r="G85" i="33"/>
  <c r="AA19" i="33"/>
  <c r="H19" i="33"/>
  <c r="H17" i="33"/>
  <c r="U17" i="33" s="1"/>
  <c r="F17" i="33"/>
  <c r="S17" i="33" s="1"/>
  <c r="AA23" i="21"/>
  <c r="AB15" i="21"/>
  <c r="J23" i="21"/>
  <c r="F85" i="21"/>
  <c r="G85" i="21" s="1"/>
  <c r="H23" i="21"/>
  <c r="AB23" i="21" s="1"/>
  <c r="AP7" i="1"/>
  <c r="AB45" i="21"/>
  <c r="AA32" i="21"/>
  <c r="S32" i="21"/>
  <c r="AB32" i="21"/>
  <c r="U32" i="21"/>
  <c r="U32" i="39"/>
  <c r="W32" i="39"/>
  <c r="J63" i="37"/>
  <c r="K63" i="37" s="1"/>
  <c r="L63" i="37" s="1"/>
  <c r="M63" i="37" s="1"/>
  <c r="J11" i="37"/>
  <c r="AC11" i="37" s="1"/>
  <c r="J11" i="34"/>
  <c r="W11" i="34" s="1"/>
  <c r="AB36" i="33"/>
  <c r="W25" i="33"/>
  <c r="AB19" i="33"/>
  <c r="U19" i="33"/>
  <c r="AA17" i="33"/>
  <c r="U23" i="21"/>
  <c r="AC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8" i="76"/>
  <c r="F36" i="67"/>
  <c r="M8" i="67"/>
  <c r="F8" i="67"/>
  <c r="M22" i="15"/>
  <c r="B8" i="76"/>
  <c r="F7" i="15"/>
  <c r="E9" i="76"/>
  <c r="L48" i="15"/>
  <c r="F5" i="73"/>
  <c r="J15" i="15"/>
  <c r="F40" i="15"/>
  <c r="M24" i="67"/>
  <c r="F13" i="15"/>
  <c r="B12" i="76"/>
  <c r="F37" i="67"/>
  <c r="E13" i="76"/>
  <c r="M24" i="15"/>
  <c r="M28" i="15"/>
  <c r="M23" i="15"/>
  <c r="F43" i="15"/>
  <c r="C76" i="67"/>
  <c r="F9" i="67"/>
  <c r="AO13" i="1"/>
  <c r="M28" i="67"/>
  <c r="F16" i="67"/>
  <c r="M9" i="67"/>
  <c r="L47" i="67"/>
  <c r="L48" i="67"/>
  <c r="M29" i="67"/>
  <c r="F43" i="67"/>
  <c r="F13" i="67"/>
  <c r="M6" i="15"/>
  <c r="F37" i="15"/>
  <c r="F6" i="73"/>
  <c r="F7" i="73"/>
  <c r="L47" i="15"/>
  <c r="M23" i="67"/>
  <c r="E2" i="69"/>
  <c r="E10" i="76"/>
  <c r="F26" i="15"/>
  <c r="B9" i="76"/>
  <c r="E7" i="76"/>
  <c r="F4" i="73"/>
  <c r="M26" i="67"/>
  <c r="B13" i="76"/>
  <c r="F7" i="67"/>
  <c r="E11" i="76"/>
  <c r="B7" i="76"/>
  <c r="F26" i="67"/>
  <c r="F38" i="67"/>
  <c r="M22" i="67"/>
  <c r="F6" i="67"/>
  <c r="M6" i="67"/>
  <c r="M26" i="15"/>
  <c r="J15" i="67"/>
  <c r="F20" i="31"/>
  <c r="F3" i="73"/>
  <c r="F6" i="15"/>
  <c r="M9" i="15"/>
  <c r="D6" i="73"/>
  <c r="E12" i="76"/>
  <c r="B10" i="76"/>
  <c r="F40" i="67"/>
  <c r="B11" i="76"/>
  <c r="F42" i="67"/>
  <c r="E2" i="68"/>
  <c r="C18" i="9" l="1"/>
  <c r="D18" i="9" s="1"/>
  <c r="F80" i="39"/>
  <c r="G80" i="39" s="1"/>
  <c r="H80" i="39" s="1"/>
  <c r="I80" i="39" s="1"/>
  <c r="J80" i="39" s="1"/>
  <c r="K80" i="39" s="1"/>
  <c r="L80" i="39" s="1"/>
  <c r="M80" i="39" s="1"/>
  <c r="J11" i="39"/>
  <c r="W11" i="39" s="1"/>
  <c r="H11" i="39"/>
  <c r="U11" i="39" s="1"/>
  <c r="F11" i="39"/>
  <c r="S11" i="39" s="1"/>
  <c r="U9" i="39"/>
  <c r="S9" i="39"/>
  <c r="W9" i="39"/>
  <c r="J44" i="39"/>
  <c r="S31" i="39"/>
  <c r="U17" i="39"/>
  <c r="H41" i="39"/>
  <c r="AB41" i="39" s="1"/>
  <c r="F44" i="39"/>
  <c r="AB39" i="39"/>
  <c r="U31" i="39"/>
  <c r="S27" i="39"/>
  <c r="U35" i="39"/>
  <c r="U44" i="39"/>
  <c r="S8" i="39"/>
  <c r="S37" i="39"/>
  <c r="U40" i="39"/>
  <c r="AA36" i="39"/>
  <c r="J41" i="39"/>
  <c r="W41" i="39" s="1"/>
  <c r="S40" i="39"/>
  <c r="J31" i="39"/>
  <c r="S34" i="39"/>
  <c r="W40" i="39"/>
  <c r="W29" i="39"/>
  <c r="S15" i="39"/>
  <c r="S38" i="39"/>
  <c r="U38" i="39"/>
  <c r="H123" i="39"/>
  <c r="I123" i="39" s="1"/>
  <c r="J123" i="39" s="1"/>
  <c r="K123" i="39" s="1"/>
  <c r="L123" i="39" s="1"/>
  <c r="M123" i="39" s="1"/>
  <c r="F41" i="39"/>
  <c r="S41" i="39" s="1"/>
  <c r="AC41" i="39"/>
  <c r="U13" i="39"/>
  <c r="S13" i="39"/>
  <c r="AC13" i="39"/>
  <c r="AC38" i="39"/>
  <c r="U43" i="39"/>
  <c r="W8" i="39"/>
  <c r="AB8" i="39"/>
  <c r="D78" i="43"/>
  <c r="F34" i="15"/>
  <c r="F62" i="15" s="1"/>
  <c r="M20" i="67"/>
  <c r="AC27" i="21"/>
  <c r="U27" i="21"/>
  <c r="S27" i="21"/>
  <c r="S37" i="21"/>
  <c r="AA9" i="21"/>
  <c r="B41" i="1"/>
  <c r="C40" i="69"/>
  <c r="C21" i="68"/>
  <c r="G23" i="3"/>
  <c r="BB5" i="3"/>
  <c r="E5" i="6" s="1"/>
  <c r="A4" i="52"/>
  <c r="B41" i="72" s="1"/>
  <c r="A118" i="9"/>
  <c r="A2" i="9"/>
  <c r="M47" i="9"/>
  <c r="C7" i="35"/>
  <c r="C48" i="35" s="1"/>
  <c r="D48" i="35" s="1"/>
  <c r="C7" i="21"/>
  <c r="W23" i="37"/>
  <c r="AC23" i="37"/>
  <c r="AA20" i="35"/>
  <c r="S20" i="35"/>
  <c r="U35" i="37"/>
  <c r="AB35" i="37"/>
  <c r="AZ17" i="3"/>
  <c r="D8" i="53"/>
  <c r="D120" i="9"/>
  <c r="AC25" i="21"/>
  <c r="W25" i="21"/>
  <c r="AZ563" i="3"/>
  <c r="AA28" i="21"/>
  <c r="S28" i="21"/>
  <c r="AC29" i="34"/>
  <c r="W29" i="34"/>
  <c r="AC12" i="40"/>
  <c r="W12" i="40"/>
  <c r="AZ532" i="3"/>
  <c r="W9" i="21"/>
  <c r="AC9" i="21"/>
  <c r="AB9" i="21"/>
  <c r="U9" i="21"/>
  <c r="S19" i="37"/>
  <c r="AA19" i="37"/>
  <c r="AC33" i="34"/>
  <c r="W33" i="34"/>
  <c r="AA23" i="39"/>
  <c r="S23" i="39"/>
  <c r="AA30" i="40"/>
  <c r="AZ318" i="3"/>
  <c r="W12" i="37"/>
  <c r="AC12" i="37"/>
  <c r="S36" i="35"/>
  <c r="AA36" i="35"/>
  <c r="AZ537" i="3"/>
  <c r="AZ526" i="3"/>
  <c r="AZ525" i="3"/>
  <c r="AZ505" i="3"/>
  <c r="AZ493" i="3"/>
  <c r="AA13" i="21"/>
  <c r="S13" i="21"/>
  <c r="AC32" i="33"/>
  <c r="W17" i="33"/>
  <c r="AC17" i="33"/>
  <c r="U33" i="34"/>
  <c r="AB33" i="34"/>
  <c r="AA43" i="34"/>
  <c r="S43" i="34"/>
  <c r="S35" i="33"/>
  <c r="AA35" i="33"/>
  <c r="AC11" i="39"/>
  <c r="AZ306" i="3"/>
  <c r="AA15" i="37"/>
  <c r="S15" i="37"/>
  <c r="AZ521" i="3"/>
  <c r="AZ541" i="3"/>
  <c r="AZ534" i="3"/>
  <c r="AZ558" i="3"/>
  <c r="W27" i="33"/>
  <c r="AC27" i="33"/>
  <c r="AA36" i="33"/>
  <c r="S36" i="33"/>
  <c r="AA17" i="37"/>
  <c r="S17" i="37"/>
  <c r="AB21" i="39"/>
  <c r="U21" i="39"/>
  <c r="AB12" i="39"/>
  <c r="S40" i="34"/>
  <c r="AA40" i="34"/>
  <c r="U34" i="33"/>
  <c r="AB34" i="33"/>
  <c r="AZ389" i="3"/>
  <c r="S12" i="39"/>
  <c r="AA12" i="39"/>
  <c r="AZ554" i="3"/>
  <c r="AZ580" i="3"/>
  <c r="B97" i="43"/>
  <c r="B75" i="43"/>
  <c r="H45" i="39"/>
  <c r="J45" i="39"/>
  <c r="W45" i="39" s="1"/>
  <c r="BA551" i="3"/>
  <c r="AZ551" i="3" s="1"/>
  <c r="BA550" i="3"/>
  <c r="BL548" i="3"/>
  <c r="S28" i="33"/>
  <c r="U32" i="36"/>
  <c r="AC11" i="33"/>
  <c r="S23" i="34"/>
  <c r="U23" i="37"/>
  <c r="AA33" i="35"/>
  <c r="AC36" i="40"/>
  <c r="AZ14" i="3"/>
  <c r="AZ345" i="3"/>
  <c r="AZ334" i="3"/>
  <c r="AZ372" i="3"/>
  <c r="AZ337" i="3"/>
  <c r="AZ376" i="3"/>
  <c r="AZ309" i="3"/>
  <c r="AZ549" i="3"/>
  <c r="H5" i="3"/>
  <c r="U14" i="40"/>
  <c r="AZ515" i="3"/>
  <c r="AZ523" i="3"/>
  <c r="AZ533" i="3"/>
  <c r="AZ547" i="3"/>
  <c r="AZ561" i="3"/>
  <c r="AZ569" i="3"/>
  <c r="AZ571" i="3"/>
  <c r="AZ579" i="3"/>
  <c r="AZ516" i="3"/>
  <c r="AZ524" i="3"/>
  <c r="AC28" i="21"/>
  <c r="AB46" i="34"/>
  <c r="AB30" i="21"/>
  <c r="H11" i="36"/>
  <c r="U11" i="36" s="1"/>
  <c r="H14" i="21"/>
  <c r="S41" i="33"/>
  <c r="AB23" i="34"/>
  <c r="S38" i="33"/>
  <c r="J34" i="36"/>
  <c r="W34" i="36" s="1"/>
  <c r="H39" i="37"/>
  <c r="W28" i="36"/>
  <c r="F35" i="39"/>
  <c r="F45" i="39"/>
  <c r="BL587" i="3"/>
  <c r="AZ587" i="3" s="1"/>
  <c r="BL586" i="3"/>
  <c r="AZ586" i="3" s="1"/>
  <c r="J9" i="36"/>
  <c r="AZ400" i="3"/>
  <c r="AZ487" i="3"/>
  <c r="U25" i="36"/>
  <c r="S46" i="33"/>
  <c r="U42" i="33"/>
  <c r="U27" i="34"/>
  <c r="AA25" i="34"/>
  <c r="AC39" i="34"/>
  <c r="W25" i="34"/>
  <c r="AB17" i="37"/>
  <c r="W39" i="37"/>
  <c r="AA38" i="37"/>
  <c r="W13" i="35"/>
  <c r="AA11" i="35"/>
  <c r="AA22" i="36"/>
  <c r="W19" i="39"/>
  <c r="S43" i="39"/>
  <c r="S17" i="40"/>
  <c r="AA34" i="33"/>
  <c r="U30" i="33"/>
  <c r="AC21" i="40"/>
  <c r="AA12" i="40"/>
  <c r="AZ387" i="3"/>
  <c r="AZ362" i="3"/>
  <c r="AZ338" i="3"/>
  <c r="AZ307" i="3"/>
  <c r="AZ390" i="3"/>
  <c r="AZ371" i="3"/>
  <c r="AZ351" i="3"/>
  <c r="AZ336" i="3"/>
  <c r="AZ305" i="3"/>
  <c r="AZ360" i="3"/>
  <c r="AB33" i="40"/>
  <c r="S42" i="21"/>
  <c r="W40" i="37"/>
  <c r="AC31" i="33"/>
  <c r="BL511" i="3"/>
  <c r="AZ511" i="3" s="1"/>
  <c r="BL539" i="3"/>
  <c r="AZ539" i="3" s="1"/>
  <c r="BL543" i="3"/>
  <c r="AZ543" i="3" s="1"/>
  <c r="BL553" i="3"/>
  <c r="AZ553" i="3" s="1"/>
  <c r="BL565" i="3"/>
  <c r="AZ565" i="3" s="1"/>
  <c r="G557" i="3"/>
  <c r="AB45" i="33"/>
  <c r="S11" i="36"/>
  <c r="AB26" i="33"/>
  <c r="AA29" i="35"/>
  <c r="AB17" i="34"/>
  <c r="W40" i="33"/>
  <c r="F34" i="36"/>
  <c r="S34" i="40"/>
  <c r="W8" i="40"/>
  <c r="W39" i="33"/>
  <c r="U33" i="33"/>
  <c r="J35" i="39"/>
  <c r="AC35" i="39" s="1"/>
  <c r="J36" i="35"/>
  <c r="AC36" i="35" s="1"/>
  <c r="J12" i="33"/>
  <c r="J23" i="36"/>
  <c r="J24" i="36"/>
  <c r="H24" i="36"/>
  <c r="H39" i="40"/>
  <c r="W31" i="35"/>
  <c r="AC31" i="35"/>
  <c r="BL550" i="3"/>
  <c r="AZ451" i="3"/>
  <c r="AZ577" i="3"/>
  <c r="AZ513" i="3"/>
  <c r="AZ528" i="3"/>
  <c r="AZ548" i="3"/>
  <c r="AZ566" i="3"/>
  <c r="AZ574" i="3"/>
  <c r="AZ582" i="3"/>
  <c r="AZ502" i="3"/>
  <c r="S45" i="33"/>
  <c r="U46" i="33"/>
  <c r="U34" i="34"/>
  <c r="W28" i="35"/>
  <c r="BA404" i="3"/>
  <c r="AZ404" i="3" s="1"/>
  <c r="BA405" i="3"/>
  <c r="AZ405" i="3" s="1"/>
  <c r="BL410" i="3"/>
  <c r="G412" i="3"/>
  <c r="AZ419" i="3"/>
  <c r="AZ464" i="3"/>
  <c r="AZ466" i="3"/>
  <c r="BL473" i="3"/>
  <c r="AZ473" i="3" s="1"/>
  <c r="BL474" i="3"/>
  <c r="BA482" i="3"/>
  <c r="BA484" i="3"/>
  <c r="AZ484" i="3" s="1"/>
  <c r="BA303" i="3"/>
  <c r="AZ303" i="3" s="1"/>
  <c r="BA307" i="3"/>
  <c r="BL314" i="3"/>
  <c r="AZ314" i="3" s="1"/>
  <c r="BA332" i="3"/>
  <c r="AZ332" i="3" s="1"/>
  <c r="BL332" i="3"/>
  <c r="G339" i="3"/>
  <c r="BA348" i="3"/>
  <c r="BA350" i="3"/>
  <c r="AZ350" i="3" s="1"/>
  <c r="BL400"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L585" i="3"/>
  <c r="AZ585" i="3" s="1"/>
  <c r="G558" i="3"/>
  <c r="BL398" i="3"/>
  <c r="G402" i="3"/>
  <c r="BL403" i="3"/>
  <c r="AZ403" i="3" s="1"/>
  <c r="G405"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67" i="3"/>
  <c r="AZ367" i="3" s="1"/>
  <c r="BA370" i="3"/>
  <c r="AZ370" i="3" s="1"/>
  <c r="BA384" i="3"/>
  <c r="AZ384" i="3" s="1"/>
  <c r="BA386" i="3"/>
  <c r="AZ386" i="3" s="1"/>
  <c r="BA214" i="3"/>
  <c r="G218" i="3"/>
  <c r="BA220" i="3"/>
  <c r="BL15" i="3"/>
  <c r="AZ15" i="3" s="1"/>
  <c r="BA398" i="3"/>
  <c r="BA399" i="3"/>
  <c r="AZ399" i="3" s="1"/>
  <c r="BL401" i="3"/>
  <c r="AZ401" i="3" s="1"/>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AZ441" i="3" s="1"/>
  <c r="BL442" i="3"/>
  <c r="BL444" i="3"/>
  <c r="AZ444" i="3" s="1"/>
  <c r="G446" i="3"/>
  <c r="BL448" i="3"/>
  <c r="AZ448" i="3" s="1"/>
  <c r="G450" i="3"/>
  <c r="BA454" i="3"/>
  <c r="AZ454" i="3" s="1"/>
  <c r="BA457" i="3"/>
  <c r="BA459" i="3"/>
  <c r="AZ459" i="3" s="1"/>
  <c r="BA460" i="3"/>
  <c r="AZ460" i="3" s="1"/>
  <c r="BA461" i="3"/>
  <c r="AZ461" i="3" s="1"/>
  <c r="BL464" i="3"/>
  <c r="BL466" i="3"/>
  <c r="G468" i="3"/>
  <c r="AZ483" i="3"/>
  <c r="BL489" i="3"/>
  <c r="BA333" i="3"/>
  <c r="BA354" i="3"/>
  <c r="BA392" i="3"/>
  <c r="AZ392" i="3" s="1"/>
  <c r="BA395" i="3"/>
  <c r="AZ395" i="3" s="1"/>
  <c r="BA225" i="3"/>
  <c r="G229" i="3"/>
  <c r="BA231" i="3"/>
  <c r="AZ57" i="3"/>
  <c r="S76" i="71"/>
  <c r="B75" i="71"/>
  <c r="B74" i="71" s="1"/>
  <c r="U80" i="71"/>
  <c r="E79" i="71"/>
  <c r="E78" i="71" s="1"/>
  <c r="BA366" i="3"/>
  <c r="AZ366" i="3" s="1"/>
  <c r="BL375" i="3"/>
  <c r="AZ375" i="3" s="1"/>
  <c r="BL385" i="3"/>
  <c r="BA397" i="3"/>
  <c r="AZ397" i="3" s="1"/>
  <c r="BL397" i="3"/>
  <c r="BA210" i="3"/>
  <c r="AZ210" i="3" s="1"/>
  <c r="BL210" i="3"/>
  <c r="BL212" i="3"/>
  <c r="BL214" i="3"/>
  <c r="BL225" i="3"/>
  <c r="BL226" i="3"/>
  <c r="BA239" i="3"/>
  <c r="AZ239" i="3" s="1"/>
  <c r="BL239" i="3"/>
  <c r="BA241" i="3"/>
  <c r="AZ241" i="3" s="1"/>
  <c r="BL241" i="3"/>
  <c r="BA244" i="3"/>
  <c r="AZ244" i="3" s="1"/>
  <c r="BL244" i="3"/>
  <c r="BA246" i="3"/>
  <c r="BA252" i="3"/>
  <c r="AZ252" i="3" s="1"/>
  <c r="BA254" i="3"/>
  <c r="AZ254" i="3" s="1"/>
  <c r="BA256" i="3"/>
  <c r="AZ256" i="3" s="1"/>
  <c r="BL256" i="3"/>
  <c r="BA258" i="3"/>
  <c r="BL264" i="3"/>
  <c r="BL266" i="3"/>
  <c r="BA268" i="3"/>
  <c r="BL273" i="3"/>
  <c r="BA277" i="3"/>
  <c r="AZ277" i="3" s="1"/>
  <c r="BL277" i="3"/>
  <c r="BA282" i="3"/>
  <c r="AZ282" i="3" s="1"/>
  <c r="BL282" i="3"/>
  <c r="BA284" i="3"/>
  <c r="AZ284" i="3" s="1"/>
  <c r="BL290" i="3"/>
  <c r="BL291" i="3"/>
  <c r="AZ291" i="3" s="1"/>
  <c r="BL293" i="3"/>
  <c r="BL294" i="3"/>
  <c r="BA297" i="3"/>
  <c r="AZ297" i="3" s="1"/>
  <c r="BL297" i="3"/>
  <c r="BL300" i="3"/>
  <c r="BA302" i="3"/>
  <c r="AZ302" i="3" s="1"/>
  <c r="BA117" i="3"/>
  <c r="BA130" i="3"/>
  <c r="AZ130" i="3" s="1"/>
  <c r="BL130" i="3"/>
  <c r="BL137" i="3"/>
  <c r="BA146" i="3"/>
  <c r="AZ146" i="3" s="1"/>
  <c r="BA150" i="3"/>
  <c r="BL166" i="3"/>
  <c r="BL186" i="3"/>
  <c r="AZ186" i="3" s="1"/>
  <c r="BL23" i="3"/>
  <c r="AB39" i="71"/>
  <c r="AB33" i="71"/>
  <c r="AB34" i="71"/>
  <c r="C44" i="71"/>
  <c r="D43" i="71"/>
  <c r="D54" i="71"/>
  <c r="C55" i="71"/>
  <c r="V68" i="71"/>
  <c r="Q68" i="71"/>
  <c r="F67" i="71"/>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L134" i="3"/>
  <c r="BL161" i="3"/>
  <c r="G162" i="3"/>
  <c r="BL162" i="3"/>
  <c r="AZ162" i="3" s="1"/>
  <c r="BL165" i="3"/>
  <c r="G166" i="3"/>
  <c r="G172" i="3"/>
  <c r="G190" i="3"/>
  <c r="G18" i="3"/>
  <c r="BA62" i="3"/>
  <c r="D67" i="71"/>
  <c r="C66" i="71"/>
  <c r="O67" i="7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BL292" i="3"/>
  <c r="BA294" i="3"/>
  <c r="BL295" i="3"/>
  <c r="BA298" i="3"/>
  <c r="AZ298" i="3" s="1"/>
  <c r="BL301" i="3"/>
  <c r="AZ301" i="3" s="1"/>
  <c r="BL302" i="3"/>
  <c r="BA114" i="3"/>
  <c r="BL123" i="3"/>
  <c r="AZ123" i="3" s="1"/>
  <c r="BA128" i="3"/>
  <c r="AZ128" i="3" s="1"/>
  <c r="G136" i="3"/>
  <c r="BA137" i="3"/>
  <c r="BL138" i="3"/>
  <c r="BA140" i="3"/>
  <c r="AZ140" i="3" s="1"/>
  <c r="BA142" i="3"/>
  <c r="BL149" i="3"/>
  <c r="AZ149" i="3" s="1"/>
  <c r="BL150" i="3"/>
  <c r="G151" i="3"/>
  <c r="BA152" i="3"/>
  <c r="AZ152" i="3" s="1"/>
  <c r="BA154" i="3"/>
  <c r="AZ154" i="3" s="1"/>
  <c r="BA160" i="3"/>
  <c r="AZ160" i="3" s="1"/>
  <c r="BL177" i="3"/>
  <c r="AZ177" i="3" s="1"/>
  <c r="G179" i="3"/>
  <c r="BL183" i="3"/>
  <c r="AZ183" i="3" s="1"/>
  <c r="G26" i="3"/>
  <c r="BL35" i="3"/>
  <c r="BA47" i="3"/>
  <c r="G56" i="3"/>
  <c r="AA25" i="40"/>
  <c r="S25" i="40"/>
  <c r="BA185" i="3"/>
  <c r="BL191" i="3"/>
  <c r="AZ191" i="3" s="1"/>
  <c r="BA193" i="3"/>
  <c r="BA196" i="3"/>
  <c r="AZ196" i="3" s="1"/>
  <c r="G203" i="3"/>
  <c r="BA205" i="3"/>
  <c r="AZ205" i="3" s="1"/>
  <c r="BL20" i="3"/>
  <c r="BA21" i="3"/>
  <c r="AZ21" i="3" s="1"/>
  <c r="BA25" i="3"/>
  <c r="BA26" i="3"/>
  <c r="BL28" i="3"/>
  <c r="BA29" i="3"/>
  <c r="AZ29" i="3" s="1"/>
  <c r="BA36" i="3"/>
  <c r="BL38" i="3"/>
  <c r="BA39" i="3"/>
  <c r="AZ39" i="3" s="1"/>
  <c r="BL47" i="3"/>
  <c r="G50" i="3"/>
  <c r="G52" i="3"/>
  <c r="BA52" i="3"/>
  <c r="AZ52" i="3" s="1"/>
  <c r="BA53" i="3"/>
  <c r="AZ53" i="3" s="1"/>
  <c r="BA54" i="3"/>
  <c r="BL57" i="3"/>
  <c r="G59" i="3"/>
  <c r="BL62" i="3"/>
  <c r="G67" i="3"/>
  <c r="BL68" i="3"/>
  <c r="BA69" i="3"/>
  <c r="AZ69" i="3" s="1"/>
  <c r="BA73" i="3"/>
  <c r="AA21" i="33"/>
  <c r="S21" i="33"/>
  <c r="AA21" i="37"/>
  <c r="S21" i="37"/>
  <c r="T32" i="71"/>
  <c r="D32" i="71"/>
  <c r="Y30" i="71"/>
  <c r="Z30" i="71" s="1"/>
  <c r="X31" i="71"/>
  <c r="B34" i="71"/>
  <c r="B35" i="71" s="1"/>
  <c r="B36" i="71" s="1"/>
  <c r="S36" i="71" s="1"/>
  <c r="X26" i="71"/>
  <c r="X39" i="71"/>
  <c r="X34" i="71"/>
  <c r="S68" i="71"/>
  <c r="B67" i="71"/>
  <c r="N68" i="7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AZ31" i="3" s="1"/>
  <c r="BA32" i="3"/>
  <c r="G38" i="3"/>
  <c r="BA38" i="3"/>
  <c r="BA41" i="3"/>
  <c r="AZ41" i="3" s="1"/>
  <c r="BA42" i="3"/>
  <c r="G46" i="3"/>
  <c r="G47" i="3"/>
  <c r="BL48" i="3"/>
  <c r="BL54" i="3"/>
  <c r="BL55" i="3"/>
  <c r="AZ55" i="3" s="1"/>
  <c r="G57" i="3"/>
  <c r="G58" i="3"/>
  <c r="BA59" i="3"/>
  <c r="G61" i="3"/>
  <c r="BL61" i="3"/>
  <c r="G64" i="3"/>
  <c r="BA64" i="3"/>
  <c r="AZ64" i="3" s="1"/>
  <c r="BA68" i="3"/>
  <c r="BL74" i="3"/>
  <c r="BL75" i="3"/>
  <c r="BA78" i="3"/>
  <c r="BL86" i="3"/>
  <c r="BL91" i="3"/>
  <c r="BL93" i="3"/>
  <c r="BL99" i="3"/>
  <c r="AA21" i="34"/>
  <c r="S21" i="34"/>
  <c r="P27" i="6"/>
  <c r="B27" i="71"/>
  <c r="B26" i="71" s="1"/>
  <c r="S28" i="71"/>
  <c r="C26" i="71"/>
  <c r="D26" i="71" s="1"/>
  <c r="D27" i="71"/>
  <c r="D34" i="71"/>
  <c r="C35" i="71"/>
  <c r="Y38" i="71"/>
  <c r="Z38" i="71" s="1"/>
  <c r="Y27" i="71"/>
  <c r="Z27" i="71" s="1"/>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BL69" i="3"/>
  <c r="G70" i="3"/>
  <c r="BL70" i="3"/>
  <c r="AZ70" i="3" s="1"/>
  <c r="BL71" i="3"/>
  <c r="BL72" i="3"/>
  <c r="AZ72" i="3" s="1"/>
  <c r="BL79" i="3"/>
  <c r="BL81" i="3"/>
  <c r="BA82" i="3"/>
  <c r="AZ82" i="3" s="1"/>
  <c r="BL83" i="3"/>
  <c r="BA89" i="3"/>
  <c r="BA94" i="3"/>
  <c r="AZ94" i="3" s="1"/>
  <c r="BA105" i="3"/>
  <c r="AZ105" i="3" s="1"/>
  <c r="AB29" i="39"/>
  <c r="U29" i="39"/>
  <c r="C25" i="40"/>
  <c r="B88" i="43"/>
  <c r="T52" i="71"/>
  <c r="D52" i="71"/>
  <c r="D28" i="71"/>
  <c r="U28" i="71" s="1"/>
  <c r="T28" i="71"/>
  <c r="Y26" i="71"/>
  <c r="Z26" i="71" s="1"/>
  <c r="F30" i="71"/>
  <c r="F31" i="71" s="1"/>
  <c r="F32" i="71" s="1"/>
  <c r="V32" i="71" s="1"/>
  <c r="AB27" i="71"/>
  <c r="AB31" i="71"/>
  <c r="AB35" i="71"/>
  <c r="AB36" i="71"/>
  <c r="AA36" i="71"/>
  <c r="AA37" i="71"/>
  <c r="E38" i="71"/>
  <c r="E39" i="71" s="1"/>
  <c r="E40" i="71" s="1"/>
  <c r="U40" i="71" s="1"/>
  <c r="C60" i="71"/>
  <c r="D59" i="71"/>
  <c r="B63" i="71"/>
  <c r="B64" i="71" s="1"/>
  <c r="S64" i="71" s="1"/>
  <c r="V76" i="71"/>
  <c r="F75" i="71"/>
  <c r="F74" i="71" s="1"/>
  <c r="V24" i="71"/>
  <c r="E23" i="71"/>
  <c r="E22" i="71" s="1"/>
  <c r="E21" i="71" s="1"/>
  <c r="E20" i="71" s="1"/>
  <c r="BA74" i="3"/>
  <c r="BA75" i="3"/>
  <c r="AZ75" i="3" s="1"/>
  <c r="G81" i="3"/>
  <c r="G85" i="3"/>
  <c r="BL85" i="3"/>
  <c r="BA86" i="3"/>
  <c r="AZ86" i="3" s="1"/>
  <c r="BA87" i="3"/>
  <c r="BA91" i="3"/>
  <c r="G96" i="3"/>
  <c r="BL97" i="3"/>
  <c r="AZ97" i="3" s="1"/>
  <c r="BL101" i="3"/>
  <c r="BL102" i="3"/>
  <c r="AZ102" i="3" s="1"/>
  <c r="G104" i="3"/>
  <c r="G105" i="3"/>
  <c r="BL106" i="3"/>
  <c r="BA108" i="3"/>
  <c r="BA110" i="3"/>
  <c r="AZ110" i="3" s="1"/>
  <c r="F3" i="35"/>
  <c r="B77" i="43"/>
  <c r="AA28" i="71"/>
  <c r="E75" i="71"/>
  <c r="E74" i="71" s="1"/>
  <c r="AB25" i="71"/>
  <c r="Y25" i="71"/>
  <c r="Z25" i="71" s="1"/>
  <c r="Y29" i="71"/>
  <c r="Z29" i="71" s="1"/>
  <c r="AB32" i="71"/>
  <c r="X33" i="71"/>
  <c r="AB37" i="71"/>
  <c r="BA103" i="3"/>
  <c r="AZ103" i="3" s="1"/>
  <c r="BA104" i="3"/>
  <c r="BA106" i="3"/>
  <c r="BL108" i="3"/>
  <c r="BL111" i="3"/>
  <c r="AZ111" i="3" s="1"/>
  <c r="P66" i="71"/>
  <c r="AA27" i="71"/>
  <c r="AB26" i="71"/>
  <c r="C83" i="71"/>
  <c r="C79" i="71"/>
  <c r="C75" i="71"/>
  <c r="C71" i="71"/>
  <c r="C39" i="71"/>
  <c r="Y28" i="71"/>
  <c r="Z28" i="71" s="1"/>
  <c r="X28" i="71"/>
  <c r="X32" i="71"/>
  <c r="F38" i="71"/>
  <c r="F39" i="71" s="1"/>
  <c r="F40" i="71" s="1"/>
  <c r="V40" i="71" s="1"/>
  <c r="AB38" i="71"/>
  <c r="B79" i="71"/>
  <c r="B78" i="71" s="1"/>
  <c r="BA63" i="3"/>
  <c r="AZ63" i="3" s="1"/>
  <c r="BA66" i="3"/>
  <c r="AZ66" i="3" s="1"/>
  <c r="BA71" i="3"/>
  <c r="AZ71" i="3" s="1"/>
  <c r="G76" i="3"/>
  <c r="BL77" i="3"/>
  <c r="AZ77" i="3" s="1"/>
  <c r="BA79" i="3"/>
  <c r="G82" i="3"/>
  <c r="G83" i="3"/>
  <c r="BA84" i="3"/>
  <c r="AZ84" i="3" s="1"/>
  <c r="BL88" i="3"/>
  <c r="AZ88" i="3" s="1"/>
  <c r="G90" i="3"/>
  <c r="BL90" i="3"/>
  <c r="BL92" i="3"/>
  <c r="G101" i="3"/>
  <c r="BA101" i="3"/>
  <c r="G108" i="3"/>
  <c r="G109" i="3"/>
  <c r="BL112" i="3"/>
  <c r="AB21" i="33"/>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K14" i="1"/>
  <c r="K16" i="1" s="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I1" i="73"/>
  <c r="B39" i="1" s="1"/>
  <c r="F51" i="67"/>
  <c r="F65" i="67"/>
  <c r="J53" i="67"/>
  <c r="J57" i="67"/>
  <c r="J55" i="67" s="1"/>
  <c r="J58" i="67" s="1"/>
  <c r="Q50" i="67" s="1"/>
  <c r="L56" i="67"/>
  <c r="I54" i="67"/>
  <c r="M7" i="15"/>
  <c r="F50" i="15"/>
  <c r="F71" i="15"/>
  <c r="F66" i="67"/>
  <c r="L59" i="15"/>
  <c r="N59" i="15"/>
  <c r="L58" i="15"/>
  <c r="M59" i="15"/>
  <c r="Q71" i="67"/>
  <c r="C27" i="67"/>
  <c r="F71" i="67"/>
  <c r="C27" i="15"/>
  <c r="F65" i="15"/>
  <c r="N59" i="67"/>
  <c r="L59" i="67"/>
  <c r="L58" i="67"/>
  <c r="M59" i="67"/>
  <c r="B13" i="70"/>
  <c r="M7" i="67"/>
  <c r="J6" i="67" s="1"/>
  <c r="F50" i="67"/>
  <c r="F68" i="67"/>
  <c r="F64" i="67"/>
  <c r="F68" i="15"/>
  <c r="C36" i="68"/>
  <c r="D9" i="68"/>
  <c r="F42" i="15"/>
  <c r="C16" i="67"/>
  <c r="F38" i="15"/>
  <c r="F9" i="15"/>
  <c r="F27" i="69"/>
  <c r="F16" i="15"/>
  <c r="D5" i="73"/>
  <c r="M29" i="15"/>
  <c r="C76" i="15"/>
  <c r="D9" i="69"/>
  <c r="D4" i="73"/>
  <c r="F8" i="15"/>
  <c r="C36" i="69"/>
  <c r="F36" i="15"/>
  <c r="D7" i="73"/>
  <c r="M8" i="15"/>
  <c r="D3" i="73"/>
  <c r="AA11" i="39" l="1"/>
  <c r="AB11" i="39"/>
  <c r="U41" i="39"/>
  <c r="W31" i="39"/>
  <c r="AC31" i="39"/>
  <c r="AA44" i="39"/>
  <c r="S44" i="39"/>
  <c r="AC44" i="39"/>
  <c r="W44" i="39"/>
  <c r="AA41" i="39"/>
  <c r="F48" i="9"/>
  <c r="O52" i="9" s="1"/>
  <c r="F28" i="67"/>
  <c r="C28" i="67" s="1"/>
  <c r="F32" i="67"/>
  <c r="F60" i="67" s="1"/>
  <c r="F28" i="15"/>
  <c r="C28" i="15" s="1"/>
  <c r="F31" i="12"/>
  <c r="C31" i="12" s="1"/>
  <c r="F30" i="69"/>
  <c r="D68" i="9"/>
  <c r="F30" i="11"/>
  <c r="M18" i="15"/>
  <c r="M18" i="67"/>
  <c r="F30" i="68"/>
  <c r="F52" i="9"/>
  <c r="F32" i="15"/>
  <c r="F60" i="15" s="1"/>
  <c r="F54" i="9"/>
  <c r="P6" i="1"/>
  <c r="C13" i="12" s="1"/>
  <c r="G26" i="43"/>
  <c r="E26" i="43"/>
  <c r="J26" i="43"/>
  <c r="N370" i="46"/>
  <c r="F26" i="43"/>
  <c r="D26" i="43" s="1"/>
  <c r="C25" i="43" s="1"/>
  <c r="E59" i="40"/>
  <c r="J7" i="36"/>
  <c r="Q71" i="15"/>
  <c r="F51" i="15"/>
  <c r="C49" i="15" s="1"/>
  <c r="C6" i="15"/>
  <c r="C32" i="15" s="1"/>
  <c r="F31" i="15"/>
  <c r="F66" i="15"/>
  <c r="F64" i="15"/>
  <c r="AZ101" i="3"/>
  <c r="D79" i="71"/>
  <c r="C78" i="71"/>
  <c r="D78" i="71" s="1"/>
  <c r="AZ74" i="3"/>
  <c r="AZ19" i="3"/>
  <c r="C36" i="71"/>
  <c r="D35" i="71"/>
  <c r="AZ27" i="3"/>
  <c r="N67" i="71"/>
  <c r="B66" i="71"/>
  <c r="AZ38" i="3"/>
  <c r="AZ137" i="3"/>
  <c r="AZ271" i="3"/>
  <c r="AZ398" i="3"/>
  <c r="AZ214" i="3"/>
  <c r="AB24" i="36"/>
  <c r="U24" i="36"/>
  <c r="J6" i="15"/>
  <c r="J18" i="15" s="1"/>
  <c r="AZ79" i="3"/>
  <c r="D39" i="71"/>
  <c r="C40" i="71"/>
  <c r="D83" i="71"/>
  <c r="C82" i="71"/>
  <c r="D82" i="71" s="1"/>
  <c r="AZ108" i="3"/>
  <c r="AZ91" i="3"/>
  <c r="AZ61" i="3"/>
  <c r="AZ59" i="3"/>
  <c r="AZ25" i="3"/>
  <c r="AZ47" i="3"/>
  <c r="AZ294" i="3"/>
  <c r="O65" i="71"/>
  <c r="O66" i="71"/>
  <c r="D66" i="71"/>
  <c r="T44" i="71"/>
  <c r="D44" i="71"/>
  <c r="AZ150" i="3"/>
  <c r="AZ457" i="3"/>
  <c r="AZ421" i="3"/>
  <c r="AZ414" i="3"/>
  <c r="AC24" i="36"/>
  <c r="W24" i="36"/>
  <c r="U39" i="37"/>
  <c r="AB39" i="37"/>
  <c r="U45" i="39"/>
  <c r="AB45" i="39"/>
  <c r="G5" i="3"/>
  <c r="B3" i="3" s="1"/>
  <c r="E233" i="3" s="1"/>
  <c r="D71" i="71"/>
  <c r="C70" i="71"/>
  <c r="D70" i="71" s="1"/>
  <c r="D55" i="71"/>
  <c r="C56" i="71"/>
  <c r="AC23" i="36"/>
  <c r="W23" i="36"/>
  <c r="S34" i="36"/>
  <c r="AA34" i="36"/>
  <c r="S45" i="39"/>
  <c r="AA45" i="39"/>
  <c r="U14" i="21"/>
  <c r="AB14" i="21"/>
  <c r="AZ550" i="3"/>
  <c r="D121" i="9"/>
  <c r="D7" i="52" s="1"/>
  <c r="D6" i="52"/>
  <c r="G16" i="1"/>
  <c r="F10" i="39" s="1"/>
  <c r="AA10" i="39" s="1"/>
  <c r="C74" i="71"/>
  <c r="D74" i="71" s="1"/>
  <c r="D75" i="71"/>
  <c r="T60" i="71"/>
  <c r="D60" i="71"/>
  <c r="AZ62" i="3"/>
  <c r="F66" i="71"/>
  <c r="Q67" i="71"/>
  <c r="U39" i="40"/>
  <c r="AB39" i="40"/>
  <c r="W12" i="33"/>
  <c r="AC12" i="33"/>
  <c r="AC9" i="36"/>
  <c r="W9" i="36"/>
  <c r="AA35" i="39"/>
  <c r="S35" i="39"/>
  <c r="J7" i="37"/>
  <c r="K1" i="73"/>
  <c r="E442" i="3"/>
  <c r="E16" i="3"/>
  <c r="E365" i="3"/>
  <c r="E187" i="3"/>
  <c r="E280" i="3"/>
  <c r="E334" i="3"/>
  <c r="E239" i="3"/>
  <c r="E85" i="3"/>
  <c r="E458" i="3"/>
  <c r="E351" i="3"/>
  <c r="E210" i="3"/>
  <c r="E441" i="3"/>
  <c r="E533" i="3"/>
  <c r="E185" i="3"/>
  <c r="E495" i="3"/>
  <c r="E77" i="3"/>
  <c r="E454" i="3"/>
  <c r="E227" i="3"/>
  <c r="E327" i="3"/>
  <c r="E109" i="3"/>
  <c r="E322" i="3"/>
  <c r="E514" i="3"/>
  <c r="E69" i="3"/>
  <c r="E535" i="3"/>
  <c r="E385" i="3"/>
  <c r="E296" i="3"/>
  <c r="E275" i="3"/>
  <c r="AA26" i="37"/>
  <c r="S26" i="37"/>
  <c r="BA5" i="3"/>
  <c r="E27" i="6" s="1"/>
  <c r="K26" i="6" s="1"/>
  <c r="M26" i="6" s="1"/>
  <c r="I26" i="6" s="1"/>
  <c r="S26" i="6" s="1"/>
  <c r="C19" i="71"/>
  <c r="T20" i="71"/>
  <c r="D20" i="71"/>
  <c r="U20" i="71" s="1"/>
  <c r="AZ5" i="3"/>
  <c r="AY6" i="3" s="1"/>
  <c r="E487" i="3"/>
  <c r="E219" i="3"/>
  <c r="W40" i="40"/>
  <c r="AC40" i="40"/>
  <c r="AC12" i="21"/>
  <c r="W12" i="21"/>
  <c r="AB12" i="21"/>
  <c r="U12" i="21"/>
  <c r="AA27" i="34"/>
  <c r="S27" i="34"/>
  <c r="AC26" i="37"/>
  <c r="W26" i="37"/>
  <c r="BL5" i="3"/>
  <c r="B15" i="71"/>
  <c r="B14" i="71" s="1"/>
  <c r="B13" i="71" s="1"/>
  <c r="B12" i="71" s="1"/>
  <c r="S16" i="71"/>
  <c r="F7" i="36"/>
  <c r="H7" i="36"/>
  <c r="E94" i="3"/>
  <c r="E369" i="3"/>
  <c r="AA9" i="36"/>
  <c r="S9" i="36"/>
  <c r="AA34" i="35"/>
  <c r="S34" i="35"/>
  <c r="E15" i="71"/>
  <c r="E14" i="71" s="1"/>
  <c r="E13" i="71" s="1"/>
  <c r="E12" i="71" s="1"/>
  <c r="V16" i="71"/>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C16" i="15"/>
  <c r="AE6" i="1"/>
  <c r="G1" i="73"/>
  <c r="F41" i="67"/>
  <c r="C32" i="67" l="1"/>
  <c r="C28" i="43"/>
  <c r="T11" i="43" s="1"/>
  <c r="V11" i="43" s="1"/>
  <c r="F48" i="69"/>
  <c r="C48" i="69"/>
  <c r="C30" i="69"/>
  <c r="C48" i="11"/>
  <c r="C30" i="11"/>
  <c r="F48" i="68"/>
  <c r="C30" i="68"/>
  <c r="C48" i="68"/>
  <c r="S10" i="39"/>
  <c r="J10" i="39"/>
  <c r="W10" i="39" s="1"/>
  <c r="F10" i="40"/>
  <c r="S10" i="40" s="1"/>
  <c r="E139" i="3"/>
  <c r="E118" i="3"/>
  <c r="E246" i="3"/>
  <c r="E387" i="3"/>
  <c r="E211" i="3"/>
  <c r="K6" i="3"/>
  <c r="E439" i="3"/>
  <c r="E515" i="3"/>
  <c r="E551" i="3"/>
  <c r="E523" i="3"/>
  <c r="E408" i="3"/>
  <c r="H10" i="39"/>
  <c r="U10" i="39" s="1"/>
  <c r="E142" i="3"/>
  <c r="E200" i="3"/>
  <c r="E445" i="3"/>
  <c r="E247" i="3"/>
  <c r="E400" i="3"/>
  <c r="E465" i="3"/>
  <c r="E134" i="3"/>
  <c r="E305" i="3"/>
  <c r="E269" i="3"/>
  <c r="E382" i="3"/>
  <c r="E429" i="3"/>
  <c r="E48" i="3"/>
  <c r="AL6" i="3"/>
  <c r="E191" i="3"/>
  <c r="E335" i="3"/>
  <c r="E431" i="3"/>
  <c r="E489" i="3"/>
  <c r="E214" i="3"/>
  <c r="AK6" i="3"/>
  <c r="E361" i="3"/>
  <c r="E410" i="3"/>
  <c r="E447" i="3"/>
  <c r="E571" i="3"/>
  <c r="E415" i="3"/>
  <c r="E448" i="3"/>
  <c r="E207" i="3"/>
  <c r="L6" i="3"/>
  <c r="E64" i="3"/>
  <c r="E3" i="6"/>
  <c r="E248" i="3"/>
  <c r="E131" i="3"/>
  <c r="E148" i="3"/>
  <c r="E263" i="3"/>
  <c r="E278" i="3"/>
  <c r="E570" i="3"/>
  <c r="AJ6" i="3"/>
  <c r="E273" i="3"/>
  <c r="E345" i="3"/>
  <c r="E368" i="3"/>
  <c r="E106" i="3"/>
  <c r="E560" i="3"/>
  <c r="E568" i="3"/>
  <c r="E301" i="3"/>
  <c r="E261" i="3"/>
  <c r="AR6" i="3"/>
  <c r="E508" i="3"/>
  <c r="E331" i="3"/>
  <c r="E505" i="3"/>
  <c r="E318" i="3"/>
  <c r="E562" i="3"/>
  <c r="E336" i="3"/>
  <c r="E294" i="3"/>
  <c r="E366" i="3"/>
  <c r="E580" i="3"/>
  <c r="E302" i="3"/>
  <c r="E474" i="3"/>
  <c r="E24" i="3"/>
  <c r="AH6" i="3"/>
  <c r="E102" i="3"/>
  <c r="E95" i="3"/>
  <c r="E217" i="3"/>
  <c r="E28" i="3"/>
  <c r="Z6" i="3"/>
  <c r="E315" i="3"/>
  <c r="E587" i="3"/>
  <c r="E228" i="3"/>
  <c r="E124" i="3"/>
  <c r="E503" i="3"/>
  <c r="E380" i="3"/>
  <c r="E337" i="3"/>
  <c r="E175" i="3"/>
  <c r="E27" i="3"/>
  <c r="E585" i="3"/>
  <c r="E111" i="3"/>
  <c r="E45" i="3"/>
  <c r="E117" i="3"/>
  <c r="E229" i="3"/>
  <c r="E121" i="3"/>
  <c r="E177" i="3"/>
  <c r="E317" i="3"/>
  <c r="E374" i="3"/>
  <c r="E392" i="3"/>
  <c r="E428" i="3"/>
  <c r="J5" i="15"/>
  <c r="J24" i="15" s="1"/>
  <c r="H10" i="40"/>
  <c r="AB10" i="40" s="1"/>
  <c r="J10" i="40"/>
  <c r="AC10" i="40" s="1"/>
  <c r="D56" i="71"/>
  <c r="T56" i="71"/>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99" i="3"/>
  <c r="E293" i="3"/>
  <c r="E550" i="3"/>
  <c r="E320" i="3"/>
  <c r="E396" i="3"/>
  <c r="E125" i="3"/>
  <c r="E88" i="3"/>
  <c r="AG6" i="3"/>
  <c r="E394" i="3"/>
  <c r="AE6" i="3"/>
  <c r="E120" i="3"/>
  <c r="E353" i="3"/>
  <c r="E17" i="3"/>
  <c r="E285" i="3"/>
  <c r="E92" i="3"/>
  <c r="E14" i="3"/>
  <c r="E224" i="3"/>
  <c r="E87" i="3"/>
  <c r="E584" i="3"/>
  <c r="E446" i="3"/>
  <c r="E58" i="3"/>
  <c r="E62" i="3"/>
  <c r="E234" i="3"/>
  <c r="E276" i="3"/>
  <c r="E422" i="3"/>
  <c r="E158" i="3"/>
  <c r="E115" i="3"/>
  <c r="E405" i="3"/>
  <c r="E34" i="3"/>
  <c r="E198" i="3"/>
  <c r="E67" i="3"/>
  <c r="E409" i="3"/>
  <c r="E417" i="3"/>
  <c r="E575" i="3"/>
  <c r="E581" i="3"/>
  <c r="E252" i="3"/>
  <c r="E203" i="3"/>
  <c r="E481" i="3"/>
  <c r="E434" i="3"/>
  <c r="E303" i="3"/>
  <c r="E304" i="3"/>
  <c r="E328" i="3"/>
  <c r="E547" i="3"/>
  <c r="E168" i="3"/>
  <c r="E136" i="3"/>
  <c r="AD6" i="3"/>
  <c r="E297" i="3"/>
  <c r="E500" i="3"/>
  <c r="E460" i="3"/>
  <c r="E340" i="3"/>
  <c r="E38" i="3"/>
  <c r="E108" i="3"/>
  <c r="E543" i="3"/>
  <c r="E49" i="3"/>
  <c r="E420" i="3"/>
  <c r="E173" i="3"/>
  <c r="E235" i="3"/>
  <c r="E309" i="3"/>
  <c r="E310" i="3"/>
  <c r="E389" i="3"/>
  <c r="E554" i="3"/>
  <c r="E536" i="3"/>
  <c r="E477" i="3"/>
  <c r="E549" i="3"/>
  <c r="E72" i="3"/>
  <c r="E573" i="3"/>
  <c r="E453" i="3"/>
  <c r="E245" i="3"/>
  <c r="E114" i="3"/>
  <c r="E559" i="3"/>
  <c r="N6" i="3"/>
  <c r="E316" i="3"/>
  <c r="E558" i="3"/>
  <c r="E236" i="3"/>
  <c r="E73" i="3"/>
  <c r="E437" i="3"/>
  <c r="E238" i="3"/>
  <c r="E159" i="3"/>
  <c r="E321" i="3"/>
  <c r="E319" i="3"/>
  <c r="E411" i="3"/>
  <c r="E537" i="3"/>
  <c r="E127" i="3"/>
  <c r="E163" i="3"/>
  <c r="E149" i="3"/>
  <c r="E244" i="3"/>
  <c r="E141" i="3"/>
  <c r="E112" i="3"/>
  <c r="E473" i="3"/>
  <c r="E401" i="3"/>
  <c r="E105" i="3"/>
  <c r="E220" i="3"/>
  <c r="E497" i="3"/>
  <c r="E22" i="3"/>
  <c r="E18" i="3"/>
  <c r="E63" i="3"/>
  <c r="E267" i="3"/>
  <c r="E241" i="3"/>
  <c r="E449" i="3"/>
  <c r="T40" i="71"/>
  <c r="D40" i="71"/>
  <c r="Q66" i="71"/>
  <c r="Q65" i="71"/>
  <c r="N65" i="71"/>
  <c r="N66" i="71"/>
  <c r="D36" i="71"/>
  <c r="T3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W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C35" i="9"/>
  <c r="M27" i="67"/>
  <c r="F41" i="15"/>
  <c r="M27" i="15"/>
  <c r="AC10" i="39" l="1"/>
  <c r="C37" i="43"/>
  <c r="T6" i="43"/>
  <c r="V6" i="43" s="1"/>
  <c r="T8" i="43"/>
  <c r="V8" i="43" s="1"/>
  <c r="T13" i="43"/>
  <c r="V13" i="43" s="1"/>
  <c r="C42" i="43"/>
  <c r="E42" i="43" s="1"/>
  <c r="C40" i="43"/>
  <c r="T2" i="43"/>
  <c r="V2" i="43" s="1"/>
  <c r="T10" i="43"/>
  <c r="V10" i="43" s="1"/>
  <c r="T7" i="43"/>
  <c r="V7" i="43" s="1"/>
  <c r="T15" i="43"/>
  <c r="V15" i="43" s="1"/>
  <c r="C39" i="43"/>
  <c r="E39" i="43" s="1"/>
  <c r="C33" i="43"/>
  <c r="T3" i="43"/>
  <c r="V3" i="43" s="1"/>
  <c r="T12" i="43"/>
  <c r="V12" i="43" s="1"/>
  <c r="T9" i="43"/>
  <c r="V9" i="43" s="1"/>
  <c r="C38" i="43"/>
  <c r="G38" i="43" s="1"/>
  <c r="I38" i="43" s="1"/>
  <c r="T16" i="43"/>
  <c r="V16" i="43" s="1"/>
  <c r="C41" i="43"/>
  <c r="T5" i="43"/>
  <c r="V5" i="43" s="1"/>
  <c r="T4" i="43"/>
  <c r="V4" i="43" s="1"/>
  <c r="T14" i="43"/>
  <c r="V14" i="43" s="1"/>
  <c r="AA10" i="40"/>
  <c r="AB10" i="39"/>
  <c r="U10" i="40"/>
  <c r="AC6" i="3"/>
  <c r="H6" i="3"/>
  <c r="E6" i="3" s="1"/>
  <c r="D116" i="43"/>
  <c r="F22" i="11"/>
  <c r="C44" i="11" s="1"/>
  <c r="D41" i="11" s="1"/>
  <c r="F22" i="68"/>
  <c r="F41" i="68" s="1"/>
  <c r="F25" i="12"/>
  <c r="C26" i="12" s="1"/>
  <c r="D25" i="12" s="1"/>
  <c r="F24" i="67"/>
  <c r="C24" i="67" s="1"/>
  <c r="F24" i="15"/>
  <c r="C24" i="15" s="1"/>
  <c r="F22" i="69"/>
  <c r="F41" i="69"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E40" i="43"/>
  <c r="G40" i="43"/>
  <c r="I40"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8"/>
  <c r="C34" i="69"/>
  <c r="D10" i="69"/>
  <c r="C17" i="67"/>
  <c r="C14" i="67"/>
  <c r="C17" i="15"/>
  <c r="C34" i="43" l="1"/>
  <c r="E34" i="43" s="1"/>
  <c r="C26" i="69"/>
  <c r="D22" i="69" s="1"/>
  <c r="G39" i="43"/>
  <c r="I39" i="43" s="1"/>
  <c r="E33" i="43"/>
  <c r="E38" i="43"/>
  <c r="C30" i="43" s="1"/>
  <c r="B2" i="43" s="1"/>
  <c r="B3" i="43" s="1"/>
  <c r="C25" i="11"/>
  <c r="C24" i="11"/>
  <c r="C23" i="11"/>
  <c r="C26" i="11"/>
  <c r="D22" i="11" s="1"/>
  <c r="C23" i="68"/>
  <c r="C44" i="69"/>
  <c r="D41" i="69" s="1"/>
  <c r="C26" i="68"/>
  <c r="D22" i="68" s="1"/>
  <c r="C44" i="68"/>
  <c r="D41" i="68" s="1"/>
  <c r="C16" i="71"/>
  <c r="D17" i="71"/>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Q69" i="67" l="1"/>
  <c r="Q68" i="67" s="1"/>
  <c r="H40" i="67"/>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C21" i="9" l="1"/>
  <c r="C102"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4"/>
  <c r="D2" i="36"/>
  <c r="D2" i="35"/>
  <c r="D2" i="37"/>
  <c r="L51" i="15"/>
  <c r="C103" i="9"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10" i="1"/>
  <c r="AO6" i="1"/>
  <c r="AO12" i="1"/>
  <c r="AO7" i="1"/>
  <c r="AO9" i="1"/>
  <c r="AO8" i="1"/>
  <c r="R48" i="39" l="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69" l="1"/>
  <c r="C5" i="69"/>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3" i="69" l="1"/>
  <c r="C20" i="69"/>
  <c r="F65" i="39"/>
  <c r="B2" i="39" s="1"/>
  <c r="B3" i="39" s="1"/>
  <c r="D6" i="71"/>
  <c r="C5" i="71"/>
  <c r="D5" i="71" s="1"/>
  <c r="M24" i="43" s="1"/>
  <c r="C42" i="40"/>
  <c r="C43" i="40"/>
  <c r="E47" i="40"/>
  <c r="F47" i="40" s="1"/>
  <c r="E46" i="40"/>
  <c r="F46" i="40" s="1"/>
  <c r="I47" i="40"/>
  <c r="J47" i="40" s="1"/>
  <c r="C28" i="69" l="1"/>
  <c r="C27" i="69" s="1"/>
  <c r="C25" i="69"/>
  <c r="C22" i="69" s="1"/>
  <c r="C31" i="69" s="1"/>
  <c r="C52" i="69" s="1"/>
  <c r="B58" i="40"/>
  <c r="F58" i="40" s="1"/>
  <c r="B54" i="40"/>
  <c r="F54" i="40" s="1"/>
  <c r="B53" i="40"/>
  <c r="F53" i="40" s="1"/>
  <c r="B59" i="40"/>
  <c r="F59" i="40" s="1"/>
  <c r="B52" i="40"/>
  <c r="F52" i="40" s="1"/>
  <c r="B56" i="40"/>
  <c r="F56" i="40" s="1"/>
  <c r="B60" i="40"/>
  <c r="F60" i="40" s="1"/>
  <c r="B57" i="40"/>
  <c r="F57" i="40" s="1"/>
  <c r="B51" i="40"/>
  <c r="F51" i="40" s="1"/>
  <c r="F61" i="40"/>
  <c r="B2" i="40" s="1"/>
  <c r="B3" i="40" s="1"/>
  <c r="B2" i="69" l="1"/>
  <c r="C57" i="69"/>
  <c r="C56" i="69" s="1"/>
  <c r="G118" i="9"/>
  <c r="F118" i="9" s="1"/>
  <c r="B3" i="69"/>
  <c r="D20" i="9" s="1"/>
  <c r="D19" i="9"/>
  <c r="D102" i="9" l="1"/>
  <c r="D21" i="9"/>
  <c r="G19" i="9"/>
  <c r="G21" i="9" s="1"/>
  <c r="D22" i="9"/>
  <c r="D103" i="9"/>
  <c r="G20" i="9"/>
  <c r="C32" i="9" s="1"/>
  <c r="F119" i="9"/>
  <c r="F5" i="52" s="1"/>
  <c r="B53" i="72" s="1"/>
  <c r="F4" i="52"/>
  <c r="B51" i="72" s="1"/>
  <c r="G4" i="52"/>
  <c r="B52" i="72" s="1"/>
  <c r="E118" i="9"/>
  <c r="D34" i="9" l="1"/>
  <c r="D35" i="9"/>
  <c r="I118" i="9"/>
  <c r="E4" i="52"/>
  <c r="B48" i="72" s="1"/>
  <c r="D118" i="9"/>
  <c r="I4" i="52" l="1"/>
  <c r="H118" i="9"/>
  <c r="C105" i="9"/>
  <c r="H102" i="9"/>
  <c r="D4" i="52"/>
  <c r="B47" i="72" s="1"/>
  <c r="D119" i="9"/>
  <c r="D5" i="52" s="1"/>
  <c r="B49" i="72" s="1"/>
  <c r="R24" i="31" l="1"/>
  <c r="D7" i="53"/>
  <c r="B21" i="72" s="1"/>
  <c r="H119" i="9"/>
  <c r="H5" i="52" s="1"/>
  <c r="H101" i="9"/>
  <c r="H4" i="52"/>
  <c r="C104" i="9"/>
  <c r="D45" i="9" l="1"/>
  <c r="D5" i="53"/>
  <c r="M48" i="9"/>
  <c r="H107" i="9"/>
  <c r="R31" i="31"/>
  <c r="S31" i="31" s="1"/>
  <c r="R28" i="31"/>
  <c r="S28" i="31" s="1"/>
  <c r="R25" i="31"/>
  <c r="S25" i="31" s="1"/>
  <c r="R26" i="31"/>
  <c r="S26" i="31" s="1"/>
  <c r="S24" i="31"/>
  <c r="R32" i="31"/>
  <c r="S32" i="31" s="1"/>
  <c r="R30" i="31"/>
  <c r="S30" i="31" s="1"/>
  <c r="R27" i="31"/>
  <c r="S27" i="31" s="1"/>
  <c r="R29" i="31"/>
  <c r="S29" i="31" s="1"/>
  <c r="R33" i="31"/>
  <c r="S33" i="31" s="1"/>
  <c r="D122" i="9" l="1"/>
  <c r="D13" i="53"/>
  <c r="H108" i="9"/>
  <c r="D15" i="53" s="1"/>
  <c r="B31" i="72" s="1"/>
  <c r="M49" i="9"/>
  <c r="D6" i="53"/>
  <c r="B22" i="72" s="1"/>
  <c r="B20" i="72"/>
  <c r="S22" i="31"/>
  <c r="C85" i="9"/>
  <c r="C93" i="9"/>
  <c r="C86" i="9" s="1"/>
  <c r="D55" i="9"/>
  <c r="M53" i="9" s="1"/>
  <c r="C78" i="9"/>
  <c r="C73" i="9" s="1"/>
  <c r="C72" i="9"/>
  <c r="C64" i="9"/>
  <c r="C63" i="9" s="1"/>
  <c r="C67" i="9" s="1"/>
  <c r="D52" i="9"/>
  <c r="D53" i="9"/>
  <c r="C79" i="9" l="1"/>
  <c r="C95" i="9"/>
  <c r="L66" i="9"/>
  <c r="M66" i="9" s="1"/>
  <c r="L64" i="9"/>
  <c r="M64" i="9" s="1"/>
  <c r="L67" i="9"/>
  <c r="M67" i="9" s="1"/>
  <c r="L63" i="9"/>
  <c r="M63" i="9" s="1"/>
  <c r="L68" i="9"/>
  <c r="M68" i="9" s="1"/>
  <c r="L65" i="9"/>
  <c r="M65" i="9" s="1"/>
  <c r="C68" i="9"/>
  <c r="D54" i="9" s="1"/>
  <c r="D59" i="9"/>
  <c r="M55" i="9" s="1"/>
  <c r="C80" i="9"/>
  <c r="E80" i="9" s="1"/>
  <c r="E81" i="9" s="1"/>
  <c r="C81" i="9"/>
  <c r="B20" i="31"/>
  <c r="B21" i="31" s="1"/>
  <c r="R22" i="31"/>
  <c r="D14" i="74"/>
  <c r="G14" i="74"/>
  <c r="B6" i="74" s="1"/>
  <c r="D14" i="53"/>
  <c r="B32" i="72" s="1"/>
  <c r="B30" i="72"/>
  <c r="D8" i="52"/>
  <c r="D123" i="9"/>
  <c r="D9" i="52" s="1"/>
  <c r="D6" i="74" l="1"/>
  <c r="C6" i="74"/>
  <c r="B5" i="74"/>
  <c r="E14" i="74"/>
  <c r="F14" i="74"/>
  <c r="M69" i="9"/>
  <c r="N69" i="9" s="1"/>
  <c r="C96" i="9"/>
  <c r="E96" i="9" s="1"/>
  <c r="E97" i="9" s="1"/>
  <c r="C97" i="9" l="1"/>
  <c r="D58" i="9" s="1"/>
  <c r="D56" i="9" s="1"/>
  <c r="M54" i="9" s="1"/>
  <c r="N57" i="9" s="1"/>
  <c r="P57" i="9" s="1"/>
  <c r="C5" i="74"/>
  <c r="D5" i="74"/>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<sst xmlns="http://schemas.openxmlformats.org/spreadsheetml/2006/main" count="8206" uniqueCount="3665">
  <si>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</si>
  <si>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</si>
  <si>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</si>
  <si>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</si>
  <si>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</si>
  <si>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</si>
  <si>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</si>
  <si>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</si>
  <si>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</si>
  <si>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</si>
  <si>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</si>
  <si>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</si>
  <si>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</si>
  <si>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</si>
  <si>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</si>
  <si>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</si>
  <si>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</si>
  <si>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</si>
  <si>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</si>
  <si>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</si>
  <si>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</si>
  <si>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</si>
  <si>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</si>
  <si>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</si>
  <si>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</si>
  <si>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</si>
  <si>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</si>
  <si>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</si>
  <si>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</si>
  <si>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</si>
  <si>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</si>
  <si>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</si>
  <si>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</si>
  <si>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</si>
  <si>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</si>
  <si>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</si>
  <si>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</si>
  <si>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</si>
  <si>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</si>
  <si>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</si>
  <si>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</si>
  <si>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</si>
  <si>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</si>
  <si>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</si>
  <si>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</si>
  <si>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</si>
  <si>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</si>
  <si>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</si>
  <si>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</si>
  <si>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</si>
  <si>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</si>
  <si>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</si>
  <si>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</si>
  <si>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</si>
  <si>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</si>
  <si>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</si>
  <si>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</si>
  <si>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</si>
  <si>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</si>
  <si>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</si>
  <si>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</si>
  <si>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</si>
  <si>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</si>
  <si>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</si>
  <si>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</si>
  <si>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</si>
  <si>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</si>
  <si>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</si>
  <si>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</si>
  <si>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</si>
  <si>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</si>
  <si>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</si>
  <si>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</si>
  <si>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</si>
  <si>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</si>
  <si>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</si>
  <si>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</si>
  <si>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</si>
  <si>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</si>
  <si>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</si>
  <si>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</si>
  <si>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</si>
  <si>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</si>
  <si>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</si>
  <si>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</si>
  <si>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</si>
  <si>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</si>
  <si>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</si>
  <si>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</si>
  <si>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</si>
  <si>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</si>
  <si>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</si>
  <si>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</si>
  <si>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</si>
  <si>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</si>
  <si>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</si>
  <si>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</si>
  <si>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</si>
  <si>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</si>
  <si>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</si>
  <si>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</si>
  <si>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</si>
  <si>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</si>
  <si>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</si>
  <si>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</si>
  <si>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</si>
  <si>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</si>
  <si>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</si>
  <si>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</si>
  <si>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</si>
  <si>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</si>
  <si>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</si>
  <si>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</si>
  <si>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</si>
  <si>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</si>
  <si>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</si>
  <si>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</si>
  <si>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</si>
  <si>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</si>
  <si>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</si>
  <si>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</si>
  <si>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</si>
  <si>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</si>
  <si>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</si>
  <si>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</si>
  <si>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</si>
  <si>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</si>
  <si>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</si>
  <si>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</si>
  <si>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</si>
  <si>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</si>
  <si>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</si>
  <si>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</si>
  <si>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</si>
  <si>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</si>
  <si>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</si>
  <si>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</si>
  <si>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</si>
  <si>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</si>
  <si>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</si>
  <si>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</si>
  <si>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</si>
  <si>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</si>
  <si>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</si>
  <si>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</si>
  <si>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</si>
  <si>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</si>
  <si>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</si>
  <si>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</si>
  <si>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</si>
  <si>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</si>
  <si>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</si>
  <si>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</si>
  <si>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</si>
  <si>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</si>
  <si>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</si>
  <si>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</si>
  <si>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</si>
  <si>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</si>
  <si>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</si>
  <si>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</si>
  <si>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</si>
  <si>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</si>
  <si>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</si>
  <si>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</si>
  <si>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</si>
  <si>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</si>
  <si>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</si>
  <si>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</si>
  <si>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</si>
  <si>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</si>
  <si>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</si>
  <si>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</si>
  <si>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</si>
  <si>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</si>
  <si>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</si>
  <si>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</si>
  <si>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</si>
  <si>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</si>
  <si>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</si>
  <si>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</si>
  <si>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</si>
  <si>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</si>
  <si>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</si>
  <si>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</si>
  <si>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</si>
  <si>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</si>
  <si>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</si>
  <si>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</si>
  <si>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</si>
  <si>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</si>
  <si>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</si>
  <si>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</si>
  <si>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</si>
  <si>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</si>
  <si>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</si>
  <si>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</si>
  <si>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</si>
  <si>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</si>
  <si>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</si>
  <si>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</si>
  <si>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</si>
  <si>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</si>
  <si>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</si>
  <si>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</si>
  <si>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</si>
  <si>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</si>
  <si>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</si>
  <si>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</si>
  <si>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</si>
  <si>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</si>
  <si>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</si>
  <si>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</si>
  <si>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</si>
  <si>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</si>
  <si>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</si>
  <si>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</si>
  <si>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</si>
  <si>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</si>
  <si>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</si>
  <si>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</si>
  <si>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</si>
  <si>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</si>
  <si>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</si>
  <si>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</si>
  <si>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</si>
  <si>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</si>
  <si>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</si>
  <si>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</si>
  <si>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</si>
  <si>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</si>
  <si>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</si>
  <si>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</si>
  <si>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</si>
  <si>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</si>
  <si>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</si>
  <si>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</si>
  <si>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</si>
  <si>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</si>
  <si>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</si>
  <si>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</si>
  <si>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</si>
  <si>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</si>
  <si>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</si>
  <si>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</si>
  <si>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</si>
  <si>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</si>
  <si>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</si>
  <si>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</si>
  <si>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</si>
  <si>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</si>
  <si>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</si>
  <si>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</si>
  <si>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</si>
  <si>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</si>
  <si>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</si>
  <si>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</si>
  <si>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</si>
  <si>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</si>
  <si>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</si>
  <si>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</si>
  <si>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</si>
  <si>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</si>
  <si>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</si>
  <si>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</si>
  <si>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</si>
  <si>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</si>
  <si>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</si>
  <si>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</si>
  <si>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</si>
  <si>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</si>
  <si>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</si>
  <si>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</si>
  <si>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</si>
  <si>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</si>
  <si>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</si>
  <si>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</si>
  <si>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</si>
  <si>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</si>
  <si>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</si>
  <si>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</si>
  <si>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</si>
  <si>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</si>
  <si>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</si>
  <si>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</si>
  <si>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</si>
  <si>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</si>
  <si>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</si>
  <si>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</si>
  <si>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</si>
  <si>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</si>
  <si>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</si>
  <si>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</si>
  <si>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</si>
  <si>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</si>
  <si>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</si>
  <si>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</si>
  <si>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</si>
  <si>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</si>
  <si>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</si>
  <si>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</si>
  <si>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</si>
  <si>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</si>
  <si>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</si>
  <si>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</si>
  <si>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</si>
  <si>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</si>
  <si>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</si>
  <si>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</si>
  <si>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</si>
  <si>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</si>
  <si>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</si>
  <si>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</si>
  <si>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</si>
  <si>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</si>
  <si>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</si>
  <si>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</si>
  <si>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</si>
  <si>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</si>
  <si>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</si>
  <si>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</si>
  <si>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</si>
  <si>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</si>
  <si>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</si>
  <si>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</si>
  <si>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</si>
  <si>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</si>
  <si>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</si>
  <si>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</si>
  <si>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</si>
  <si>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</si>
  <si>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</si>
  <si>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</si>
  <si>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</si>
  <si>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</si>
  <si>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</si>
  <si>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</si>
  <si>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</si>
  <si>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</si>
  <si>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</si>
  <si>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</si>
  <si>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</si>
  <si>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</si>
  <si>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</si>
  <si>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</si>
  <si>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</si>
  <si>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</si>
  <si>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</si>
  <si>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</si>
  <si>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</si>
  <si>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</si>
  <si>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</si>
  <si>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</si>
  <si>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</si>
  <si>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</si>
  <si>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</si>
  <si>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</si>
  <si>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</si>
  <si>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</si>
  <si>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</si>
  <si>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</si>
  <si>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</si>
  <si>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</si>
  <si>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</si>
  <si>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</si>
  <si>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</si>
  <si>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</si>
  <si>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</si>
  <si>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</si>
  <si>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</si>
  <si>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</si>
  <si>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</si>
  <si>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</si>
  <si>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</si>
  <si>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</si>
  <si>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</si>
  <si>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</si>
  <si>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</si>
  <si>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</si>
  <si>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</si>
  <si>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</si>
  <si>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</si>
  <si>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</si>
  <si>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</si>
  <si>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</si>
  <si>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</si>
  <si>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</si>
  <si>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</si>
  <si>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</si>
  <si>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</si>
  <si>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</si>
  <si>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</si>
  <si>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</si>
  <si>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</si>
  <si>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</si>
  <si>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</si>
  <si>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</si>
  <si>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</si>
  <si>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</si>
  <si>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</si>
  <si>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</si>
  <si>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</si>
  <si>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</si>
  <si>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</si>
  <si>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</si>
  <si>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</si>
  <si>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</si>
  <si>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</si>
  <si>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</si>
  <si>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</si>
  <si>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</si>
  <si>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</si>
  <si>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</si>
  <si>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</si>
  <si>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</si>
  <si>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</si>
  <si>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</si>
  <si>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</si>
  <si>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</si>
  <si>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</si>
  <si>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</si>
  <si>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</si>
  <si>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</si>
  <si>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</si>
  <si>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</si>
  <si>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</si>
  <si>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</si>
  <si>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</si>
  <si>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</si>
  <si>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</si>
  <si>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</si>
  <si>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</si>
  <si>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</si>
  <si>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</si>
  <si>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</si>
  <si>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</si>
  <si>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</si>
  <si>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</si>
  <si>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</si>
  <si>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</si>
  <si>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</si>
  <si>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</si>
  <si>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</si>
  <si>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</si>
  <si>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</si>
  <si>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</si>
  <si>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</si>
  <si>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</si>
  <si>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</si>
  <si>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</si>
  <si>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</si>
  <si>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</si>
  <si>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</si>
  <si>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</si>
  <si>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</si>
  <si>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</si>
  <si>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</si>
  <si>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</si>
  <si>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</si>
  <si>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</si>
  <si>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</si>
  <si>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</si>
  <si>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</si>
  <si>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</si>
  <si>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</si>
  <si>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</si>
  <si>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</si>
  <si>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</si>
  <si>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</si>
  <si>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</si>
  <si>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</si>
  <si>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</si>
  <si>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</si>
  <si>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</si>
  <si>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</si>
  <si>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</si>
  <si>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</si>
  <si>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</si>
  <si>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</si>
  <si>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</si>
  <si>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</si>
  <si>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</si>
  <si>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</si>
  <si>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</si>
  <si>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</si>
  <si>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</si>
  <si>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</si>
  <si>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</si>
  <si>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</si>
  <si>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</si>
  <si>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</si>
  <si>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</si>
  <si>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</si>
  <si>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</si>
  <si>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</si>
  <si>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</si>
  <si>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</si>
  <si>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</si>
  <si>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</si>
  <si>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</si>
  <si>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</si>
  <si>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</si>
  <si>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</si>
  <si>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</si>
  <si>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</si>
  <si>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</si>
  <si>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</si>
  <si>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</si>
  <si>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</si>
  <si>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</si>
  <si>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</si>
  <si>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</si>
  <si>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</si>
  <si>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</si>
  <si>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</si>
  <si>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</si>
  <si>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</si>
  <si>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</si>
  <si>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</si>
  <si>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</si>
  <si>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</si>
  <si>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</si>
  <si>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</si>
  <si>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</si>
  <si>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</si>
  <si>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</si>
  <si>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</si>
  <si>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</si>
  <si>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</si>
  <si>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</si>
  <si>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</si>
  <si>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</si>
  <si>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</si>
  <si>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</si>
  <si>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</si>
  <si>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</si>
  <si>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</si>
  <si>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</si>
  <si>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</si>
  <si>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</si>
  <si>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</si>
  <si>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</si>
  <si>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</si>
  <si>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</si>
  <si>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</si>
  <si>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</si>
  <si>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</si>
  <si>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</si>
  <si>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</si>
  <si>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</si>
  <si>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</si>
  <si>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</si>
  <si>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</si>
  <si>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</si>
  <si>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</si>
  <si>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</si>
  <si>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</si>
  <si>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</si>
  <si>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</si>
  <si>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</si>
  <si>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</si>
  <si>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</si>
  <si>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</si>
  <si>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</si>
  <si>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</si>
  <si>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</si>
  <si>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</si>
  <si>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</si>
  <si>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</si>
  <si>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</si>
  <si>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</si>
  <si>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</si>
  <si>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</si>
  <si>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</si>
  <si>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</si>
  <si>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</si>
  <si>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</si>
  <si>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</si>
  <si>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</si>
  <si>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</si>
  <si>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</si>
  <si>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</si>
  <si>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</si>
  <si>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</si>
  <si>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</si>
  <si>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</si>
  <si>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</si>
  <si>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</si>
  <si>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</si>
  <si>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</si>
  <si>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</si>
  <si>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</si>
  <si>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</si>
  <si>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</si>
  <si>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</si>
  <si>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</si>
  <si>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</si>
  <si>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</si>
  <si>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</si>
  <si>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</si>
  <si>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</si>
  <si>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</si>
  <si>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</si>
  <si>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</si>
  <si>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</si>
  <si>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</si>
  <si>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</si>
  <si>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</si>
  <si>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</si>
  <si>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</si>
  <si>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</si>
  <si>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</si>
  <si>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</si>
  <si>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</si>
  <si>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</si>
  <si>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</si>
  <si>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</si>
  <si>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</si>
  <si>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</si>
  <si>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</si>
  <si>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</si>
  <si>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</si>
  <si>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</si>
  <si>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</si>
  <si>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</si>
  <si>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</si>
  <si>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</si>
  <si>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</si>
  <si>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</si>
  <si>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</si>
  <si>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</si>
  <si>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</si>
  <si>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</si>
  <si>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</si>
  <si>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</si>
  <si>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</si>
  <si>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</si>
  <si>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</si>
  <si>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</si>
  <si>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</si>
  <si>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</si>
  <si>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</si>
  <si>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</si>
  <si>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</si>
  <si>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</si>
  <si>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</si>
  <si>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</si>
  <si>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</si>
  <si>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</si>
  <si>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</si>
  <si>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</si>
  <si>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</si>
  <si>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</si>
  <si>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</si>
  <si>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</si>
  <si>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</si>
  <si>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</si>
  <si>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</si>
  <si>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</si>
  <si>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</si>
  <si>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</si>
  <si>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</si>
  <si>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</si>
  <si>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</si>
  <si>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</si>
  <si>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</si>
  <si>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</si>
  <si>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</si>
  <si>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</si>
  <si>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</si>
  <si>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</si>
  <si>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</si>
  <si>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</si>
  <si>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</si>
  <si>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</si>
  <si>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</si>
  <si>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</si>
  <si>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</si>
  <si>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</si>
  <si>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</si>
  <si>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</si>
  <si>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</si>
  <si>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</si>
  <si>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</si>
  <si>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</si>
  <si>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</si>
  <si>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</si>
  <si>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</si>
  <si>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</si>
  <si>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</si>
  <si>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</si>
  <si>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</si>
  <si>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</si>
  <si>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</si>
  <si>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</si>
  <si>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</si>
  <si>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</si>
  <si>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</si>
  <si>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</si>
  <si>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</si>
  <si>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</si>
  <si>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</si>
  <si>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</si>
  <si>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</si>
  <si>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</si>
  <si>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</si>
  <si>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</si>
  <si>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</si>
  <si>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</si>
  <si>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</si>
  <si>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</si>
  <si>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</si>
  <si>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</si>
  <si>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</si>
  <si>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</si>
  <si>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</si>
  <si>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</si>
  <si>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</si>
  <si>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</si>
  <si>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</si>
  <si>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</si>
  <si>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</si>
  <si>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</si>
  <si>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</si>
  <si>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</si>
  <si>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</si>
  <si>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</si>
  <si>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</si>
  <si>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</si>
  <si>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</si>
  <si>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</si>
  <si>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</si>
  <si>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</si>
  <si>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</si>
  <si>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</si>
  <si>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</si>
  <si>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</si>
  <si>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</si>
  <si>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</si>
  <si>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</si>
  <si>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</si>
  <si>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</si>
  <si>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</si>
  <si>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</si>
  <si>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</si>
  <si>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</si>
  <si>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</si>
  <si>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</si>
  <si>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</si>
  <si>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</si>
  <si>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</si>
  <si>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</si>
  <si>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</si>
  <si>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</si>
  <si>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</si>
  <si>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</si>
  <si>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</si>
  <si>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</si>
  <si>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</si>
  <si>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</si>
  <si>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</si>
  <si>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</si>
  <si>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</si>
  <si>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</si>
  <si>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</si>
  <si>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</si>
  <si>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</si>
  <si>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</si>
  <si>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</si>
  <si>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</si>
  <si>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</si>
  <si>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</si>
  <si>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</si>
  <si>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</si>
  <si>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</si>
  <si>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</si>
  <si>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</si>
  <si>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</si>
  <si>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</si>
  <si>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</si>
  <si>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</si>
  <si>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</si>
  <si>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</si>
  <si>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</si>
  <si>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</si>
  <si>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</si>
  <si>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</si>
  <si>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</si>
  <si>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</si>
  <si>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</si>
  <si>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</si>
  <si>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</si>
  <si>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</si>
  <si>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</si>
  <si>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</si>
  <si>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</si>
  <si>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</si>
  <si>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</si>
  <si>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</si>
  <si>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</si>
  <si>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</si>
  <si>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</si>
  <si>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</si>
  <si>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</si>
  <si>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</si>
  <si>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</si>
  <si>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</si>
  <si>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</si>
  <si>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</si>
  <si>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</si>
  <si>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</si>
  <si>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</si>
  <si>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</si>
  <si>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</si>
  <si>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</si>
  <si>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</si>
  <si>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</si>
  <si>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</si>
  <si>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</si>
  <si>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</si>
  <si>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</si>
  <si>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</si>
  <si>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</si>
  <si>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</si>
  <si>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</si>
  <si>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</si>
  <si>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</si>
  <si>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</si>
  <si>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</si>
  <si>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</si>
  <si>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</si>
  <si>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</si>
  <si>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</si>
  <si>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</si>
  <si>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</si>
  <si>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</si>
  <si>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</si>
  <si>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</si>
  <si>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</si>
  <si>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</si>
  <si>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</si>
  <si>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</si>
  <si>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</si>
  <si>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</si>
  <si>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</si>
  <si>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</si>
  <si>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</si>
  <si>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</si>
  <si>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</si>
  <si>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</si>
  <si>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</si>
  <si>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</si>
  <si>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</si>
  <si>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</si>
  <si>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</si>
  <si>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</si>
  <si>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</si>
  <si>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</si>
  <si>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</si>
  <si>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</si>
  <si>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</si>
  <si>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</si>
  <si>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</si>
  <si>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</si>
  <si>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</si>
  <si>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</si>
  <si>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</si>
  <si>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</si>
  <si>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</si>
  <si>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</si>
  <si>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</si>
  <si>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</si>
  <si>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</si>
  <si>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</si>
  <si>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</si>
  <si>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</si>
  <si>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</si>
  <si>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</si>
  <si>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</si>
  <si>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</si>
  <si>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</si>
  <si>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</si>
  <si>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</si>
  <si>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</si>
  <si>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</si>
  <si>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</si>
  <si>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</si>
  <si>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</si>
  <si>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</si>
  <si>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</si>
  <si>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</si>
  <si>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</si>
  <si>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</si>
  <si>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</si>
  <si>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</si>
  <si>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</si>
  <si>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</si>
  <si>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</si>
  <si>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</si>
  <si>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</si>
  <si>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</si>
  <si>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</si>
  <si>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</si>
  <si>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</si>
  <si>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</si>
  <si>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</si>
  <si>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</si>
  <si>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</si>
  <si>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</si>
  <si>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</si>
  <si>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</si>
  <si>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</si>
  <si>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</si>
  <si>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</si>
  <si>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</si>
  <si>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</si>
  <si>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</si>
  <si>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</si>
  <si>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</si>
  <si>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</si>
  <si>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</si>
  <si>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</si>
  <si>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</si>
  <si>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</si>
  <si>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</si>
  <si>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</si>
  <si>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</si>
  <si>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</si>
  <si>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</si>
  <si>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</si>
  <si>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</si>
  <si>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</si>
  <si>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</si>
  <si>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</si>
  <si>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</si>
  <si>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</si>
  <si>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</si>
  <si>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</si>
  <si>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</si>
  <si>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</si>
  <si>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</si>
  <si>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</si>
  <si>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</si>
  <si>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</si>
  <si>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</si>
  <si>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</si>
  <si>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</si>
  <si>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</si>
  <si>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</si>
  <si>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</si>
  <si>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</si>
  <si>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</si>
  <si>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</si>
  <si>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</si>
  <si>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</si>
  <si>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</si>
  <si>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</si>
  <si>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</si>
  <si>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</si>
  <si>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</si>
  <si>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</si>
  <si>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</si>
  <si>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</si>
  <si>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</si>
  <si>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</si>
  <si>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</si>
  <si>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</si>
  <si>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</si>
  <si>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</si>
  <si>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</si>
  <si>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</si>
  <si>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</si>
  <si>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</si>
  <si>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</si>
  <si>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</si>
  <si>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</si>
  <si>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</si>
  <si>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</si>
  <si>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</si>
  <si>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</si>
  <si>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</si>
  <si>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</si>
  <si>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</si>
  <si>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</si>
  <si>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</si>
  <si>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</si>
  <si>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</si>
  <si>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</si>
  <si>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</si>
  <si>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</si>
  <si>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</si>
  <si>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</si>
  <si>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</si>
  <si>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</si>
  <si>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</si>
  <si>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</si>
  <si>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</si>
  <si>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</si>
  <si>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</si>
  <si>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</si>
  <si>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</si>
  <si>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</si>
  <si>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</si>
  <si>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</si>
  <si>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</si>
  <si>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</si>
  <si>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</si>
  <si>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</si>
  <si>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</si>
  <si>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</si>
  <si>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</si>
  <si>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</si>
  <si>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</si>
  <si>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</si>
  <si>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</si>
  <si>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</si>
  <si>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</si>
  <si>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</si>
  <si>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</si>
  <si>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</si>
  <si>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</si>
  <si>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</si>
  <si>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</si>
  <si>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</si>
  <si>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</si>
  <si>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</si>
  <si>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</si>
  <si>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</si>
  <si>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</si>
  <si>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</si>
  <si>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</si>
  <si>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</si>
  <si>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</si>
  <si>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</si>
  <si>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</si>
  <si>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</si>
  <si>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</si>
  <si>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</si>
  <si>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</si>
  <si>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</si>
  <si>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</si>
  <si>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</si>
  <si>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</si>
  <si>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</si>
  <si>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</si>
  <si>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</si>
  <si>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</si>
  <si>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</si>
  <si>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</si>
  <si>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</si>
  <si>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</si>
  <si>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</si>
  <si>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</si>
  <si>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</si>
  <si>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</si>
  <si>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</si>
  <si>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</si>
  <si>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</si>
  <si>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</si>
  <si>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</si>
  <si>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</si>
  <si>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</si>
  <si>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</si>
  <si>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</si>
  <si>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</si>
  <si>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</si>
  <si>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</si>
  <si>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</si>
  <si>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</si>
  <si>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</si>
  <si>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</si>
  <si>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</si>
  <si>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</si>
  <si>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</si>
  <si>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</si>
  <si>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</si>
  <si>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</si>
  <si>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</si>
  <si>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</si>
  <si>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</si>
  <si>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</si>
  <si>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</si>
  <si>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</si>
  <si>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</si>
  <si>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</si>
  <si>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</si>
  <si>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</si>
  <si>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</si>
  <si>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</si>
  <si>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</si>
  <si>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</si>
  <si>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</si>
  <si>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</si>
  <si>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</si>
  <si>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</si>
  <si>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</si>
  <si>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</si>
  <si>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</si>
  <si>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</si>
  <si>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</si>
  <si>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</si>
  <si>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</si>
  <si>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</si>
  <si>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</si>
  <si>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</si>
  <si>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</si>
  <si>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</si>
  <si>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</si>
  <si>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</si>
  <si>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</si>
  <si>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</si>
  <si>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</si>
  <si>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</si>
  <si>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</si>
  <si>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</si>
  <si>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</si>
  <si>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</si>
  <si>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</si>
  <si>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</si>
  <si>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</si>
  <si>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</si>
  <si>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</si>
  <si>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</si>
  <si>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</si>
  <si>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</si>
  <si>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</si>
  <si>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</si>
  <si>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</si>
  <si>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</si>
  <si>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</si>
  <si>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</si>
  <si>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</si>
  <si>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</si>
  <si>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</si>
  <si>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</si>
  <si>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</si>
  <si>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</si>
  <si>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</si>
  <si>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</si>
  <si>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</si>
  <si>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</si>
  <si>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</si>
  <si>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</si>
  <si>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</si>
  <si>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</si>
  <si>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</si>
  <si>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</si>
  <si>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</si>
  <si>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</si>
  <si>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</si>
  <si>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</si>
  <si>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</si>
  <si>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</si>
  <si>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</si>
  <si>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</si>
  <si>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</si>
  <si>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</si>
  <si>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</si>
  <si>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</si>
  <si>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</si>
  <si>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</si>
  <si>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</si>
  <si>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</si>
  <si>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</si>
  <si>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</si>
  <si>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</si>
  <si>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</si>
  <si>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</si>
  <si>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</si>
  <si>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</si>
  <si>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</si>
  <si>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</si>
  <si>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</si>
  <si>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</si>
  <si>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</si>
  <si>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</si>
  <si>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</si>
  <si>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</si>
  <si>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</si>
  <si>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</si>
  <si>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</si>
  <si>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</si>
  <si>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</si>
  <si>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</si>
  <si>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</si>
  <si>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</si>
  <si>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</si>
  <si>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</si>
  <si>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</si>
  <si>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</si>
  <si>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</si>
  <si>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</si>
  <si>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</si>
  <si>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</si>
  <si>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</si>
  <si>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</si>
  <si>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</si>
  <si>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</si>
  <si>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</si>
  <si>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</si>
  <si>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</si>
  <si>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</si>
  <si>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</si>
  <si>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</si>
  <si>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</si>
  <si>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</si>
  <si>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</si>
  <si>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</si>
  <si>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</si>
  <si>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</si>
  <si>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</si>
  <si>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</si>
  <si>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</si>
  <si>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</si>
  <si>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</si>
  <si>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</si>
  <si>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</si>
  <si>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</si>
  <si>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</si>
  <si>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</si>
  <si>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</si>
  <si>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</si>
  <si>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</si>
  <si>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</si>
  <si>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</si>
  <si>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</si>
  <si>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</si>
  <si>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</si>
  <si>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</si>
  <si>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</si>
  <si>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</si>
  <si>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</si>
  <si>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</si>
  <si>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</si>
  <si>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</si>
  <si>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</si>
  <si>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</si>
  <si>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</si>
  <si>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</si>
  <si>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</si>
  <si>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</si>
  <si>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</si>
  <si>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</si>
  <si>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</si>
  <si>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</si>
  <si>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</si>
  <si>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</si>
  <si>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</si>
  <si>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</si>
  <si>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</si>
  <si>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</si>
  <si>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</si>
  <si>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</si>
  <si>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</si>
  <si>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</si>
  <si>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</si>
  <si>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</si>
  <si>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</si>
  <si>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</si>
  <si>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</si>
  <si>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</si>
  <si>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</si>
  <si>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</si>
  <si>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</si>
  <si>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</si>
  <si>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</si>
  <si>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</si>
  <si>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</si>
  <si>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</si>
  <si>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</si>
  <si>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</si>
  <si>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</si>
  <si>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</si>
  <si>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</si>
  <si>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</si>
  <si>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</si>
  <si>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</si>
  <si>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</si>
  <si>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</si>
  <si>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</si>
  <si>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</si>
  <si>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</si>
  <si>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</si>
  <si>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</si>
  <si>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</si>
  <si>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</si>
  <si>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</si>
  <si>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</si>
  <si>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</si>
  <si>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</si>
  <si>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</si>
  <si>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</si>
  <si>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</si>
  <si>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</si>
  <si>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</si>
  <si>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</si>
  <si>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</si>
  <si>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</si>
  <si>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</si>
  <si>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</si>
  <si>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</si>
  <si>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</si>
  <si>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</si>
  <si>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</si>
  <si>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</si>
  <si>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</si>
  <si>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</si>
  <si>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</si>
  <si>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</si>
  <si>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</si>
  <si>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</si>
  <si>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</si>
  <si>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</si>
  <si>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</si>
  <si>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</si>
  <si>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</si>
  <si>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</si>
  <si>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</si>
  <si>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</si>
  <si>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</si>
  <si>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</si>
  <si>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</si>
  <si>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</si>
  <si>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</si>
  <si>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</si>
  <si>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</si>
  <si>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</si>
  <si>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</si>
  <si>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</si>
  <si>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</si>
  <si>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</si>
  <si>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</si>
  <si>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</si>
  <si>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</si>
  <si>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</si>
  <si>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</si>
  <si>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</si>
  <si>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</si>
  <si>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</si>
  <si>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</si>
  <si>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</si>
  <si>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</si>
  <si>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</si>
  <si>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</si>
  <si>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</si>
  <si>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</si>
  <si>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</si>
  <si>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</si>
  <si>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</si>
  <si>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</si>
  <si>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</si>
  <si>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</si>
  <si>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</si>
  <si>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</si>
  <si>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</si>
  <si>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</si>
  <si>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</si>
  <si>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</si>
  <si>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</si>
  <si>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</si>
  <si>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</si>
  <si>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</si>
  <si>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</si>
  <si>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</si>
  <si>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</si>
  <si>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</si>
  <si>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</si>
  <si>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</si>
  <si>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</si>
  <si>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</si>
  <si>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</si>
  <si>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</si>
  <si>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</si>
  <si>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</si>
  <si>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</si>
  <si>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</si>
  <si>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</si>
  <si>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</si>
  <si>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</si>
  <si>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</si>
  <si>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</si>
  <si>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</si>
  <si>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</si>
  <si>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</si>
  <si>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</si>
  <si>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</si>
  <si>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</si>
  <si>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</si>
  <si>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</si>
  <si>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</si>
  <si>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</si>
  <si>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</si>
  <si>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</si>
  <si>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</si>
  <si>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</si>
  <si>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</si>
  <si>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</si>
  <si>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</si>
  <si>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</si>
  <si>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</si>
  <si>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</si>
  <si>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</si>
  <si>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</si>
  <si>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</si>
  <si>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</si>
  <si>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</si>
  <si>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</si>
  <si>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</si>
  <si>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</si>
  <si>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</si>
  <si>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</si>
  <si>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</si>
  <si>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</si>
  <si>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</si>
  <si>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</si>
  <si>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</si>
  <si>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</si>
  <si>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</si>
  <si>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</si>
  <si>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</si>
  <si>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</si>
  <si>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</si>
  <si>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</si>
  <si>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</si>
  <si>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</si>
  <si>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</si>
  <si>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</si>
  <si>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</si>
  <si>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</si>
  <si>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</si>
  <si>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</si>
  <si>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</si>
  <si>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</si>
  <si>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</si>
  <si>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</si>
  <si>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</si>
  <si>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</si>
  <si>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</si>
  <si>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</si>
  <si>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</si>
  <si>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</si>
  <si>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</si>
  <si>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</si>
  <si>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</si>
  <si>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</si>
  <si>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</si>
  <si>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</si>
  <si>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</si>
  <si>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</si>
  <si>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</si>
  <si>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</si>
  <si>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</si>
  <si>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</si>
  <si>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</si>
  <si>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</si>
  <si>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</si>
  <si>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</si>
  <si>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</si>
  <si>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</si>
  <si>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</si>
  <si>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</si>
  <si>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</si>
  <si>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</si>
  <si>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</si>
  <si>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</si>
  <si>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</si>
  <si>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</si>
  <si>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</si>
  <si>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</si>
  <si>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</si>
  <si>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</si>
  <si>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</si>
  <si>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</si>
  <si>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</si>
  <si>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</si>
  <si>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</si>
  <si>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</si>
  <si>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</si>
  <si>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</si>
  <si>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</si>
  <si>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</si>
  <si>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</si>
  <si>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</si>
  <si>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</si>
  <si>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</si>
  <si>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</si>
  <si>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</si>
  <si>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</si>
  <si>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</si>
  <si>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</si>
  <si>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</si>
  <si>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</si>
  <si>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</si>
  <si>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</si>
  <si>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</si>
  <si>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</si>
  <si>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</si>
  <si>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</si>
  <si>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</si>
  <si>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</si>
  <si>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</si>
  <si>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</si>
  <si>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</si>
  <si>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</si>
  <si>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</si>
  <si>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</si>
  <si>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</si>
  <si>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</si>
  <si>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</si>
  <si>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</si>
  <si>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</si>
  <si>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</si>
  <si>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</si>
  <si>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</si>
  <si>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</si>
  <si>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</si>
  <si>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</si>
  <si>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</si>
  <si>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</si>
  <si>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</si>
  <si>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</si>
  <si>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</si>
  <si>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</si>
  <si>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</si>
  <si>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</si>
  <si>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</si>
  <si>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</si>
  <si>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</si>
  <si>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</si>
  <si>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</si>
  <si>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</si>
  <si>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</si>
  <si>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</si>
  <si>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</si>
  <si>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</si>
  <si>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</si>
  <si>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</si>
  <si>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</si>
  <si>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</si>
  <si>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</si>
  <si>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</si>
  <si>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</si>
  <si>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</si>
  <si>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</si>
  <si>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</si>
  <si>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</si>
  <si>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</si>
  <si>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</si>
  <si>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</si>
  <si>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</si>
  <si>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</si>
  <si>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</si>
  <si>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</si>
  <si>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</si>
  <si>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</si>
  <si>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</si>
  <si>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</si>
  <si>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</si>
  <si>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</si>
  <si>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</si>
  <si>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</si>
  <si>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</si>
  <si>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</si>
  <si>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</si>
  <si>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</si>
  <si>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</si>
  <si>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</si>
  <si>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</si>
  <si>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</si>
  <si>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</si>
  <si>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</si>
  <si>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</si>
  <si>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</si>
  <si>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</si>
  <si>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</si>
  <si>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</si>
  <si>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</si>
  <si>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</si>
  <si>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</si>
  <si>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</si>
  <si>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</si>
  <si>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</si>
  <si>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</si>
  <si>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</si>
  <si>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</si>
  <si>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</si>
  <si>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</si>
  <si>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</si>
  <si>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</si>
  <si>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</si>
  <si>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</si>
  <si>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</si>
  <si>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</si>
  <si>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</si>
  <si>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</si>
  <si>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</si>
  <si>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</si>
  <si>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</si>
  <si>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</si>
  <si>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</si>
  <si>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</si>
  <si>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</si>
  <si>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</si>
  <si>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</si>
  <si>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</si>
  <si>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</si>
  <si>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</si>
  <si>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</si>
  <si>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</si>
  <si>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</si>
  <si>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</si>
  <si>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</si>
  <si>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</si>
  <si>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</si>
  <si>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</si>
  <si>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</si>
  <si>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</si>
  <si>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</si>
  <si>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</si>
  <si>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</si>
  <si>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</si>
  <si>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</si>
  <si>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</si>
  <si>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</si>
  <si>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</si>
  <si>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</si>
  <si>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</si>
  <si>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</si>
  <si>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</si>
  <si>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</si>
  <si>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</si>
  <si>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</si>
  <si>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</si>
  <si>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</si>
  <si>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</si>
  <si>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</si>
  <si>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</si>
  <si>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</si>
  <si>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</si>
  <si>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</si>
  <si>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</si>
  <si>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</si>
  <si>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</si>
  <si>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</si>
  <si>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</si>
  <si>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</si>
  <si>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</si>
  <si>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</si>
  <si>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</si>
  <si>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</si>
  <si>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</si>
  <si>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</si>
  <si>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</si>
  <si>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</si>
  <si>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</si>
  <si>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</si>
  <si>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</si>
  <si>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</si>
  <si>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</si>
  <si>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</si>
  <si>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</si>
  <si>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</si>
  <si>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</si>
  <si>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</si>
  <si>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</si>
  <si>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</si>
  <si>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</si>
  <si>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</si>
  <si>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</si>
  <si>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</si>
  <si>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</si>
  <si>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</si>
  <si>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</si>
  <si>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</si>
  <si>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</si>
  <si>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</si>
  <si>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</si>
  <si>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</si>
  <si>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</si>
  <si>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</si>
  <si>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</si>
  <si>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</si>
  <si>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</si>
  <si>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</si>
  <si>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</si>
  <si>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</si>
  <si>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</si>
  <si>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</si>
  <si>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</si>
  <si>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</si>
  <si>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</si>
  <si>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</si>
  <si>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</si>
  <si>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</si>
  <si>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</si>
  <si>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</si>
  <si>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</si>
  <si>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</si>
  <si>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</si>
  <si>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</si>
  <si>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</si>
  <si>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</si>
  <si>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</si>
  <si>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</si>
  <si>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</si>
  <si>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</si>
  <si>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</si>
  <si>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</si>
  <si>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</si>
  <si>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</si>
  <si>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</si>
  <si>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</si>
  <si>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</si>
  <si>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</si>
  <si>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</si>
  <si>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</si>
  <si>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</si>
  <si>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</si>
  <si>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</si>
  <si>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</si>
  <si>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</si>
  <si>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</si>
  <si>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</si>
  <si>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</si>
  <si>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</si>
  <si>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</si>
  <si>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</si>
  <si>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</si>
  <si>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</si>
  <si>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</si>
  <si>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</si>
  <si>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</si>
  <si>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</si>
  <si>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</si>
  <si>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</si>
  <si>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</si>
  <si>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</si>
  <si>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</si>
  <si>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</si>
  <si>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</si>
  <si>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</si>
  <si>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</si>
  <si>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</si>
  <si>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</si>
  <si>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</si>
  <si>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</si>
  <si>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</si>
  <si>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</si>
  <si>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</si>
  <si>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</si>
  <si>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</si>
  <si>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</si>
  <si>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</si>
  <si>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</si>
  <si>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</si>
  <si>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</si>
  <si>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</si>
  <si>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</si>
  <si>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</si>
  <si>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</si>
  <si>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</si>
  <si>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</si>
  <si>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</si>
  <si>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</si>
  <si>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</si>
  <si>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</si>
  <si>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</si>
  <si>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</si>
  <si>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</si>
  <si>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</si>
  <si>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</si>
  <si>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</si>
  <si>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</si>
  <si>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</si>
  <si>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</si>
  <si>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</si>
  <si>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</si>
  <si>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</si>
  <si>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</si>
  <si>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</si>
  <si>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</si>
  <si>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</si>
  <si>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</si>
  <si>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</si>
  <si>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</si>
  <si>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</si>
  <si>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</si>
  <si>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</si>
  <si>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</si>
  <si>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</si>
  <si>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</si>
  <si>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</si>
  <si>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</si>
  <si>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</si>
  <si>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</si>
  <si>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</si>
  <si>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</si>
  <si>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</si>
  <si>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</si>
  <si>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</si>
  <si>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</si>
  <si>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</si>
  <si>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</si>
  <si>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</si>
  <si>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</si>
  <si>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</si>
  <si>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</si>
  <si>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</si>
  <si>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</si>
  <si>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</si>
  <si>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</si>
  <si>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</si>
  <si>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</si>
  <si>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</si>
  <si>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</si>
  <si>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</si>
  <si>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</si>
  <si>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</si>
  <si>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</si>
  <si>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</si>
  <si>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</si>
  <si>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</si>
  <si>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</si>
  <si>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</si>
  <si>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</si>
  <si>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</si>
  <si>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</si>
  <si>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</si>
  <si>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</si>
  <si>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</si>
  <si>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</si>
  <si>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</si>
  <si>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</si>
  <si>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</si>
  <si>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</si>
  <si>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</si>
  <si>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</si>
  <si>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</si>
  <si>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</si>
  <si>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</si>
  <si>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</si>
  <si>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</si>
  <si>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</si>
  <si>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</si>
  <si>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</si>
  <si>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</si>
  <si>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</si>
  <si>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</si>
  <si>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</si>
  <si>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</si>
  <si>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</si>
  <si>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</si>
  <si>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</si>
  <si>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</si>
  <si>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</si>
  <si>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</si>
  <si>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</si>
  <si>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</si>
  <si>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</si>
  <si>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</si>
  <si>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</si>
  <si>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</si>
  <si>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</si>
  <si>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</si>
  <si>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</si>
  <si>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</si>
  <si>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</si>
  <si>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</si>
  <si>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</si>
  <si>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</si>
  <si>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</si>
  <si>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</si>
  <si>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</si>
  <si>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</si>
  <si>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</si>
  <si>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</si>
  <si>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</si>
  <si>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</si>
  <si>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</si>
  <si>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</si>
  <si>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</si>
  <si>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</si>
  <si>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</si>
  <si>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</si>
  <si>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</si>
  <si>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</si>
  <si>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</si>
  <si>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</si>
  <si>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</si>
  <si>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</si>
  <si>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</si>
  <si>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</si>
  <si>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</si>
  <si>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</si>
  <si>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</si>
  <si>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</si>
  <si>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</si>
  <si>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</si>
  <si>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</si>
  <si>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</si>
  <si>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</si>
  <si>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</si>
  <si>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</si>
  <si>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</si>
  <si>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</si>
  <si>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</si>
  <si>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</si>
  <si>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</si>
  <si>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</si>
  <si>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</si>
  <si>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</si>
  <si>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</si>
  <si>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</si>
  <si>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</si>
  <si>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</si>
  <si>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</si>
  <si>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</si>
  <si>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</si>
  <si>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</si>
  <si>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</si>
  <si>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</si>
  <si>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</si>
  <si>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</si>
  <si>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</si>
  <si>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</si>
  <si>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</si>
  <si>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</si>
  <si>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</si>
  <si>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</si>
  <si>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</si>
  <si>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</si>
  <si>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</si>
  <si>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</si>
  <si>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</si>
  <si>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</si>
  <si>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</si>
  <si>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</si>
  <si>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</si>
  <si>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</si>
  <si>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</si>
  <si>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</si>
  <si>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</si>
  <si>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</si>
  <si>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</si>
  <si>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</si>
  <si>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</si>
  <si>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</si>
  <si>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</si>
  <si>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</si>
  <si>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</si>
  <si>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</si>
  <si>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</si>
  <si>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</si>
  <si>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</si>
  <si>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</si>
  <si>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</si>
  <si>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</si>
  <si>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</si>
  <si>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</si>
  <si>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</si>
  <si>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</si>
  <si>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</si>
  <si>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</si>
  <si>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</si>
  <si>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</si>
  <si>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</si>
  <si>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</si>
  <si>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</si>
  <si>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</si>
  <si>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</si>
  <si>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</si>
  <si>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</si>
  <si>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</si>
  <si>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</si>
  <si>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</si>
  <si>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</si>
  <si>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</si>
  <si>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</si>
  <si>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</si>
  <si>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</si>
  <si>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</si>
  <si>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</si>
  <si>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</si>
  <si>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</si>
  <si>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</si>
  <si>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</si>
  <si>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</si>
  <si>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</si>
  <si>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</si>
  <si>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</si>
  <si>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</si>
  <si>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</si>
  <si>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</si>
  <si>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</si>
  <si>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</si>
  <si>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</si>
  <si>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</si>
  <si>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</si>
  <si>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</si>
  <si>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</si>
  <si>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</si>
  <si>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</si>
  <si>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</si>
  <si>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</si>
  <si>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</si>
  <si>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</si>
  <si>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</si>
  <si>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</si>
  <si>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</si>
  <si>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</si>
  <si>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</si>
  <si>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</si>
  <si>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</si>
  <si>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</si>
  <si>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</si>
  <si>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</si>
  <si>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</si>
  <si>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</si>
  <si>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</si>
  <si>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</si>
  <si>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</si>
  <si>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</si>
  <si>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</si>
  <si>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</si>
  <si>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</si>
  <si>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</si>
  <si>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</si>
  <si>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</si>
  <si>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</si>
  <si>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</si>
  <si>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</si>
  <si>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</si>
  <si>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</si>
  <si>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</si>
  <si>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</si>
  <si>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</si>
  <si>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</si>
  <si>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</si>
  <si>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</si>
  <si>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</si>
  <si>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</si>
  <si>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</si>
  <si>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</si>
  <si>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</si>
  <si>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</si>
  <si>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</si>
  <si>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</si>
  <si>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</si>
  <si>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</si>
  <si>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</si>
  <si>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</si>
  <si>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</si>
  <si>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</si>
  <si>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</si>
  <si>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</si>
  <si>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</si>
  <si>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</si>
  <si>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</si>
  <si>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</si>
  <si>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</si>
  <si>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</si>
  <si>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</si>
  <si>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</si>
  <si>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</si>
  <si>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</si>
  <si>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</si>
  <si>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</si>
  <si>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</si>
  <si>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</si>
  <si>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</si>
  <si>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</si>
  <si>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</si>
  <si>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</si>
  <si>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</si>
  <si>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</si>
  <si>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</si>
  <si>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</si>
  <si>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</si>
  <si>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</si>
  <si>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</si>
  <si>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</si>
  <si>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</si>
  <si>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</si>
  <si>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</si>
  <si>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</si>
  <si>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</si>
  <si>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</si>
  <si>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</si>
  <si>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</si>
  <si>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</si>
  <si>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</si>
  <si>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</si>
  <si>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</si>
  <si>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</si>
  <si>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</si>
  <si>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</si>
  <si>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</si>
  <si>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</si>
  <si>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</si>
  <si>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</si>
  <si>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</si>
  <si>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</si>
  <si>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</si>
  <si>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</si>
  <si>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</si>
  <si>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</si>
  <si>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</si>
  <si>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</si>
  <si>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</si>
  <si>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</si>
  <si>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</si>
  <si>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</si>
  <si>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</si>
  <si>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</si>
  <si>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</si>
  <si>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</si>
  <si>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</si>
  <si>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</si>
  <si>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</si>
  <si>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</si>
  <si>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</si>
  <si>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</si>
  <si>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</si>
  <si>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</si>
  <si>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</si>
  <si>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</si>
  <si>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</si>
  <si>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</si>
  <si>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</si>
  <si>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</si>
  <si>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</si>
  <si>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</si>
  <si>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</si>
  <si>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</si>
  <si>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</si>
  <si>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</si>
  <si>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</si>
  <si>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</si>
  <si>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</si>
  <si>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</si>
  <si>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</si>
  <si>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</si>
  <si>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</si>
  <si>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</si>
  <si>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</si>
  <si>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</si>
  <si>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</si>
  <si>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</si>
  <si>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</si>
  <si>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</si>
  <si>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</si>
  <si>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</si>
  <si>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</si>
  <si>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</si>
  <si>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</si>
  <si>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</si>
  <si>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</si>
  <si>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</si>
  <si>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</si>
  <si>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</si>
  <si>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</si>
  <si>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</si>
  <si>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</si>
  <si>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</si>
  <si>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</si>
  <si>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</si>
  <si>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</si>
  <si>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</si>
  <si>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</si>
  <si>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</si>
  <si>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</si>
  <si>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</si>
  <si>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</si>
  <si>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</si>
  <si>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</si>
  <si>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</si>
  <si>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</si>
  <si>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</si>
  <si>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</si>
  <si>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</si>
  <si>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</si>
  <si>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</si>
  <si>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</si>
  <si>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</si>
  <si>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</si>
  <si>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</si>
  <si>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</si>
  <si>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</si>
  <si>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</si>
  <si>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</si>
  <si>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</si>
  <si>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</si>
  <si>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</si>
  <si>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</si>
  <si>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</si>
  <si>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</si>
  <si>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</si>
  <si>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</si>
  <si>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</si>
  <si>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</si>
  <si>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</si>
  <si>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</si>
  <si>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</si>
  <si>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</si>
  <si>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</si>
  <si>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</si>
  <si>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</si>
  <si>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</si>
  <si>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</si>
  <si>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</si>
  <si>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</si>
  <si>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</si>
  <si>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</si>
  <si>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</si>
  <si>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</si>
  <si>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</si>
  <si>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</si>
  <si>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</si>
  <si>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</si>
  <si>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</si>
  <si>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</si>
  <si>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</si>
  <si>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</si>
  <si>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</si>
  <si>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</si>
  <si>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</si>
  <si>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</si>
  <si>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</si>
  <si>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</si>
  <si>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</si>
  <si>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</si>
  <si>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</si>
  <si>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</si>
  <si>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</si>
  <si>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</si>
  <si>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</si>
  <si>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</si>
  <si>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</si>
  <si>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</si>
  <si>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</si>
  <si>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</si>
  <si>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</si>
  <si>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</si>
  <si>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</si>
  <si>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</si>
  <si>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</si>
  <si>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</si>
  <si>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</si>
  <si>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</si>
  <si>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</si>
  <si>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</si>
  <si>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</si>
  <si>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</si>
  <si>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</si>
  <si>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</si>
  <si>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</si>
  <si>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</si>
  <si>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</si>
  <si>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</si>
  <si>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</si>
  <si>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</si>
  <si>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</si>
  <si>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</si>
  <si>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</si>
  <si>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</si>
  <si>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</si>
  <si>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</si>
  <si>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</si>
  <si>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</si>
  <si>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</si>
  <si>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</si>
  <si>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</si>
  <si>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</si>
  <si>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</si>
  <si>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</si>
  <si>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</si>
  <si>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</si>
  <si>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</si>
  <si>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</si>
  <si>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</si>
  <si>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</si>
  <si>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</si>
  <si>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</si>
  <si>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</si>
  <si>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</si>
  <si>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</si>
  <si>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</si>
  <si>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</si>
  <si>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</si>
  <si>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</si>
  <si>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</si>
  <si>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</si>
  <si>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</si>
  <si>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</si>
  <si>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</si>
  <si>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</si>
  <si>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</si>
  <si>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</si>
  <si>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</si>
  <si>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</si>
  <si>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</si>
  <si>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</si>
  <si>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</si>
  <si>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</si>
  <si>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</si>
  <si>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</si>
  <si>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</si>
  <si>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</si>
  <si>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</si>
  <si>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</si>
  <si>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</si>
  <si>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</si>
  <si>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</si>
  <si>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</si>
  <si>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</si>
  <si>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</si>
  <si>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</si>
  <si>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</si>
  <si>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</si>
  <si>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</si>
  <si>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</si>
  <si>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</si>
  <si>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</si>
  <si>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</si>
  <si>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</si>
  <si>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</si>
  <si>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</si>
  <si>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</si>
  <si>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</si>
  <si>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</si>
  <si>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</si>
  <si>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</si>
  <si>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</si>
  <si>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</si>
  <si>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</si>
  <si>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</si>
  <si>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</si>
  <si>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</si>
  <si>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</si>
  <si>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</si>
  <si>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</si>
  <si>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</si>
  <si>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</si>
  <si>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</si>
  <si>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</si>
  <si>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</si>
  <si>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</si>
  <si>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</si>
  <si>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</si>
  <si>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</si>
  <si>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</si>
  <si>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</si>
  <si>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</si>
  <si>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</si>
  <si>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</si>
  <si>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</si>
  <si>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</si>
  <si>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</si>
  <si>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</si>
  <si>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</si>
  <si>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</si>
  <si>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</si>
  <si>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</si>
  <si>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</si>
  <si>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</si>
  <si>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</si>
  <si>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</si>
  <si>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</si>
  <si>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</si>
  <si>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</si>
  <si>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</si>
  <si>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</si>
  <si>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</si>
  <si>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</si>
  <si>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</si>
  <si>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</si>
  <si>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</si>
  <si>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</si>
  <si>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</si>
  <si>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</si>
  <si>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</si>
  <si>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</si>
  <si>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</si>
  <si>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</si>
  <si>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</si>
  <si>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</si>
  <si>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</si>
  <si>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</si>
  <si>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</si>
  <si>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</si>
  <si>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</si>
  <si>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</si>
  <si>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</si>
  <si>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</si>
  <si>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</si>
  <si>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</si>
  <si>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</si>
  <si>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</si>
  <si>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</si>
  <si>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</si>
  <si>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</si>
  <si>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</si>
  <si>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</si>
  <si>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</si>
  <si>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</si>
  <si>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</si>
  <si>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</si>
  <si>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</si>
  <si>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</si>
  <si>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</si>
  <si>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</si>
  <si>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</si>
  <si>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</si>
  <si>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</si>
  <si>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</si>
  <si>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</si>
  <si>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</si>
  <si>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</si>
  <si>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</si>
  <si>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</si>
  <si>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</si>
  <si>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</si>
  <si>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</si>
  <si>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</si>
  <si>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</si>
  <si>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</si>
  <si>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</si>
  <si>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</si>
  <si>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</si>
  <si>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</si>
  <si>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</si>
  <si>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</si>
  <si>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</si>
  <si>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</si>
  <si>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</si>
  <si>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</si>
  <si>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</si>
  <si>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</si>
  <si>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</si>
  <si>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</si>
  <si>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</si>
  <si>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</si>
  <si>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</si>
  <si>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</si>
  <si>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</si>
  <si>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</si>
  <si>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</si>
  <si>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</si>
  <si>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</si>
  <si>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</si>
  <si>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</si>
  <si>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</si>
  <si>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</si>
  <si>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</si>
  <si>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</si>
  <si>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</si>
  <si>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</si>
  <si>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</si>
  <si>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</si>
  <si>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</si>
  <si>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</si>
  <si>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</si>
  <si>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</si>
  <si>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</si>
  <si>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</si>
  <si>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</si>
  <si>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</si>
  <si>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</si>
  <si>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</si>
  <si>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</si>
  <si>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</si>
  <si>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</si>
  <si>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</si>
  <si>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</si>
  <si>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</si>
  <si>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</si>
  <si>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</si>
  <si>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</si>
  <si>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</si>
  <si>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</si>
  <si>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</si>
  <si>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</si>
  <si>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</si>
  <si>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</si>
  <si>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</si>
  <si>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</si>
  <si>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</si>
  <si>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</si>
  <si>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</si>
  <si>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</si>
  <si>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</si>
  <si>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</si>
  <si>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</si>
  <si>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</si>
  <si>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</si>
  <si>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</si>
  <si>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</si>
  <si>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</si>
  <si>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</si>
  <si>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</si>
  <si>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</si>
  <si>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</si>
  <si>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</si>
  <si>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</si>
  <si>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</si>
  <si>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</si>
  <si>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</si>
  <si>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</si>
  <si>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</si>
  <si>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</si>
  <si>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</si>
  <si>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</si>
  <si>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</si>
  <si>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</si>
  <si>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</si>
  <si>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</si>
  <si>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</si>
  <si>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</si>
  <si>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</si>
  <si>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</si>
  <si>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</si>
  <si>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</si>
  <si>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</si>
  <si>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</si>
  <si>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</si>
  <si>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</si>
  <si>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</si>
  <si>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</si>
  <si>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</si>
  <si>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</si>
  <si>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</si>
  <si>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</si>
  <si>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</si>
  <si>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</si>
  <si>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</si>
  <si>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</si>
  <si>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</si>
  <si>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</si>
  <si>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</si>
  <si>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</si>
  <si>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</si>
  <si>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</si>
  <si>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</si>
  <si>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</si>
  <si>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</si>
  <si>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</si>
  <si>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</si>
  <si>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</si>
  <si>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</si>
  <si>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</si>
  <si>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</si>
  <si>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</si>
  <si>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</si>
  <si>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</si>
  <si>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</si>
  <si>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</si>
  <si>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</si>
  <si>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</si>
  <si>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</si>
  <si>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</si>
  <si>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</si>
  <si>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</si>
  <si>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</si>
  <si>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</si>
  <si>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</si>
  <si>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</si>
  <si>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</si>
  <si>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</si>
  <si>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</si>
  <si>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</si>
  <si>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</si>
  <si>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</si>
  <si>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</si>
  <si>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</si>
  <si>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</si>
  <si>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</si>
  <si>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</si>
  <si>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</si>
  <si>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</si>
  <si>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</si>
  <si>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</si>
  <si>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</si>
  <si>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</si>
  <si>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</si>
  <si>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</si>
  <si>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</si>
  <si>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</si>
  <si>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</si>
  <si>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</si>
  <si>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</si>
  <si>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</si>
  <si>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</si>
  <si>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</si>
  <si>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</si>
  <si>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</si>
  <si>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</si>
  <si>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</si>
  <si>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</si>
  <si>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</si>
  <si>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</si>
  <si>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</si>
  <si>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</si>
  <si>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</si>
  <si>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</si>
  <si>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</si>
  <si>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</si>
  <si>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</si>
  <si>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</si>
  <si>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</si>
  <si>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</si>
  <si>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</si>
  <si>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</si>
  <si>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</si>
  <si>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</si>
  <si>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</si>
  <si>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</si>
  <si>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</si>
  <si>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</si>
  <si>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</si>
  <si>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</si>
  <si>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</si>
  <si>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</si>
  <si>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</si>
  <si>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</si>
  <si>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</si>
  <si>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</si>
  <si>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</si>
  <si>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</si>
  <si>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</si>
  <si>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</si>
  <si>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</si>
  <si>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</si>
  <si>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</si>
  <si>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</si>
  <si>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</si>
  <si>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</si>
  <si>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</si>
  <si>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</si>
  <si>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</si>
  <si>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</si>
  <si>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</si>
  <si>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</si>
  <si>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</si>
  <si>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</si>
  <si>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</si>
  <si>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</si>
  <si>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</si>
  <si>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</si>
  <si>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</si>
  <si>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</si>
  <si>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</si>
  <si>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</si>
  <si>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</si>
  <si>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</si>
  <si>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</si>
  <si>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</si>
  <si>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</si>
  <si>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</si>
  <si>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</si>
  <si>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</si>
  <si>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</si>
  <si>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</si>
  <si>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</si>
  <si>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</si>
  <si>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</si>
  <si>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</si>
  <si>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</si>
  <si>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</si>
  <si>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</si>
  <si>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</si>
  <si>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</si>
  <si>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</si>
  <si>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</si>
  <si>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</si>
  <si>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</si>
  <si>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</si>
  <si>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</si>
  <si>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</si>
  <si>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</si>
  <si>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</si>
  <si>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</si>
  <si>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</si>
  <si>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</si>
  <si>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</si>
  <si>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</si>
  <si>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</si>
  <si>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</si>
  <si>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</si>
  <si>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</si>
  <si>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</si>
  <si>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</si>
  <si>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</si>
  <si>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</si>
  <si>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</si>
  <si>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</si>
  <si>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</si>
  <si>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</si>
  <si>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</si>
  <si>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</si>
  <si>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</si>
  <si>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</si>
  <si>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</si>
  <si>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</si>
  <si>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</si>
  <si>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</si>
  <si>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</si>
  <si>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</si>
  <si>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</si>
  <si>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</si>
  <si>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</si>
  <si>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</si>
  <si>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</si>
  <si>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</si>
  <si>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</si>
  <si>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</si>
  <si>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</si>
  <si>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</si>
  <si>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</si>
  <si>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</si>
  <si>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</si>
  <si>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</si>
  <si>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</si>
  <si>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</si>
  <si>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</si>
  <si>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</si>
  <si>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</si>
  <si>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</si>
  <si>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</si>
  <si>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</si>
  <si>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</si>
  <si>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</si>
  <si>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</si>
  <si>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</si>
  <si>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</si>
  <si>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</si>
  <si>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</si>
  <si>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</si>
  <si>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</si>
  <si>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</si>
  <si>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</si>
  <si>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</si>
  <si>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</si>
  <si>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</si>
  <si>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</si>
  <si>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</si>
  <si>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</si>
  <si>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</si>
  <si>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</si>
  <si>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</si>
  <si>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</si>
  <si>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</si>
  <si>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</si>
  <si>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</si>
  <si>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</si>
  <si>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</si>
  <si>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</si>
  <si>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</si>
  <si>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</si>
  <si>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</si>
  <si>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</si>
  <si>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</si>
  <si>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</si>
  <si>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</si>
  <si>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</si>
  <si>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</si>
  <si>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</si>
  <si>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</si>
  <si>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</si>
  <si>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</si>
  <si>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</si>
  <si>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</si>
  <si>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</si>
  <si>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</si>
  <si>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</si>
  <si>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</si>
  <si>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</si>
  <si>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</si>
  <si>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</si>
  <si>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</si>
  <si>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</si>
  <si>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</si>
  <si>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</si>
  <si>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</si>
  <si>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</si>
  <si>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</si>
  <si>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</si>
  <si>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</si>
  <si>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</si>
  <si>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</si>
  <si>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</si>
  <si>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</si>
  <si>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</si>
  <si>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</si>
  <si>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</si>
  <si>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</si>
  <si>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</si>
  <si>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</si>
  <si>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</si>
  <si>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</si>
  <si>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</si>
  <si>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</si>
  <si>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</si>
  <si>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</si>
  <si>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</si>
  <si>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</si>
  <si>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</si>
  <si>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</si>
  <si>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</si>
  <si>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</si>
  <si>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</si>
  <si>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</si>
  <si>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</si>
  <si>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</si>
  <si>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</si>
  <si>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</si>
  <si>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</si>
  <si>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</si>
  <si>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</si>
  <si>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</si>
  <si>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</si>
  <si>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</si>
  <si>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</si>
  <si>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</si>
  <si>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</si>
  <si>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</si>
  <si>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</si>
  <si>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</si>
  <si>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</si>
  <si>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</si>
  <si>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</si>
  <si>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</si>
  <si>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</si>
  <si>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</si>
  <si>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</si>
  <si>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</si>
  <si>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</si>
  <si>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</si>
  <si>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</si>
  <si>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</si>
  <si>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</si>
  <si>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</si>
  <si>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</si>
  <si>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</si>
  <si>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</si>
  <si>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</si>
  <si>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</si>
  <si>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</si>
  <si>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</si>
  <si>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</si>
  <si>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</si>
  <si>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</si>
  <si>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</si>
  <si>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</si>
  <si>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</si>
  <si>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</si>
  <si>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</si>
  <si>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</si>
  <si>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</si>
  <si>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</si>
  <si>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</si>
  <si>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</si>
  <si>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</si>
  <si>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</si>
  <si>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</si>
  <si>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</si>
  <si>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</si>
  <si>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</si>
  <si>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</si>
  <si>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</si>
  <si>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</si>
  <si>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</si>
  <si>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</si>
  <si>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</si>
  <si>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</si>
  <si>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</si>
  <si>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</si>
  <si>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</si>
  <si>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</si>
  <si>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</si>
  <si>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</si>
  <si>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</si>
  <si>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</si>
  <si>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</si>
  <si>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</si>
  <si>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</si>
  <si>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</si>
  <si>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</si>
  <si>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</si>
  <si>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</si>
  <si>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</si>
  <si>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</si>
  <si>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</si>
  <si>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</si>
  <si>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</si>
  <si>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</si>
  <si>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</si>
  <si>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</si>
  <si>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</si>
  <si>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</si>
  <si>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</si>
  <si>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</si>
  <si>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</si>
  <si>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</si>
  <si>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</si>
  <si>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</si>
  <si>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</si>
  <si>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</si>
  <si>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</si>
  <si>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</si>
  <si>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</si>
  <si>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</si>
  <si>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</si>
  <si>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</si>
  <si>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</si>
  <si>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</si>
  <si>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</si>
  <si>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</si>
  <si>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</si>
  <si>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</si>
  <si>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</si>
  <si>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</si>
  <si>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</si>
  <si>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</si>
  <si>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</si>
  <si>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</si>
  <si>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</si>
  <si>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</si>
  <si>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</si>
  <si>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</si>
  <si>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</si>
  <si>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</si>
  <si>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</si>
  <si>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</si>
  <si>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</si>
  <si>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</si>
  <si>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</si>
  <si>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</si>
  <si>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</si>
  <si>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</si>
  <si>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</si>
  <si>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</si>
  <si>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</si>
  <si>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</si>
  <si>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</si>
  <si>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</si>
  <si>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</si>
  <si>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</si>
  <si>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</si>
  <si>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</si>
  <si>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</si>
  <si>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</si>
  <si>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</si>
  <si>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</si>
  <si>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</si>
  <si>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</si>
  <si>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</si>
  <si>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</si>
  <si>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</si>
  <si>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</si>
  <si>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</si>
  <si>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</si>
  <si>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</si>
  <si>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</si>
  <si>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</si>
  <si>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</si>
  <si>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</si>
  <si>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</si>
  <si>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</si>
  <si>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</si>
  <si>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</si>
  <si>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</si>
  <si>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</si>
  <si>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</si>
  <si>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</si>
  <si>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</si>
  <si>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</si>
  <si>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</si>
  <si>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</si>
  <si>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</si>
  <si>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</si>
  <si>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</si>
  <si>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</si>
  <si>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</si>
  <si>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</si>
  <si>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</si>
  <si>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</si>
  <si>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</si>
  <si>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</si>
  <si>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</si>
  <si>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</si>
  <si>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</si>
  <si>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</si>
  <si>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</si>
  <si>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</si>
  <si>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</si>
  <si>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</si>
  <si>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</si>
  <si>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</si>
  <si>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</si>
  <si>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</si>
  <si>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</si>
  <si>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</si>
  <si>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</si>
  <si>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</si>
  <si>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</si>
  <si>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</si>
  <si>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</si>
  <si>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</si>
  <si>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</si>
  <si>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</si>
  <si>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</si>
  <si>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</si>
  <si>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</si>
  <si>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</si>
  <si>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</si>
  <si>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</si>
  <si>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</si>
  <si>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</si>
  <si>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</si>
  <si>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</si>
  <si>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</si>
  <si>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</si>
  <si>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</si>
  <si>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</si>
  <si>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</si>
  <si>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</si>
  <si>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</si>
  <si>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</si>
  <si>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</si>
  <si>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</si>
  <si>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</si>
  <si>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</si>
  <si>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</si>
  <si>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</si>
  <si>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</si>
  <si>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</si>
  <si>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</si>
  <si>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</si>
  <si>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</si>
  <si>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</si>
  <si>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</si>
  <si>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</si>
  <si>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</si>
  <si>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</si>
  <si>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</si>
  <si>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</si>
  <si>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</si>
  <si>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</si>
  <si>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</si>
  <si>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</si>
  <si>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</si>
  <si>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</si>
  <si>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</si>
  <si>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</si>
  <si>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</si>
  <si>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</si>
  <si>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</si>
  <si>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</si>
  <si>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</si>
  <si>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</si>
  <si>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</si>
  <si>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</si>
  <si>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</si>
  <si>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</si>
  <si>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</si>
  <si>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</si>
  <si>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</si>
  <si>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</si>
  <si>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</si>
  <si>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</si>
  <si>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</si>
  <si>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</si>
  <si>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</si>
  <si>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</si>
  <si>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</si>
  <si>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</si>
  <si>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</si>
  <si>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</si>
  <si>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</si>
  <si>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</si>
  <si>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</si>
  <si>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</si>
  <si>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</si>
  <si>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</si>
  <si>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</si>
  <si>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</si>
  <si>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</si>
  <si>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</si>
  <si>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</si>
  <si>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</si>
  <si>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</si>
  <si>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</si>
  <si>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</si>
  <si>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</si>
  <si>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</si>
  <si>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</si>
  <si>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</si>
  <si>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</si>
  <si>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</si>
  <si>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</si>
  <si>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</si>
  <si>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</si>
  <si>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</si>
  <si>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</si>
  <si>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</si>
  <si>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</si>
  <si>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</si>
  <si>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</si>
  <si>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</si>
  <si>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</si>
  <si>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</si>
  <si>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</si>
  <si>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</si>
  <si>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</si>
  <si>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</si>
  <si>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</si>
  <si>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</si>
  <si>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</si>
  <si>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</si>
  <si>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</si>
  <si>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</si>
  <si>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</si>
  <si>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</si>
  <si>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</si>
  <si>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</si>
  <si>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</si>
  <si>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</si>
  <si>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</si>
  <si>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</si>
  <si>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</si>
  <si>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</si>
  <si>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</si>
  <si>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</si>
  <si>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</si>
  <si>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</si>
  <si>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</si>
  <si>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</si>
  <si>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</si>
  <si>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</si>
  <si>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</si>
  <si>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</si>
  <si>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</si>
  <si>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</si>
  <si>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</si>
  <si>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</si>
  <si>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</si>
  <si>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</si>
  <si>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</si>
  <si>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</si>
  <si>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</si>
  <si>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</si>
  <si>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</si>
  <si>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</si>
  <si>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</si>
  <si>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</si>
  <si>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</si>
  <si>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</si>
  <si>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</si>
  <si>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</si>
  <si>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</si>
  <si>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</si>
  <si>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</si>
  <si>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</si>
  <si>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</si>
  <si>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</si>
  <si>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</si>
  <si>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</si>
  <si>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</si>
  <si>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</si>
  <si>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</si>
  <si>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</si>
  <si>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</si>
  <si>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</si>
  <si>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</si>
  <si>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</si>
  <si>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</si>
  <si>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</si>
  <si>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</si>
  <si>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</si>
  <si>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</si>
  <si>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</si>
  <si>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</si>
  <si>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</si>
  <si>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</si>
  <si>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</si>
  <si>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</si>
  <si>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</si>
  <si>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</si>
  <si>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</si>
  <si>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</si>
  <si>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</si>
  <si>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</si>
  <si>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</si>
  <si>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</si>
  <si>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</si>
  <si>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</si>
  <si>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</si>
  <si>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</si>
  <si>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</si>
  <si>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</si>
  <si>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</si>
  <si>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</si>
  <si>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</si>
  <si>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</si>
  <si>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</si>
  <si>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</si>
  <si>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</si>
  <si>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</si>
  <si>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</si>
  <si>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</si>
  <si>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</si>
  <si>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</si>
  <si>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</si>
  <si>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</si>
  <si>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</si>
  <si>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</si>
  <si>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</si>
  <si>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</si>
  <si>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</si>
  <si>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</si>
  <si>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</si>
  <si>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</si>
  <si>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</si>
  <si>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</si>
  <si>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</si>
  <si>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</si>
  <si>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</si>
  <si>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</si>
  <si>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</si>
  <si>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</si>
  <si>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</si>
  <si>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</si>
  <si>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</si>
  <si>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</si>
  <si>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</si>
  <si>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</si>
  <si>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</si>
  <si>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</si>
  <si>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</si>
  <si>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</si>
  <si>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</si>
  <si>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</si>
  <si>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</si>
  <si>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</si>
  <si>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</si>
  <si>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</si>
  <si>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</si>
  <si>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</si>
  <si>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</si>
  <si>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</si>
  <si>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</si>
  <si>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</si>
  <si>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</si>
  <si>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</si>
  <si>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</si>
  <si>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</si>
  <si>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</si>
  <si>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</si>
  <si>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</si>
  <si>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</si>
  <si>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</si>
  <si>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</si>
  <si>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</si>
  <si>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</si>
  <si>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</si>
  <si>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</si>
  <si>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</si>
  <si>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</si>
  <si>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</si>
  <si>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</si>
  <si>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</si>
  <si>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</si>
  <si>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</si>
  <si>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</si>
  <si>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</si>
  <si>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</si>
  <si>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</si>
  <si>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</si>
  <si>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</si>
  <si>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</si>
  <si>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</si>
  <si>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</si>
  <si>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</si>
  <si>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</si>
  <si>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</si>
  <si>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</si>
  <si>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</si>
  <si>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</si>
  <si>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</si>
  <si>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</si>
  <si>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</si>
  <si>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</si>
  <si>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</si>
  <si>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</si>
  <si>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</si>
  <si>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</si>
  <si>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</si>
  <si>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</si>
  <si>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</si>
  <si>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</si>
  <si>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</si>
  <si>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</si>
  <si>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</si>
  <si>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</si>
  <si>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</si>
  <si>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</si>
  <si>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</si>
  <si>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</si>
  <si>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</si>
  <si>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</si>
  <si>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</si>
  <si>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</si>
  <si>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</si>
  <si>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</si>
  <si>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</si>
  <si>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</si>
  <si>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</si>
  <si>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</si>
  <si>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</si>
  <si>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</si>
  <si>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</si>
  <si>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</si>
  <si>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</si>
  <si>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</si>
  <si>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</si>
  <si>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</si>
  <si>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</si>
  <si>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</si>
  <si>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</si>
  <si>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</si>
  <si>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</si>
  <si>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</si>
  <si>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</si>
  <si>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</si>
  <si>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</si>
  <si>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</si>
  <si>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</si>
  <si>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</si>
  <si>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</si>
  <si>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</si>
  <si>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</si>
  <si>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</si>
  <si>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</si>
  <si>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</si>
  <si>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</si>
  <si>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</si>
  <si>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</si>
  <si>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</si>
  <si>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</si>
  <si>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</si>
  <si>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</si>
  <si>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</si>
  <si>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</si>
  <si>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</si>
  <si>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</si>
  <si>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</si>
  <si>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</si>
  <si>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</si>
  <si>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</si>
  <si>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</si>
  <si>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</si>
  <si>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</si>
  <si>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</si>
  <si>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</si>
  <si>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</si>
  <si>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</si>
  <si>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</si>
  <si>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</si>
  <si>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</si>
  <si>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</si>
  <si>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</si>
  <si>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</si>
  <si>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</si>
  <si>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</si>
  <si>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</si>
  <si>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</si>
  <si>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</si>
  <si>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</si>
  <si>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</si>
  <si>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</si>
  <si>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</si>
  <si>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</si>
  <si>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</si>
  <si>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</si>
  <si>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</si>
  <si>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</si>
  <si>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</si>
  <si>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</si>
  <si>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</si>
  <si>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</si>
  <si>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</si>
  <si>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</si>
  <si>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</si>
  <si>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</si>
  <si>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</si>
  <si>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</si>
  <si>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</si>
  <si>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</si>
  <si>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</si>
  <si>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</si>
  <si>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</si>
  <si>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</si>
  <si>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</si>
  <si>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房地产抵押价值</t>
  </si>
  <si>
    <t>抵押</t>
  </si>
  <si>
    <t>北京市</t>
  </si>
  <si>
    <t>企业</t>
  </si>
  <si>
    <t>证号</t>
    <phoneticPr fontId="134" type="noConversion"/>
  </si>
  <si>
    <r>
      <t>京房权证石其字第0</t>
    </r>
    <r>
      <rPr>
        <sz val="11"/>
        <color theme="1"/>
        <rFont val="宋体"/>
        <family val="3"/>
        <charset val="134"/>
        <scheme val="minor"/>
      </rPr>
      <t>0269号</t>
    </r>
    <phoneticPr fontId="134" type="noConversion"/>
  </si>
  <si>
    <t>房屋所有权人</t>
    <phoneticPr fontId="134" type="noConversion"/>
  </si>
  <si>
    <t>北京进取者软件技术有限公司</t>
    <phoneticPr fontId="134" type="noConversion"/>
  </si>
  <si>
    <t>房屋坐落</t>
    <phoneticPr fontId="134" type="noConversion"/>
  </si>
  <si>
    <t>石景山区八宝山南路重兴园6号楼</t>
    <phoneticPr fontId="134" type="noConversion"/>
  </si>
  <si>
    <t>产别</t>
    <phoneticPr fontId="134" type="noConversion"/>
  </si>
  <si>
    <t>其他产</t>
    <phoneticPr fontId="134" type="noConversion"/>
  </si>
  <si>
    <t>幢号</t>
    <phoneticPr fontId="134" type="noConversion"/>
  </si>
  <si>
    <t>房号</t>
    <phoneticPr fontId="134" type="noConversion"/>
  </si>
  <si>
    <t>结构</t>
    <phoneticPr fontId="134" type="noConversion"/>
  </si>
  <si>
    <t>房屋总层数</t>
    <phoneticPr fontId="134" type="noConversion"/>
  </si>
  <si>
    <t>所在层数</t>
    <phoneticPr fontId="134" type="noConversion"/>
  </si>
  <si>
    <t>建筑面积</t>
    <phoneticPr fontId="134" type="noConversion"/>
  </si>
  <si>
    <t>设计用途</t>
    <phoneticPr fontId="134" type="noConversion"/>
  </si>
  <si>
    <t>钢混</t>
  </si>
  <si>
    <t>钢混</t>
    <phoneticPr fontId="134" type="noConversion"/>
  </si>
  <si>
    <t>住宅</t>
  </si>
  <si>
    <t>2单元8层802</t>
  </si>
  <si>
    <t>2单元8层802</t>
    <phoneticPr fontId="134" type="noConversion"/>
  </si>
  <si>
    <t>建成年份</t>
    <phoneticPr fontId="134" type="noConversion"/>
  </si>
  <si>
    <t>京房权证石其字第00270号</t>
    <phoneticPr fontId="134" type="noConversion"/>
  </si>
  <si>
    <r>
      <t>1单元</t>
    </r>
    <r>
      <rPr>
        <sz val="11"/>
        <color theme="1"/>
        <rFont val="宋体"/>
        <family val="3"/>
        <charset val="134"/>
        <scheme val="minor"/>
      </rPr>
      <t>11层1102</t>
    </r>
    <phoneticPr fontId="134" type="noConversion"/>
  </si>
  <si>
    <t>京房权证石其字第00271号</t>
    <phoneticPr fontId="134" type="noConversion"/>
  </si>
  <si>
    <t>2单元12层1201</t>
    <phoneticPr fontId="134" type="noConversion"/>
  </si>
  <si>
    <t>京房权证石其字第00273号</t>
    <phoneticPr fontId="134" type="noConversion"/>
  </si>
  <si>
    <t>3单元11层1102</t>
    <phoneticPr fontId="134" type="noConversion"/>
  </si>
  <si>
    <t>京房权证石其字第00274号</t>
    <phoneticPr fontId="134" type="noConversion"/>
  </si>
  <si>
    <t>4单元2层201</t>
    <phoneticPr fontId="134" type="noConversion"/>
  </si>
  <si>
    <t>京房权证石其字第00275号</t>
    <phoneticPr fontId="134" type="noConversion"/>
  </si>
  <si>
    <t>4单元11层1101</t>
    <phoneticPr fontId="134" type="noConversion"/>
  </si>
  <si>
    <t>京房权证石其字第00276号</t>
    <phoneticPr fontId="134" type="noConversion"/>
  </si>
  <si>
    <t>5单元3层301</t>
    <phoneticPr fontId="134" type="noConversion"/>
  </si>
  <si>
    <t>京房权证石其字第00277号</t>
    <phoneticPr fontId="134" type="noConversion"/>
  </si>
  <si>
    <t>5单元11层1101</t>
    <phoneticPr fontId="134" type="noConversion"/>
  </si>
  <si>
    <t>京房权证石其字第00278号</t>
    <phoneticPr fontId="134" type="noConversion"/>
  </si>
  <si>
    <t>6单元2层201</t>
    <phoneticPr fontId="134" type="noConversion"/>
  </si>
  <si>
    <t>京房权证石其字第00272号</t>
    <phoneticPr fontId="134" type="noConversion"/>
  </si>
  <si>
    <t>3单元4层401</t>
    <phoneticPr fontId="134" type="noConversion"/>
  </si>
  <si>
    <t>序号</t>
    <phoneticPr fontId="134" type="noConversion"/>
  </si>
  <si>
    <r>
      <t>石景山区八宝山南路重兴园</t>
    </r>
    <r>
      <rPr>
        <sz val="10"/>
        <color theme="9" tint="-0.249977111117893"/>
        <rFont val="Arial"/>
        <family val="2"/>
      </rPr>
      <t>6</t>
    </r>
    <r>
      <rPr>
        <sz val="10"/>
        <color theme="9" tint="-0.249977111117893"/>
        <rFont val="宋体"/>
        <family val="3"/>
        <charset val="134"/>
      </rPr>
      <t>号楼</t>
    </r>
  </si>
  <si>
    <t>北京进取者软件技术有限公司</t>
    <phoneticPr fontId="6" type="noConversion"/>
  </si>
  <si>
    <t>是</t>
  </si>
  <si>
    <t>地上</t>
  </si>
  <si>
    <t>低楼层</t>
    <phoneticPr fontId="134" type="noConversion"/>
  </si>
  <si>
    <r>
      <t>5</t>
    </r>
    <r>
      <rPr>
        <sz val="11"/>
        <color theme="1"/>
        <rFont val="宋体"/>
        <family val="3"/>
        <charset val="134"/>
        <scheme val="minor"/>
      </rPr>
      <t>-10层</t>
    </r>
    <phoneticPr fontId="134" type="noConversion"/>
  </si>
  <si>
    <t>中楼层</t>
    <phoneticPr fontId="134" type="noConversion"/>
  </si>
  <si>
    <t>10-15层</t>
    <phoneticPr fontId="134" type="noConversion"/>
  </si>
  <si>
    <t>高楼层</t>
    <phoneticPr fontId="134" type="noConversion"/>
  </si>
  <si>
    <t>1-5层</t>
    <phoneticPr fontId="134" type="noConversion"/>
  </si>
  <si>
    <r>
      <rPr>
        <sz val="11"/>
        <color indexed="8"/>
        <rFont val="宋体"/>
        <family val="3"/>
        <charset val="134"/>
      </rPr>
      <t>建安</t>
    </r>
    <r>
      <rPr>
        <sz val="11"/>
        <color indexed="8"/>
        <rFont val="Arial"/>
        <family val="2"/>
      </rPr>
      <t>0-10</t>
    </r>
    <phoneticPr fontId="3" type="noConversion"/>
  </si>
  <si>
    <t>住宅</t>
    <phoneticPr fontId="247" type="noConversion"/>
  </si>
  <si>
    <t>北京高层住宅12#</t>
    <phoneticPr fontId="247" type="noConversion"/>
  </si>
  <si>
    <r>
      <rPr>
        <sz val="11"/>
        <color theme="1"/>
        <rFont val="宋体"/>
        <family val="3"/>
        <charset val="134"/>
      </rPr>
      <t>北京中高层</t>
    </r>
    <r>
      <rPr>
        <sz val="11"/>
        <color theme="1"/>
        <rFont val="Arial"/>
        <family val="2"/>
      </rPr>
      <t>35#</t>
    </r>
    <phoneticPr fontId="247" type="noConversion"/>
  </si>
  <si>
    <t>高层</t>
    <phoneticPr fontId="247" type="noConversion"/>
  </si>
  <si>
    <t>中高层</t>
    <phoneticPr fontId="247" type="noConversion"/>
  </si>
  <si>
    <t>成新度</t>
  </si>
  <si>
    <t>建成年代</t>
    <phoneticPr fontId="3" type="noConversion"/>
  </si>
  <si>
    <t>直线</t>
    <phoneticPr fontId="3" type="noConversion"/>
  </si>
  <si>
    <t>观察</t>
    <phoneticPr fontId="3" type="noConversion"/>
  </si>
  <si>
    <t>综合</t>
    <phoneticPr fontId="3" type="noConversion"/>
  </si>
  <si>
    <t>2，3，4，号是塔楼。5，6，9，10是高板。7，8是总高6层的板楼</t>
    <phoneticPr fontId="134" type="noConversion"/>
  </si>
  <si>
    <t>塔楼因为户型和朝向的问题价格会低于其他楼型</t>
    <phoneticPr fontId="134" type="noConversion"/>
  </si>
  <si>
    <t>7，8没有电梯。高楼层价格会低</t>
    <phoneticPr fontId="134" type="noConversion"/>
  </si>
  <si>
    <r>
      <t>2</t>
    </r>
    <r>
      <rPr>
        <sz val="11"/>
        <color theme="1"/>
        <rFont val="宋体"/>
        <family val="3"/>
        <charset val="134"/>
        <scheme val="minor"/>
      </rPr>
      <t>025-3-03355-RB</t>
    </r>
    <phoneticPr fontId="134" type="noConversion"/>
  </si>
  <si>
    <r>
      <t>5号楼</t>
    </r>
    <r>
      <rPr>
        <sz val="11"/>
        <color theme="1"/>
        <rFont val="宋体"/>
        <family val="3"/>
        <charset val="134"/>
        <scheme val="minor"/>
      </rPr>
      <t>8层1单元801号</t>
    </r>
    <phoneticPr fontId="134" type="noConversion"/>
  </si>
  <si>
    <t>成交单价</t>
    <phoneticPr fontId="134" type="noConversion"/>
  </si>
  <si>
    <t>建成年代</t>
    <phoneticPr fontId="134" type="noConversion"/>
  </si>
  <si>
    <t>所在层</t>
    <phoneticPr fontId="134" type="noConversion"/>
  </si>
  <si>
    <t>总层</t>
    <phoneticPr fontId="134" type="noConversion"/>
  </si>
  <si>
    <t>坐落</t>
    <phoneticPr fontId="134" type="noConversion"/>
  </si>
  <si>
    <r>
      <t>2</t>
    </r>
    <r>
      <rPr>
        <sz val="11"/>
        <color theme="1"/>
        <rFont val="宋体"/>
        <family val="3"/>
        <charset val="134"/>
        <scheme val="minor"/>
      </rPr>
      <t>024-3-51862</t>
    </r>
    <phoneticPr fontId="134" type="noConversion"/>
  </si>
  <si>
    <r>
      <t>5号楼</t>
    </r>
    <r>
      <rPr>
        <sz val="11"/>
        <color theme="1"/>
        <rFont val="宋体"/>
        <family val="3"/>
        <charset val="134"/>
        <scheme val="minor"/>
      </rPr>
      <t>9层5单元901号</t>
    </r>
    <phoneticPr fontId="134" type="noConversion"/>
  </si>
  <si>
    <t>9号楼14层2单元1403号</t>
    <phoneticPr fontId="134" type="noConversion"/>
  </si>
  <si>
    <r>
      <t>2</t>
    </r>
    <r>
      <rPr>
        <sz val="11"/>
        <color theme="1"/>
        <rFont val="宋体"/>
        <family val="3"/>
        <charset val="134"/>
        <scheme val="minor"/>
      </rPr>
      <t>024-3-27939</t>
    </r>
    <phoneticPr fontId="134" type="noConversion"/>
  </si>
  <si>
    <t>单套模式</t>
  </si>
  <si>
    <t>售价</t>
  </si>
  <si>
    <t>正常</t>
  </si>
  <si>
    <t>住宅</t>
    <phoneticPr fontId="24" type="noConversion"/>
  </si>
  <si>
    <t>押一</t>
  </si>
  <si>
    <t>非生产用房</t>
  </si>
  <si>
    <t>否</t>
  </si>
  <si>
    <t>收益法 (元)</t>
  </si>
  <si>
    <t>城镇住宅用地</t>
  </si>
  <si>
    <t>自定义容积率</t>
  </si>
  <si>
    <t>中介</t>
    <phoneticPr fontId="134" type="noConversion"/>
  </si>
  <si>
    <r>
      <t>5</t>
    </r>
    <r>
      <rPr>
        <sz val="11"/>
        <color theme="1"/>
        <rFont val="宋体"/>
        <family val="3"/>
        <charset val="134"/>
        <scheme val="minor"/>
      </rPr>
      <t>000-6000</t>
    </r>
    <phoneticPr fontId="134" type="noConversion"/>
  </si>
  <si>
    <t>月租金</t>
    <phoneticPr fontId="134" type="noConversion"/>
  </si>
  <si>
    <t>售价</t>
    <phoneticPr fontId="134" type="noConversion"/>
  </si>
  <si>
    <r>
      <t>5</t>
    </r>
    <r>
      <rPr>
        <sz val="11"/>
        <color theme="1"/>
        <rFont val="宋体"/>
        <family val="3"/>
        <charset val="134"/>
        <scheme val="minor"/>
      </rPr>
      <t>20-530万之间</t>
    </r>
    <phoneticPr fontId="134" type="noConversion"/>
  </si>
  <si>
    <r>
      <t>5</t>
    </r>
    <r>
      <rPr>
        <sz val="11"/>
        <color theme="1"/>
        <rFont val="宋体"/>
        <family val="3"/>
        <charset val="134"/>
        <scheme val="minor"/>
      </rPr>
      <t>000-52000</t>
    </r>
    <phoneticPr fontId="134" type="noConversion"/>
  </si>
  <si>
    <t>高楼层</t>
    <phoneticPr fontId="24" type="noConversion"/>
  </si>
  <si>
    <t>中楼层</t>
    <phoneticPr fontId="24" type="noConversion"/>
  </si>
  <si>
    <t>低楼层</t>
    <phoneticPr fontId="24" type="noConversion"/>
  </si>
  <si>
    <t>楼层</t>
    <phoneticPr fontId="3" type="noConversion"/>
  </si>
  <si>
    <t>与级别开发程度一致</t>
  </si>
  <si>
    <t>证载</t>
    <phoneticPr fontId="3" type="noConversion"/>
  </si>
  <si>
    <t>土地</t>
    <phoneticPr fontId="3" type="noConversion"/>
  </si>
  <si>
    <t>较好</t>
  </si>
  <si>
    <t>一般</t>
  </si>
  <si>
    <t>较差</t>
  </si>
  <si>
    <t>好</t>
  </si>
  <si>
    <t>未包含在土地购买价格中</t>
  </si>
  <si>
    <t>已包含在土地取得成本中</t>
  </si>
  <si>
    <t>楼面单价</t>
  </si>
  <si>
    <t>自定义</t>
  </si>
  <si>
    <t>成本法 (元)</t>
  </si>
  <si>
    <t>比较法-住宅</t>
  </si>
  <si>
    <r>
      <t>24</t>
    </r>
    <r>
      <rPr>
        <sz val="10"/>
        <color indexed="8"/>
        <rFont val="宋体"/>
        <family val="3"/>
        <charset val="134"/>
      </rPr>
      <t>年仁达总值</t>
    </r>
    <phoneticPr fontId="24" type="noConversion"/>
  </si>
  <si>
    <t>地块名称</t>
  </si>
  <si>
    <t>区县</t>
  </si>
  <si>
    <t>板块</t>
  </si>
  <si>
    <t>地块编号</t>
  </si>
  <si>
    <t>土地位置</t>
  </si>
  <si>
    <t>建设用地面积(㎡)</t>
  </si>
  <si>
    <t>规划建筑面积(㎡)</t>
  </si>
  <si>
    <t>用地性质</t>
  </si>
  <si>
    <t>详细规划</t>
  </si>
  <si>
    <t>出让年限(年)</t>
  </si>
  <si>
    <t>容积率</t>
  </si>
  <si>
    <t>容积率上限</t>
  </si>
  <si>
    <t>出让方式</t>
  </si>
  <si>
    <t>成交特殊政策</t>
  </si>
  <si>
    <t>特殊用地类型</t>
  </si>
  <si>
    <t>成交时间</t>
  </si>
  <si>
    <t>交易状态</t>
  </si>
  <si>
    <t>受让单位</t>
  </si>
  <si>
    <t>拿地企业</t>
  </si>
  <si>
    <t>企业性质</t>
  </si>
  <si>
    <t>起始价(万元)</t>
  </si>
  <si>
    <t>成交价(万元)</t>
  </si>
  <si>
    <t>成交每亩价(万元/亩)</t>
  </si>
  <si>
    <t>成交楼面价(元/㎡)</t>
  </si>
  <si>
    <t>溢价率(%)</t>
  </si>
  <si>
    <t>石景山区</t>
  </si>
  <si>
    <t>挂牌</t>
  </si>
  <si>
    <t/>
  </si>
  <si>
    <t>已成交</t>
  </si>
  <si>
    <t>中海地产</t>
  </si>
  <si>
    <t>中央国有企业</t>
  </si>
  <si>
    <t>古城</t>
  </si>
  <si>
    <t>限地价</t>
  </si>
  <si>
    <t>北京中海地产有限公司</t>
  </si>
  <si>
    <t>北京市石景山区老古城综合改造土地一级开发项目1608-626地块R2二类居住用地</t>
  </si>
  <si>
    <t>京土储挂(石)〔2022〕067号</t>
  </si>
  <si>
    <t>石景山区老古城</t>
  </si>
  <si>
    <t>住宅用地</t>
  </si>
  <si>
    <t>R2二类居住用地</t>
  </si>
  <si>
    <t>居住70年商业40年办公50年</t>
  </si>
  <si>
    <t>70年</t>
  </si>
  <si>
    <t>民营企业</t>
  </si>
  <si>
    <r>
      <t>46</t>
    </r>
    <r>
      <rPr>
        <sz val="11"/>
        <color indexed="8"/>
        <rFont val="宋体"/>
        <family val="3"/>
        <charset val="134"/>
      </rPr>
      <t>年</t>
    </r>
    <phoneticPr fontId="24" type="noConversion"/>
  </si>
  <si>
    <r>
      <t>40-50</t>
    </r>
    <r>
      <rPr>
        <sz val="11"/>
        <color indexed="8"/>
        <rFont val="宋体"/>
        <family val="3"/>
        <charset val="134"/>
      </rPr>
      <t>（含）</t>
    </r>
    <phoneticPr fontId="24" type="noConversion"/>
  </si>
  <si>
    <r>
      <t>0-10</t>
    </r>
    <r>
      <rPr>
        <sz val="11"/>
        <rFont val="宋体"/>
        <family val="3"/>
        <charset val="134"/>
      </rPr>
      <t>（含）</t>
    </r>
    <phoneticPr fontId="24" type="noConversion"/>
  </si>
  <si>
    <r>
      <t>10-20</t>
    </r>
    <r>
      <rPr>
        <sz val="11"/>
        <rFont val="宋体"/>
        <family val="3"/>
        <charset val="134"/>
      </rPr>
      <t>（含）</t>
    </r>
    <phoneticPr fontId="24" type="noConversion"/>
  </si>
  <si>
    <r>
      <t>20-30</t>
    </r>
    <r>
      <rPr>
        <sz val="11"/>
        <rFont val="宋体"/>
        <family val="3"/>
        <charset val="134"/>
      </rPr>
      <t>（含）</t>
    </r>
    <phoneticPr fontId="24" type="noConversion"/>
  </si>
  <si>
    <r>
      <t>30-40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</si>
  <si>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</si>
  <si>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</si>
  <si>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r>
      <t>60-70</t>
    </r>
    <r>
      <rPr>
        <sz val="11"/>
        <rFont val="宋体"/>
        <family val="3"/>
        <charset val="134"/>
      </rPr>
      <t>（含）</t>
    </r>
    <phoneticPr fontId="24" type="noConversion"/>
  </si>
  <si>
    <t>土地使用年限（年）</t>
    <phoneticPr fontId="3" type="noConversion"/>
  </si>
  <si>
    <t>七通</t>
  </si>
  <si>
    <t>七通</t>
    <phoneticPr fontId="30" type="noConversion"/>
  </si>
  <si>
    <t>六通</t>
  </si>
  <si>
    <t>六通</t>
    <phoneticPr fontId="30" type="noConversion"/>
  </si>
  <si>
    <t>五通</t>
    <phoneticPr fontId="30" type="noConversion"/>
  </si>
  <si>
    <t>四通</t>
    <phoneticPr fontId="30" type="noConversion"/>
  </si>
  <si>
    <t>三通</t>
  </si>
  <si>
    <t>三通</t>
    <phoneticPr fontId="30" type="noConversion"/>
  </si>
  <si>
    <t>根据中指</t>
    <phoneticPr fontId="7" type="noConversion"/>
  </si>
  <si>
    <t>在信息表</t>
    <phoneticPr fontId="7" type="noConversion"/>
  </si>
  <si>
    <t>住宅</t>
    <phoneticPr fontId="30" type="noConversion"/>
  </si>
  <si>
    <t>住宅综合</t>
    <phoneticPr fontId="30" type="noConversion"/>
  </si>
  <si>
    <t>城市</t>
  </si>
  <si>
    <t>集中供地</t>
  </si>
  <si>
    <t>成交土地单价(元/㎡)</t>
  </si>
  <si>
    <t>北京市丰台区城乡一体化槐房村和新宫村旧村改造项目NY-030(南区)-01地块R2二类居住用地</t>
  </si>
  <si>
    <t>新宫</t>
  </si>
  <si>
    <t>京土储挂(丰)[2024]047号</t>
  </si>
  <si>
    <t>丰台区南苑街道</t>
  </si>
  <si>
    <t>2</t>
  </si>
  <si>
    <t>2024-11-29</t>
  </si>
  <si>
    <t>福州裕诚房地产有限公司</t>
  </si>
  <si>
    <t>北京市丰台区羊坊村棚户区改造土地开发项目YF-041地块R2二类居住用地</t>
  </si>
  <si>
    <t>花乡其他</t>
  </si>
  <si>
    <t>京土储挂(丰)[2023]070号</t>
  </si>
  <si>
    <t>丰台区花乡街道</t>
  </si>
  <si>
    <t>住宅70年</t>
  </si>
  <si>
    <t>2.20</t>
  </si>
  <si>
    <t>2024-01-04</t>
  </si>
  <si>
    <t>中建壹品投资发展有限公司</t>
  </si>
  <si>
    <t>限地价,摇号/摇珠/抽签</t>
  </si>
  <si>
    <t>2.32</t>
  </si>
  <si>
    <t>2022年第4批次</t>
  </si>
  <si>
    <t>2022-11-29</t>
  </si>
  <si>
    <t>限地价,现房销售,摇号/摇珠/抽签</t>
  </si>
  <si>
    <t>省份</t>
  </si>
  <si>
    <t>公告编号</t>
  </si>
  <si>
    <t>推出保障房面积(㎡)</t>
  </si>
  <si>
    <t>成交保障房面积(㎡)</t>
  </si>
  <si>
    <t>推出自住房面积(㎡)</t>
  </si>
  <si>
    <t>成交自住房面积(㎡)</t>
  </si>
  <si>
    <t>建设用地分类</t>
  </si>
  <si>
    <t>商业比例(%)</t>
  </si>
  <si>
    <t>建筑密度</t>
  </si>
  <si>
    <t>限制高度</t>
  </si>
  <si>
    <t>推出特殊政策</t>
  </si>
  <si>
    <t>保障房类型</t>
  </si>
  <si>
    <t>公告时间</t>
  </si>
  <si>
    <t>起始时间</t>
  </si>
  <si>
    <t>截止时间</t>
  </si>
  <si>
    <t>开工进度</t>
  </si>
  <si>
    <t>是否城投企业</t>
  </si>
  <si>
    <t>保证金(万元)</t>
  </si>
  <si>
    <t>保证金截止时间</t>
  </si>
  <si>
    <t>推出土地单价(元/㎡)</t>
  </si>
  <si>
    <t>推出每亩价(万元/亩)</t>
  </si>
  <si>
    <t>推出楼面价(元/㎡)</t>
  </si>
  <si>
    <t>推出楼面价(除保障房)(元/㎡)</t>
  </si>
  <si>
    <t>成交楼面价(除保障房)(元/㎡)</t>
  </si>
  <si>
    <t>限地价(万元)</t>
  </si>
  <si>
    <t>触达限地价</t>
  </si>
  <si>
    <t>政府指导价(元/㎡)</t>
  </si>
  <si>
    <t>限售价(元/㎡)</t>
  </si>
  <si>
    <t>楼面价上限(元/㎡)</t>
  </si>
  <si>
    <t>溢价率上限(%)</t>
  </si>
  <si>
    <t>房地价差(元/㎡)</t>
  </si>
  <si>
    <t>基准地价</t>
  </si>
  <si>
    <t>项目名称</t>
  </si>
  <si>
    <t>关联拟出让土地</t>
  </si>
  <si>
    <t>拟出让土地名称</t>
  </si>
  <si>
    <t>最早约定支付日期</t>
  </si>
  <si>
    <t>最早约定支付金额(万元)</t>
  </si>
  <si>
    <t>北京</t>
  </si>
  <si>
    <t>丰台区</t>
  </si>
  <si>
    <t>45米局部60米</t>
  </si>
  <si>
    <t>2024-10-25</t>
  </si>
  <si>
    <t>2024-11-15</t>
  </si>
  <si>
    <t>已开工</t>
  </si>
  <si>
    <t>福建中雍发展</t>
  </si>
  <si>
    <t>2024-11-28 17:00</t>
  </si>
  <si>
    <t>未触达</t>
  </si>
  <si>
    <t>17300元/㎡(五级住宅用途2021-01-01)</t>
  </si>
  <si>
    <t>30-45</t>
  </si>
  <si>
    <t>2023-11-27</t>
  </si>
  <si>
    <t>2023-12-20</t>
  </si>
  <si>
    <t>中建三局</t>
  </si>
  <si>
    <t>2024-01-03 17:00</t>
  </si>
  <si>
    <t>13850元/㎡(六级住宅用途2021-01-01)</t>
  </si>
  <si>
    <t>中建壹品·花香壹号</t>
  </si>
  <si>
    <t>2022-10-25</t>
  </si>
  <si>
    <t>2022-11-14</t>
  </si>
  <si>
    <t>2022-11-28</t>
  </si>
  <si>
    <t>2022-11-28 15:00</t>
  </si>
  <si>
    <t>中海长安誉</t>
  </si>
  <si>
    <t>R2二类居住用地</t>
    <phoneticPr fontId="134" type="noConversion"/>
  </si>
  <si>
    <t>楼面地价</t>
  </si>
  <si>
    <t>根据三部系统查询成交价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</si>
</sst>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95" fillId="0" borderId="0" xfId="0" applyFont="1" applyAlignment="1">
      <alignment vertical="center" wrapText="1"/>
    </xf>
    <xf numFmtId="0" fontId="0" fillId="0" borderId="0" xfId="0" applyAlignment="1">
      <alignment vertical="center" wrapText="1"/>
    </xf>
    <xf numFmtId="49" fontId="22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272" fillId="12" borderId="0" xfId="0" applyFont="1" applyFill="1" applyProtection="1">
      <alignment vertical="center"/>
      <protection locked="0"/>
    </xf>
    <xf numFmtId="0" fontId="98" fillId="22" borderId="0" xfId="0" applyFont="1" applyFill="1" applyAlignment="1">
      <alignment horizontal="left" vertical="center" wrapText="1"/>
    </xf>
    <xf numFmtId="0" fontId="114" fillId="22" borderId="0" xfId="0" applyFont="1" applyFill="1" applyAlignment="1">
      <alignment horizontal="left" vertical="center" wrapText="1"/>
    </xf>
    <xf numFmtId="0" fontId="273" fillId="22" borderId="0" xfId="0" applyFont="1" applyFill="1" applyAlignment="1">
      <alignment horizontal="right" vertical="center" wrapText="1"/>
    </xf>
    <xf numFmtId="0" fontId="98" fillId="23" borderId="0" xfId="0" applyFont="1" applyFill="1" applyAlignment="1">
      <alignment horizontal="left" vertical="center" wrapText="1"/>
    </xf>
    <xf numFmtId="0" fontId="98" fillId="24" borderId="0" xfId="0" applyFont="1" applyFill="1" applyAlignment="1">
      <alignment horizontal="left" vertical="center" wrapText="1"/>
    </xf>
    <xf numFmtId="0" fontId="98" fillId="25" borderId="0" xfId="0" applyFont="1" applyFill="1" applyAlignment="1">
      <alignment horizontal="left" vertical="center" wrapText="1"/>
    </xf>
    <xf numFmtId="0" fontId="98" fillId="26" borderId="0" xfId="0" applyFont="1" applyFill="1" applyAlignment="1">
      <alignment horizontal="left" vertical="center" wrapText="1"/>
    </xf>
    <xf numFmtId="0" fontId="98" fillId="0" borderId="0" xfId="0" applyFont="1" applyAlignment="1">
      <alignment horizontal="left" vertical="center" wrapText="1"/>
    </xf>
    <xf numFmtId="181" fontId="98" fillId="0" borderId="0" xfId="17" applyNumberFormat="1" applyFont="1" applyAlignment="1">
      <alignment horizontal="left" vertical="center" wrapText="1"/>
    </xf>
    <xf numFmtId="0" fontId="77" fillId="12" borderId="0" xfId="0" applyFont="1" applyFill="1" applyAlignment="1" applyProtection="1">
      <alignment horizontal="center" vertical="center"/>
      <protection locked="0"/>
    </xf>
    <xf numFmtId="14" fontId="0" fillId="0" borderId="0" xfId="0" applyNumberForma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176" fillId="2" borderId="1" xfId="0" applyFont="1" applyFill="1" applyBorder="1" applyAlignment="1" applyProtection="1">
      <alignment horizontal="center"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lignment horizontal="center" vertical="center" wrapText="1"/>
    </xf>
    <xf numFmtId="0" fontId="98" fillId="22" borderId="0" xfId="0" applyFont="1" applyFill="1" applyAlignment="1">
      <alignment horizontal="center" vertical="center" wrapText="1"/>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0" fillId="5" borderId="0" xfId="0" applyFill="1" applyAlignment="1"/>
    <xf numFmtId="14" fontId="0" fillId="5" borderId="0" xfId="0" applyNumberFormat="1" applyFill="1" applyAlignment="1"/>
    <xf numFmtId="0" fontId="94" fillId="0" borderId="5" xfId="0" applyFont="1" applyBorder="1" applyAlignment="1" applyProtection="1">
      <alignment horizontal="center" vertical="center"/>
      <protection locked="0"/>
    </xf>
    <xf numFmtId="0" fontId="128" fillId="0" borderId="46"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0" fontId="94" fillId="0" borderId="9" xfId="0" applyFont="1" applyBorder="1" applyAlignment="1" applyProtection="1">
      <alignment horizontal="center" vertical="center" wrapText="1"/>
      <protection locked="0"/>
    </xf>
    <xf numFmtId="0" fontId="95" fillId="5" borderId="0" xfId="0" applyFont="1" applyFill="1" applyAlignment="1"/>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601980</xdr:colOff>
      <xdr:row>16</xdr:row>
      <xdr:rowOff>83820</xdr:rowOff>
    </xdr:from>
    <xdr:to>
      <xdr:col>7</xdr:col>
      <xdr:colOff>336422</xdr:colOff>
      <xdr:row>51</xdr:row>
      <xdr:rowOff>6829</xdr:rowOff>
    </xdr:to>
    <xdr:pic>
      <xdr:nvPicPr>
        <xdr:cNvPr id="2" name="图片 1">
          <a:extLst>
            <a:ext uri="{FF2B5EF4-FFF2-40B4-BE49-F238E27FC236}">
              <a16:creationId xmlns:a16="http://schemas.microsoft.com/office/drawing/2014/main" id="{BF9B548F-0FBE-B05E-F2AF-C3C752E0668A}"/>
            </a:ext>
          </a:extLst>
        </xdr:cNvPr>
        <xdr:cNvPicPr>
          <a:picLocks noChangeAspect="1"/>
        </xdr:cNvPicPr>
      </xdr:nvPicPr>
      <xdr:blipFill>
        <a:blip xmlns:r="http://schemas.openxmlformats.org/officeDocument/2006/relationships" r:embed="rId1"/>
        <a:stretch>
          <a:fillRect/>
        </a:stretch>
      </xdr:blipFill>
      <xdr:spPr>
        <a:xfrm>
          <a:off x="601980" y="6118860"/>
          <a:ext cx="6104762" cy="6323809"/>
        </a:xfrm>
        <a:prstGeom prst="rect">
          <a:avLst/>
        </a:prstGeom>
      </xdr:spPr>
    </xdr:pic>
    <xdr:clientData/>
  </xdr:twoCellAnchor>
  <xdr:twoCellAnchor editAs="oneCell">
    <xdr:from>
      <xdr:col>0</xdr:col>
      <xdr:colOff>0</xdr:colOff>
      <xdr:row>52</xdr:row>
      <xdr:rowOff>15240</xdr:rowOff>
    </xdr:from>
    <xdr:to>
      <xdr:col>14</xdr:col>
      <xdr:colOff>229147</xdr:colOff>
      <xdr:row>85</xdr:row>
      <xdr:rowOff>37343</xdr:rowOff>
    </xdr:to>
    <xdr:pic>
      <xdr:nvPicPr>
        <xdr:cNvPr id="3" name="图片 2">
          <a:extLst>
            <a:ext uri="{FF2B5EF4-FFF2-40B4-BE49-F238E27FC236}">
              <a16:creationId xmlns:a16="http://schemas.microsoft.com/office/drawing/2014/main" id="{FC6AB3BD-CF9C-24E5-3D72-C48047DA8F55}"/>
            </a:ext>
          </a:extLst>
        </xdr:cNvPr>
        <xdr:cNvPicPr>
          <a:picLocks noChangeAspect="1"/>
        </xdr:cNvPicPr>
      </xdr:nvPicPr>
      <xdr:blipFill>
        <a:blip xmlns:r="http://schemas.openxmlformats.org/officeDocument/2006/relationships" r:embed="rId2"/>
        <a:stretch>
          <a:fillRect/>
        </a:stretch>
      </xdr:blipFill>
      <xdr:spPr>
        <a:xfrm>
          <a:off x="0" y="12633960"/>
          <a:ext cx="10866667" cy="6057143"/>
        </a:xfrm>
        <a:prstGeom prst="rect">
          <a:avLst/>
        </a:prstGeom>
      </xdr:spPr>
    </xdr:pic>
    <xdr:clientData/>
  </xdr:twoCellAnchor>
  <xdr:twoCellAnchor editAs="oneCell">
    <xdr:from>
      <xdr:col>8</xdr:col>
      <xdr:colOff>533400</xdr:colOff>
      <xdr:row>11</xdr:row>
      <xdr:rowOff>25664</xdr:rowOff>
    </xdr:from>
    <xdr:to>
      <xdr:col>23</xdr:col>
      <xdr:colOff>115146</xdr:colOff>
      <xdr:row>28</xdr:row>
      <xdr:rowOff>164846</xdr:rowOff>
    </xdr:to>
    <xdr:pic>
      <xdr:nvPicPr>
        <xdr:cNvPr id="4" name="图片 3">
          <a:extLst>
            <a:ext uri="{FF2B5EF4-FFF2-40B4-BE49-F238E27FC236}">
              <a16:creationId xmlns:a16="http://schemas.microsoft.com/office/drawing/2014/main" id="{32003F17-3447-4EEC-BB68-D81C5BD2C701}"/>
            </a:ext>
          </a:extLst>
        </xdr:cNvPr>
        <xdr:cNvPicPr>
          <a:picLocks noChangeAspect="1"/>
        </xdr:cNvPicPr>
      </xdr:nvPicPr>
      <xdr:blipFill>
        <a:blip xmlns:r="http://schemas.openxmlformats.org/officeDocument/2006/relationships" r:embed="rId3"/>
        <a:stretch>
          <a:fillRect/>
        </a:stretch>
      </xdr:blipFill>
      <xdr:spPr>
        <a:xfrm>
          <a:off x="7513320" y="4049024"/>
          <a:ext cx="8725746" cy="4345422"/>
        </a:xfrm>
        <a:prstGeom prst="rect">
          <a:avLst/>
        </a:prstGeom>
      </xdr:spPr>
    </xdr:pic>
    <xdr:clientData/>
  </xdr:twoCellAnchor>
  <xdr:twoCellAnchor editAs="oneCell">
    <xdr:from>
      <xdr:col>9</xdr:col>
      <xdr:colOff>0</xdr:colOff>
      <xdr:row>29</xdr:row>
      <xdr:rowOff>0</xdr:rowOff>
    </xdr:from>
    <xdr:to>
      <xdr:col>32</xdr:col>
      <xdr:colOff>398247</xdr:colOff>
      <xdr:row>69</xdr:row>
      <xdr:rowOff>37181</xdr:rowOff>
    </xdr:to>
    <xdr:pic>
      <xdr:nvPicPr>
        <xdr:cNvPr id="5" name="图片 4">
          <a:extLst>
            <a:ext uri="{FF2B5EF4-FFF2-40B4-BE49-F238E27FC236}">
              <a16:creationId xmlns:a16="http://schemas.microsoft.com/office/drawing/2014/main" id="{7A33C5C3-103D-6DB6-DE1E-FA2B83645D03}"/>
            </a:ext>
          </a:extLst>
        </xdr:cNvPr>
        <xdr:cNvPicPr>
          <a:picLocks noChangeAspect="1"/>
        </xdr:cNvPicPr>
      </xdr:nvPicPr>
      <xdr:blipFill>
        <a:blip xmlns:r="http://schemas.openxmlformats.org/officeDocument/2006/relationships" r:embed="rId4"/>
        <a:stretch>
          <a:fillRect/>
        </a:stretch>
      </xdr:blipFill>
      <xdr:spPr>
        <a:xfrm>
          <a:off x="7589520" y="8412480"/>
          <a:ext cx="14419047" cy="7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68580</xdr:colOff>
      <xdr:row>8</xdr:row>
      <xdr:rowOff>137160</xdr:rowOff>
    </xdr:from>
    <xdr:to>
      <xdr:col>20</xdr:col>
      <xdr:colOff>524066</xdr:colOff>
      <xdr:row>34</xdr:row>
      <xdr:rowOff>20375</xdr:rowOff>
    </xdr:to>
    <xdr:pic>
      <xdr:nvPicPr>
        <xdr:cNvPr id="2" name="图片 1">
          <a:extLst>
            <a:ext uri="{FF2B5EF4-FFF2-40B4-BE49-F238E27FC236}">
              <a16:creationId xmlns:a16="http://schemas.microsoft.com/office/drawing/2014/main" id="{E6BB85EA-FAC9-E712-B4C3-9D126973C7B6}"/>
            </a:ext>
          </a:extLst>
        </xdr:cNvPr>
        <xdr:cNvPicPr>
          <a:picLocks noChangeAspect="1"/>
        </xdr:cNvPicPr>
      </xdr:nvPicPr>
      <xdr:blipFill>
        <a:blip xmlns:r="http://schemas.openxmlformats.org/officeDocument/2006/relationships" r:embed="rId1"/>
        <a:stretch>
          <a:fillRect/>
        </a:stretch>
      </xdr:blipFill>
      <xdr:spPr>
        <a:xfrm>
          <a:off x="68580" y="1600200"/>
          <a:ext cx="13714286" cy="4638095"/>
        </a:xfrm>
        <a:prstGeom prst="rect">
          <a:avLst/>
        </a:prstGeom>
      </xdr:spPr>
    </xdr:pic>
    <xdr:clientData/>
  </xdr:twoCellAnchor>
  <xdr:twoCellAnchor editAs="oneCell">
    <xdr:from>
      <xdr:col>0</xdr:col>
      <xdr:colOff>0</xdr:colOff>
      <xdr:row>35</xdr:row>
      <xdr:rowOff>0</xdr:rowOff>
    </xdr:from>
    <xdr:to>
      <xdr:col>20</xdr:col>
      <xdr:colOff>588819</xdr:colOff>
      <xdr:row>49</xdr:row>
      <xdr:rowOff>11109</xdr:rowOff>
    </xdr:to>
    <xdr:pic>
      <xdr:nvPicPr>
        <xdr:cNvPr id="3" name="图片 2">
          <a:extLst>
            <a:ext uri="{FF2B5EF4-FFF2-40B4-BE49-F238E27FC236}">
              <a16:creationId xmlns:a16="http://schemas.microsoft.com/office/drawing/2014/main" id="{C22713E9-C196-2678-9A44-88297A30B724}"/>
            </a:ext>
          </a:extLst>
        </xdr:cNvPr>
        <xdr:cNvPicPr>
          <a:picLocks noChangeAspect="1"/>
        </xdr:cNvPicPr>
      </xdr:nvPicPr>
      <xdr:blipFill>
        <a:blip xmlns:r="http://schemas.openxmlformats.org/officeDocument/2006/relationships" r:embed="rId2"/>
        <a:stretch>
          <a:fillRect/>
        </a:stretch>
      </xdr:blipFill>
      <xdr:spPr>
        <a:xfrm>
          <a:off x="0" y="6400800"/>
          <a:ext cx="13847619" cy="25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8080</xdr:colOff>
      <xdr:row>0</xdr:row>
      <xdr:rowOff>0</xdr:rowOff>
    </xdr:from>
    <xdr:to>
      <xdr:col>12</xdr:col>
      <xdr:colOff>596371</xdr:colOff>
      <xdr:row>23</xdr:row>
      <xdr:rowOff>117127</xdr:rowOff>
    </xdr:to>
    <xdr:pic>
      <xdr:nvPicPr>
        <xdr:cNvPr id="2" name="图片 1">
          <a:extLst>
            <a:ext uri="{FF2B5EF4-FFF2-40B4-BE49-F238E27FC236}">
              <a16:creationId xmlns:a16="http://schemas.microsoft.com/office/drawing/2014/main" id="{BE86F13E-103B-104B-EA47-F37B452C3679}"/>
            </a:ext>
          </a:extLst>
        </xdr:cNvPr>
        <xdr:cNvPicPr>
          <a:picLocks noChangeAspect="1"/>
        </xdr:cNvPicPr>
      </xdr:nvPicPr>
      <xdr:blipFill>
        <a:blip xmlns:r="http://schemas.openxmlformats.org/officeDocument/2006/relationships" r:embed="rId1"/>
        <a:stretch>
          <a:fillRect/>
        </a:stretch>
      </xdr:blipFill>
      <xdr:spPr>
        <a:xfrm>
          <a:off x="8080" y="0"/>
          <a:ext cx="7903491" cy="4323367"/>
        </a:xfrm>
        <a:prstGeom prst="rect">
          <a:avLst/>
        </a:prstGeom>
      </xdr:spPr>
    </xdr:pic>
    <xdr:clientData/>
  </xdr:twoCellAnchor>
  <xdr:twoCellAnchor editAs="oneCell">
    <xdr:from>
      <xdr:col>0</xdr:col>
      <xdr:colOff>15240</xdr:colOff>
      <xdr:row>23</xdr:row>
      <xdr:rowOff>175260</xdr:rowOff>
    </xdr:from>
    <xdr:to>
      <xdr:col>13</xdr:col>
      <xdr:colOff>138625</xdr:colOff>
      <xdr:row>45</xdr:row>
      <xdr:rowOff>157226</xdr:rowOff>
    </xdr:to>
    <xdr:pic>
      <xdr:nvPicPr>
        <xdr:cNvPr id="3" name="图片 2">
          <a:extLst>
            <a:ext uri="{FF2B5EF4-FFF2-40B4-BE49-F238E27FC236}">
              <a16:creationId xmlns:a16="http://schemas.microsoft.com/office/drawing/2014/main" id="{EFC66D32-DCEB-2304-C4C5-29C7D5D87DE2}"/>
            </a:ext>
          </a:extLst>
        </xdr:cNvPr>
        <xdr:cNvPicPr>
          <a:picLocks noChangeAspect="1"/>
        </xdr:cNvPicPr>
      </xdr:nvPicPr>
      <xdr:blipFill>
        <a:blip xmlns:r="http://schemas.openxmlformats.org/officeDocument/2006/relationships" r:embed="rId2"/>
        <a:stretch>
          <a:fillRect/>
        </a:stretch>
      </xdr:blipFill>
      <xdr:spPr>
        <a:xfrm>
          <a:off x="15240" y="4381500"/>
          <a:ext cx="8048185" cy="4005326"/>
        </a:xfrm>
        <a:prstGeom prst="rect">
          <a:avLst/>
        </a:prstGeom>
      </xdr:spPr>
    </xdr:pic>
    <xdr:clientData/>
  </xdr:twoCellAnchor>
  <xdr:twoCellAnchor editAs="oneCell">
    <xdr:from>
      <xdr:col>0</xdr:col>
      <xdr:colOff>396240</xdr:colOff>
      <xdr:row>45</xdr:row>
      <xdr:rowOff>164126</xdr:rowOff>
    </xdr:from>
    <xdr:to>
      <xdr:col>13</xdr:col>
      <xdr:colOff>358140</xdr:colOff>
      <xdr:row>67</xdr:row>
      <xdr:rowOff>86732</xdr:rowOff>
    </xdr:to>
    <xdr:pic>
      <xdr:nvPicPr>
        <xdr:cNvPr id="4" name="图片 3">
          <a:extLst>
            <a:ext uri="{FF2B5EF4-FFF2-40B4-BE49-F238E27FC236}">
              <a16:creationId xmlns:a16="http://schemas.microsoft.com/office/drawing/2014/main" id="{3F422791-4812-3334-80BA-375EC6F83727}"/>
            </a:ext>
          </a:extLst>
        </xdr:cNvPr>
        <xdr:cNvPicPr>
          <a:picLocks noChangeAspect="1"/>
        </xdr:cNvPicPr>
      </xdr:nvPicPr>
      <xdr:blipFill>
        <a:blip xmlns:r="http://schemas.openxmlformats.org/officeDocument/2006/relationships" r:embed="rId3"/>
        <a:stretch>
          <a:fillRect/>
        </a:stretch>
      </xdr:blipFill>
      <xdr:spPr>
        <a:xfrm>
          <a:off x="396240" y="8393726"/>
          <a:ext cx="7886700" cy="3945966"/>
        </a:xfrm>
        <a:prstGeom prst="rect">
          <a:avLst/>
        </a:prstGeom>
      </xdr:spPr>
    </xdr:pic>
    <xdr:clientData/>
  </xdr:twoCellAnchor>
  <xdr:twoCellAnchor editAs="oneCell">
    <xdr:from>
      <xdr:col>1</xdr:col>
      <xdr:colOff>0</xdr:colOff>
      <xdr:row>68</xdr:row>
      <xdr:rowOff>0</xdr:rowOff>
    </xdr:from>
    <xdr:to>
      <xdr:col>23</xdr:col>
      <xdr:colOff>341181</xdr:colOff>
      <xdr:row>95</xdr:row>
      <xdr:rowOff>109859</xdr:rowOff>
    </xdr:to>
    <xdr:pic>
      <xdr:nvPicPr>
        <xdr:cNvPr id="5" name="图片 4">
          <a:extLst>
            <a:ext uri="{FF2B5EF4-FFF2-40B4-BE49-F238E27FC236}">
              <a16:creationId xmlns:a16="http://schemas.microsoft.com/office/drawing/2014/main" id="{99B654C0-7F9A-0D56-8FFE-C550F20F519E}"/>
            </a:ext>
          </a:extLst>
        </xdr:cNvPr>
        <xdr:cNvPicPr>
          <a:picLocks noChangeAspect="1"/>
        </xdr:cNvPicPr>
      </xdr:nvPicPr>
      <xdr:blipFill>
        <a:blip xmlns:r="http://schemas.openxmlformats.org/officeDocument/2006/relationships" r:embed="rId4"/>
        <a:stretch>
          <a:fillRect/>
        </a:stretch>
      </xdr:blipFill>
      <xdr:spPr>
        <a:xfrm>
          <a:off x="609600" y="12435840"/>
          <a:ext cx="13752381" cy="50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217295</xdr:colOff>
      <xdr:row>41</xdr:row>
      <xdr:rowOff>16206</xdr:rowOff>
    </xdr:to>
    <xdr:pic>
      <xdr:nvPicPr>
        <xdr:cNvPr id="2" name="图片 1">
          <a:extLst>
            <a:ext uri="{FF2B5EF4-FFF2-40B4-BE49-F238E27FC236}">
              <a16:creationId xmlns:a16="http://schemas.microsoft.com/office/drawing/2014/main" id="{2ED50D52-DE49-B7A4-607C-A2786EE17958}"/>
            </a:ext>
          </a:extLst>
        </xdr:cNvPr>
        <xdr:cNvPicPr>
          <a:picLocks noChangeAspect="1"/>
        </xdr:cNvPicPr>
      </xdr:nvPicPr>
      <xdr:blipFill>
        <a:blip xmlns:r="http://schemas.openxmlformats.org/officeDocument/2006/relationships" r:embed="rId1"/>
        <a:stretch>
          <a:fillRect/>
        </a:stretch>
      </xdr:blipFill>
      <xdr:spPr>
        <a:xfrm>
          <a:off x="0" y="0"/>
          <a:ext cx="14238095" cy="7514286"/>
        </a:xfrm>
        <a:prstGeom prst="rect">
          <a:avLst/>
        </a:prstGeom>
      </xdr:spPr>
    </xdr:pic>
    <xdr:clientData/>
  </xdr:twoCellAnchor>
  <xdr:twoCellAnchor editAs="oneCell">
    <xdr:from>
      <xdr:col>0</xdr:col>
      <xdr:colOff>0</xdr:colOff>
      <xdr:row>41</xdr:row>
      <xdr:rowOff>0</xdr:rowOff>
    </xdr:from>
    <xdr:to>
      <xdr:col>23</xdr:col>
      <xdr:colOff>369676</xdr:colOff>
      <xdr:row>81</xdr:row>
      <xdr:rowOff>75276</xdr:rowOff>
    </xdr:to>
    <xdr:pic>
      <xdr:nvPicPr>
        <xdr:cNvPr id="3" name="图片 2">
          <a:extLst>
            <a:ext uri="{FF2B5EF4-FFF2-40B4-BE49-F238E27FC236}">
              <a16:creationId xmlns:a16="http://schemas.microsoft.com/office/drawing/2014/main" id="{AB9AE541-2F9C-9D33-261F-6D6B7CD42822}"/>
            </a:ext>
          </a:extLst>
        </xdr:cNvPr>
        <xdr:cNvPicPr>
          <a:picLocks noChangeAspect="1"/>
        </xdr:cNvPicPr>
      </xdr:nvPicPr>
      <xdr:blipFill>
        <a:blip xmlns:r="http://schemas.openxmlformats.org/officeDocument/2006/relationships" r:embed="rId2"/>
        <a:stretch>
          <a:fillRect/>
        </a:stretch>
      </xdr:blipFill>
      <xdr:spPr>
        <a:xfrm>
          <a:off x="0" y="7498080"/>
          <a:ext cx="14390476" cy="7390476"/>
        </a:xfrm>
        <a:prstGeom prst="rect">
          <a:avLst/>
        </a:prstGeom>
      </xdr:spPr>
    </xdr:pic>
    <xdr:clientData/>
  </xdr:twoCellAnchor>
  <xdr:twoCellAnchor editAs="oneCell">
    <xdr:from>
      <xdr:col>0</xdr:col>
      <xdr:colOff>0</xdr:colOff>
      <xdr:row>82</xdr:row>
      <xdr:rowOff>0</xdr:rowOff>
    </xdr:from>
    <xdr:to>
      <xdr:col>24</xdr:col>
      <xdr:colOff>36267</xdr:colOff>
      <xdr:row>118</xdr:row>
      <xdr:rowOff>130606</xdr:rowOff>
    </xdr:to>
    <xdr:pic>
      <xdr:nvPicPr>
        <xdr:cNvPr id="4" name="图片 3">
          <a:extLst>
            <a:ext uri="{FF2B5EF4-FFF2-40B4-BE49-F238E27FC236}">
              <a16:creationId xmlns:a16="http://schemas.microsoft.com/office/drawing/2014/main" id="{0D59E2B9-5221-CEC9-D868-5B10517A62A9}"/>
            </a:ext>
          </a:extLst>
        </xdr:cNvPr>
        <xdr:cNvPicPr>
          <a:picLocks noChangeAspect="1"/>
        </xdr:cNvPicPr>
      </xdr:nvPicPr>
      <xdr:blipFill>
        <a:blip xmlns:r="http://schemas.openxmlformats.org/officeDocument/2006/relationships" r:embed="rId3"/>
        <a:stretch>
          <a:fillRect/>
        </a:stretch>
      </xdr:blipFill>
      <xdr:spPr>
        <a:xfrm>
          <a:off x="0" y="14996160"/>
          <a:ext cx="14666667" cy="6714286"/>
        </a:xfrm>
        <a:prstGeom prst="rect">
          <a:avLst/>
        </a:prstGeom>
      </xdr:spPr>
    </xdr:pic>
    <xdr:clientData/>
  </xdr:twoCellAnchor>
  <xdr:twoCellAnchor editAs="oneCell">
    <xdr:from>
      <xdr:col>0</xdr:col>
      <xdr:colOff>0</xdr:colOff>
      <xdr:row>119</xdr:row>
      <xdr:rowOff>0</xdr:rowOff>
    </xdr:from>
    <xdr:to>
      <xdr:col>22</xdr:col>
      <xdr:colOff>150705</xdr:colOff>
      <xdr:row>155</xdr:row>
      <xdr:rowOff>178225</xdr:rowOff>
    </xdr:to>
    <xdr:pic>
      <xdr:nvPicPr>
        <xdr:cNvPr id="5" name="图片 4">
          <a:extLst>
            <a:ext uri="{FF2B5EF4-FFF2-40B4-BE49-F238E27FC236}">
              <a16:creationId xmlns:a16="http://schemas.microsoft.com/office/drawing/2014/main" id="{80B57BAB-620E-E484-8293-EDEC47AD3D1B}"/>
            </a:ext>
          </a:extLst>
        </xdr:cNvPr>
        <xdr:cNvPicPr>
          <a:picLocks noChangeAspect="1"/>
        </xdr:cNvPicPr>
      </xdr:nvPicPr>
      <xdr:blipFill>
        <a:blip xmlns:r="http://schemas.openxmlformats.org/officeDocument/2006/relationships" r:embed="rId4"/>
        <a:stretch>
          <a:fillRect/>
        </a:stretch>
      </xdr:blipFill>
      <xdr:spPr>
        <a:xfrm>
          <a:off x="0" y="21762720"/>
          <a:ext cx="13561905" cy="67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550628</xdr:colOff>
      <xdr:row>42</xdr:row>
      <xdr:rowOff>80945</xdr:rowOff>
    </xdr:to>
    <xdr:pic>
      <xdr:nvPicPr>
        <xdr:cNvPr id="2" name="图片 1">
          <a:extLst>
            <a:ext uri="{FF2B5EF4-FFF2-40B4-BE49-F238E27FC236}">
              <a16:creationId xmlns:a16="http://schemas.microsoft.com/office/drawing/2014/main" id="{E4257BDB-9EB5-870C-7720-42125D38DB80}"/>
            </a:ext>
          </a:extLst>
        </xdr:cNvPr>
        <xdr:cNvPicPr>
          <a:picLocks noChangeAspect="1"/>
        </xdr:cNvPicPr>
      </xdr:nvPicPr>
      <xdr:blipFill>
        <a:blip xmlns:r="http://schemas.openxmlformats.org/officeDocument/2006/relationships" r:embed="rId1"/>
        <a:stretch>
          <a:fillRect/>
        </a:stretch>
      </xdr:blipFill>
      <xdr:spPr>
        <a:xfrm>
          <a:off x="0" y="0"/>
          <a:ext cx="14571428" cy="7761905"/>
        </a:xfrm>
        <a:prstGeom prst="rect">
          <a:avLst/>
        </a:prstGeom>
      </xdr:spPr>
    </xdr:pic>
    <xdr:clientData/>
  </xdr:twoCellAnchor>
  <xdr:twoCellAnchor editAs="oneCell">
    <xdr:from>
      <xdr:col>0</xdr:col>
      <xdr:colOff>0</xdr:colOff>
      <xdr:row>43</xdr:row>
      <xdr:rowOff>0</xdr:rowOff>
    </xdr:from>
    <xdr:to>
      <xdr:col>23</xdr:col>
      <xdr:colOff>350628</xdr:colOff>
      <xdr:row>82</xdr:row>
      <xdr:rowOff>105775</xdr:rowOff>
    </xdr:to>
    <xdr:pic>
      <xdr:nvPicPr>
        <xdr:cNvPr id="3" name="图片 2">
          <a:extLst>
            <a:ext uri="{FF2B5EF4-FFF2-40B4-BE49-F238E27FC236}">
              <a16:creationId xmlns:a16="http://schemas.microsoft.com/office/drawing/2014/main" id="{1C18083E-2C52-E21D-E91D-6A7BE0AF0B7D}"/>
            </a:ext>
          </a:extLst>
        </xdr:cNvPr>
        <xdr:cNvPicPr>
          <a:picLocks noChangeAspect="1"/>
        </xdr:cNvPicPr>
      </xdr:nvPicPr>
      <xdr:blipFill>
        <a:blip xmlns:r="http://schemas.openxmlformats.org/officeDocument/2006/relationships" r:embed="rId2"/>
        <a:stretch>
          <a:fillRect/>
        </a:stretch>
      </xdr:blipFill>
      <xdr:spPr>
        <a:xfrm>
          <a:off x="0" y="7863840"/>
          <a:ext cx="14371428" cy="7238095"/>
        </a:xfrm>
        <a:prstGeom prst="rect">
          <a:avLst/>
        </a:prstGeom>
      </xdr:spPr>
    </xdr:pic>
    <xdr:clientData/>
  </xdr:twoCellAnchor>
  <xdr:twoCellAnchor editAs="oneCell">
    <xdr:from>
      <xdr:col>0</xdr:col>
      <xdr:colOff>0</xdr:colOff>
      <xdr:row>84</xdr:row>
      <xdr:rowOff>0</xdr:rowOff>
    </xdr:from>
    <xdr:to>
      <xdr:col>23</xdr:col>
      <xdr:colOff>283962</xdr:colOff>
      <xdr:row>106</xdr:row>
      <xdr:rowOff>14735</xdr:rowOff>
    </xdr:to>
    <xdr:pic>
      <xdr:nvPicPr>
        <xdr:cNvPr id="4" name="图片 3">
          <a:extLst>
            <a:ext uri="{FF2B5EF4-FFF2-40B4-BE49-F238E27FC236}">
              <a16:creationId xmlns:a16="http://schemas.microsoft.com/office/drawing/2014/main" id="{D19086F0-7FAB-819F-C3CC-0C48547C370F}"/>
            </a:ext>
          </a:extLst>
        </xdr:cNvPr>
        <xdr:cNvPicPr>
          <a:picLocks noChangeAspect="1"/>
        </xdr:cNvPicPr>
      </xdr:nvPicPr>
      <xdr:blipFill>
        <a:blip xmlns:r="http://schemas.openxmlformats.org/officeDocument/2006/relationships" r:embed="rId3"/>
        <a:stretch>
          <a:fillRect/>
        </a:stretch>
      </xdr:blipFill>
      <xdr:spPr>
        <a:xfrm>
          <a:off x="0" y="15361920"/>
          <a:ext cx="14304762" cy="4038095"/>
        </a:xfrm>
        <a:prstGeom prst="rect">
          <a:avLst/>
        </a:prstGeom>
      </xdr:spPr>
    </xdr:pic>
    <xdr:clientData/>
  </xdr:twoCellAnchor>
  <xdr:twoCellAnchor editAs="oneCell">
    <xdr:from>
      <xdr:col>0</xdr:col>
      <xdr:colOff>0</xdr:colOff>
      <xdr:row>106</xdr:row>
      <xdr:rowOff>0</xdr:rowOff>
    </xdr:from>
    <xdr:to>
      <xdr:col>19</xdr:col>
      <xdr:colOff>341409</xdr:colOff>
      <xdr:row>127</xdr:row>
      <xdr:rowOff>64282</xdr:rowOff>
    </xdr:to>
    <xdr:pic>
      <xdr:nvPicPr>
        <xdr:cNvPr id="5" name="图片 4">
          <a:extLst>
            <a:ext uri="{FF2B5EF4-FFF2-40B4-BE49-F238E27FC236}">
              <a16:creationId xmlns:a16="http://schemas.microsoft.com/office/drawing/2014/main" id="{DF4CCD2D-88BE-609F-66ED-6947A2394440}"/>
            </a:ext>
          </a:extLst>
        </xdr:cNvPr>
        <xdr:cNvPicPr>
          <a:picLocks noChangeAspect="1"/>
        </xdr:cNvPicPr>
      </xdr:nvPicPr>
      <xdr:blipFill>
        <a:blip xmlns:r="http://schemas.openxmlformats.org/officeDocument/2006/relationships" r:embed="rId4"/>
        <a:stretch>
          <a:fillRect/>
        </a:stretch>
      </xdr:blipFill>
      <xdr:spPr>
        <a:xfrm>
          <a:off x="0" y="19385280"/>
          <a:ext cx="11923809" cy="3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北京市石景山区八宝山南路重兴园6号楼房地产抵押价值预评估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受贵公司委托，我公司对北京市石景山区八宝山南路重兴园6号楼房地产抵押价值进行了预评估。</v>
      </c>
    </row>
    <row r="7" spans="1:2">
      <c r="A7" s="1118" t="s">
        <v>566</v>
      </c>
      <c r="B7" s="1119" t="str">
        <f>'预评函-1'!A7</f>
        <v>估价对象为北京市石景山区八宝山南路重兴园6号楼房地产，为北京进取者软件技术有限公司所有。根据《国有土地使用证》[]，估价对象（分摊）出让国有建设用地使用权面积为0平方米，建筑面积为105.06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石景山区八宝山南路重兴园6号楼房地产,属北京进取者软件技术有限公司开发建设的，该项目尚在开发建设中。根据《国有土地使用证》[]，估价对象（分摊）出让国有建设用地使用权面积为0平方米，规划建筑面积为105.06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石景山区八宝山南路重兴园6号楼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2025年3月11日</v>
      </c>
    </row>
    <row r="13" spans="1:2">
      <c r="A13" s="1118" t="s">
        <v>529</v>
      </c>
      <c r="B13" s="1119" t="str">
        <f>'预评函-1'!A18</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本次评估采用的主估价方法为比较法和成本法。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532</v>
      </c>
    </row>
    <row r="21" spans="1:2">
      <c r="A21" s="1118" t="s">
        <v>537</v>
      </c>
      <c r="B21" s="1119">
        <f ca="1">'预评函-2'!D7</f>
        <v>50673</v>
      </c>
    </row>
    <row r="22" spans="1:2">
      <c r="A22" s="1118" t="s">
        <v>538</v>
      </c>
      <c r="B22" s="1119" t="str">
        <f ca="1">'预评函-2'!D6</f>
        <v>伍佰叁拾贰万元整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532</v>
      </c>
    </row>
    <row r="31" spans="1:2">
      <c r="A31" s="1118" t="s">
        <v>576</v>
      </c>
      <c r="B31" s="1119">
        <f ca="1">'预评函-2'!D15</f>
        <v>50673</v>
      </c>
    </row>
    <row r="32" spans="1:2">
      <c r="A32" s="1118" t="s">
        <v>543</v>
      </c>
      <c r="B32" s="1119" t="str">
        <f ca="1">'预评函-2'!D14</f>
        <v>伍佰叁拾贰万元整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北京市石景山区八宝山南路重兴园6号楼房地产</v>
      </c>
    </row>
    <row r="42" spans="1:2" ht="31.2">
      <c r="A42" s="1118" t="s">
        <v>590</v>
      </c>
      <c r="B42" s="1119" t="str">
        <f>'预评函-3'!B2</f>
        <v>建筑面积</v>
      </c>
    </row>
    <row r="43" spans="1:2">
      <c r="A43" s="1118" t="s">
        <v>591</v>
      </c>
      <c r="B43" s="1119">
        <f>'预评函-3'!B4</f>
        <v>105.06</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3340</v>
      </c>
    </row>
    <row r="8" spans="1:23">
      <c r="A8" s="1440" t="s">
        <v>1026</v>
      </c>
      <c r="B8" s="1440" t="s">
        <v>1027</v>
      </c>
      <c r="C8" s="1441" t="s">
        <v>319</v>
      </c>
      <c r="F8" s="1442" t="s">
        <v>1028</v>
      </c>
      <c r="H8" s="1442" t="s">
        <v>2575</v>
      </c>
      <c r="I8" s="1442" t="s">
        <v>3341</v>
      </c>
    </row>
    <row r="9" spans="1:23">
      <c r="A9" s="1440" t="s">
        <v>1029</v>
      </c>
      <c r="B9" s="1440" t="s">
        <v>1030</v>
      </c>
      <c r="C9" s="1441" t="s">
        <v>320</v>
      </c>
      <c r="F9" s="1442" t="s">
        <v>1031</v>
      </c>
      <c r="H9" s="1442"/>
      <c r="I9" s="1444" t="s">
        <v>3342</v>
      </c>
    </row>
    <row r="10" spans="1:23">
      <c r="A10" s="1440" t="s">
        <v>1032</v>
      </c>
      <c r="B10" s="1440" t="s">
        <v>1033</v>
      </c>
      <c r="C10" s="1441" t="s">
        <v>321</v>
      </c>
      <c r="F10" s="1442" t="s">
        <v>2576</v>
      </c>
      <c r="I10" s="1444" t="s">
        <v>3343</v>
      </c>
    </row>
    <row r="11" spans="1:23">
      <c r="A11" s="1440" t="s">
        <v>1034</v>
      </c>
      <c r="B11" s="1440" t="s">
        <v>1035</v>
      </c>
      <c r="C11" s="1441" t="s">
        <v>322</v>
      </c>
      <c r="F11" s="1442" t="s">
        <v>13</v>
      </c>
      <c r="I11" s="1444" t="s">
        <v>3344</v>
      </c>
    </row>
    <row r="12" spans="1:23">
      <c r="A12" s="1440" t="s">
        <v>1036</v>
      </c>
      <c r="B12" s="1440" t="s">
        <v>1037</v>
      </c>
      <c r="C12" s="1441" t="s">
        <v>323</v>
      </c>
      <c r="I12" s="1444" t="s">
        <v>3345</v>
      </c>
    </row>
    <row r="13" spans="1:23">
      <c r="A13" s="1440" t="s">
        <v>1038</v>
      </c>
      <c r="B13" s="1440" t="s">
        <v>1039</v>
      </c>
      <c r="C13" s="1441" t="s">
        <v>324</v>
      </c>
      <c r="I13" s="1444" t="s">
        <v>3346</v>
      </c>
    </row>
    <row r="14" spans="1:23">
      <c r="A14" s="1440" t="s">
        <v>1040</v>
      </c>
      <c r="B14" s="1440" t="s">
        <v>1041</v>
      </c>
      <c r="C14" s="1442" t="s">
        <v>13</v>
      </c>
      <c r="I14" s="1444" t="s">
        <v>3347</v>
      </c>
    </row>
    <row r="15" spans="1:23">
      <c r="A15" s="1440" t="s">
        <v>1042</v>
      </c>
      <c r="B15" s="1440" t="s">
        <v>1043</v>
      </c>
      <c r="C15" s="1441"/>
      <c r="I15" s="1444" t="s">
        <v>3348</v>
      </c>
    </row>
    <row r="16" spans="1:23">
      <c r="A16" s="1440" t="s">
        <v>1044</v>
      </c>
      <c r="B16" s="1440" t="s">
        <v>312</v>
      </c>
      <c r="C16" s="1441"/>
    </row>
    <row r="17" spans="1:3">
      <c r="A17" s="1440" t="s">
        <v>1045</v>
      </c>
      <c r="B17" s="1440" t="s">
        <v>2291</v>
      </c>
      <c r="C17" s="1441"/>
    </row>
    <row r="18" spans="1:3">
      <c r="A18" s="1440" t="s">
        <v>1046</v>
      </c>
      <c r="B18" s="1440" t="s">
        <v>2431</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八宝山南路重兴园6号楼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6" t="s">
        <v>385</v>
      </c>
      <c r="C54" s="1444" t="s">
        <v>583</v>
      </c>
    </row>
    <row r="55" spans="1:4">
      <c r="A55" s="3213"/>
      <c r="B55" s="1446" t="s">
        <v>386</v>
      </c>
      <c r="C55" s="1444" t="s">
        <v>584</v>
      </c>
    </row>
    <row r="56" spans="1:4">
      <c r="A56" s="3213"/>
      <c r="B56" s="1446" t="s">
        <v>387</v>
      </c>
      <c r="C56" s="1444" t="s">
        <v>588</v>
      </c>
    </row>
    <row r="57" spans="1:4">
      <c r="A57" s="321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2498</v>
      </c>
      <c r="B1" s="2754"/>
      <c r="C1" s="2754"/>
      <c r="D1" s="2754"/>
      <c r="E1" s="2754"/>
      <c r="F1" s="2755"/>
      <c r="I1" s="3132" t="s">
        <v>2591</v>
      </c>
      <c r="J1" s="2780"/>
      <c r="K1" s="2780"/>
      <c r="L1" s="2780"/>
      <c r="M1" s="2780"/>
      <c r="N1" s="2965"/>
      <c r="O1" s="2965"/>
      <c r="P1" s="2965"/>
      <c r="Q1" s="2965"/>
      <c r="R1" s="2965"/>
    </row>
    <row r="2" spans="1:18">
      <c r="A2" s="2757"/>
      <c r="B2" s="2758"/>
      <c r="C2" s="2758"/>
      <c r="D2" s="2758"/>
      <c r="E2" s="2758"/>
      <c r="F2" s="2759"/>
      <c r="I2" s="3214" t="s">
        <v>2578</v>
      </c>
      <c r="J2" s="3214"/>
      <c r="K2" s="3214"/>
      <c r="L2" s="3214"/>
      <c r="M2" s="3214"/>
      <c r="N2" s="3214"/>
      <c r="O2" s="3214"/>
      <c r="P2" s="3214"/>
      <c r="Q2" s="3214"/>
      <c r="R2" s="3214"/>
    </row>
    <row r="3" spans="1:18">
      <c r="A3" s="2760" t="s">
        <v>2499</v>
      </c>
      <c r="B3" s="2761">
        <f>项目基本情况!D3</f>
        <v>45727</v>
      </c>
      <c r="C3" s="2763"/>
      <c r="D3" s="2763"/>
      <c r="E3" s="2763"/>
      <c r="F3" s="2759"/>
      <c r="I3" s="2775"/>
      <c r="J3" s="2775" t="s">
        <v>2582</v>
      </c>
      <c r="K3" s="2775" t="s">
        <v>2583</v>
      </c>
      <c r="L3" s="2775" t="s">
        <v>2584</v>
      </c>
      <c r="M3" s="2775" t="s">
        <v>2585</v>
      </c>
      <c r="N3" s="3133" t="s">
        <v>2586</v>
      </c>
      <c r="O3" s="3133" t="s">
        <v>2587</v>
      </c>
      <c r="P3" s="3133" t="s">
        <v>2588</v>
      </c>
      <c r="Q3" s="3133" t="s">
        <v>2589</v>
      </c>
      <c r="R3" s="3133"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1.77</v>
      </c>
      <c r="D5" s="2765">
        <f>IF(ISERROR(ROUND(POWER(1+E5,A5-C5)*(POWER(1+E5,C5)-1)/(POWER(1+E5,A5)-1),3)),0,ROUND(POWER(1+E5,A5-C5)*(POWER(1+E5,C5)-1)/(POWER(1+E5,A5)-1),4))</f>
        <v>8.4699999999999998E-2</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11.78</v>
      </c>
      <c r="D6" s="2765">
        <f>IF(ISERROR(ROUND(POWER(1+E6,A6-C6)*(POWER(1+E6,C6)-1)/(POWER(1+E6,A6)-1),3)),0,ROUND(POWER(1+E6,A6-C6)*(POWER(1+E6,C6)-1)/(POWER(1+E6,A6)-1),4))</f>
        <v>0.43059999999999998</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31.79</v>
      </c>
      <c r="D7" s="2765">
        <f>IF(ISERROR(ROUND(POWER(1+E7,A7-C7)*(POWER(1+E7,C7)-1)/(POWER(1+E7,A7)-1),3)),0,ROUND(POWER(1+E7,A7-C7)*(POWER(1+E7,C7)-1)/(POWER(1+E7,A7)-1),4))</f>
        <v>0.76149999999999995</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4">
      <c r="A17" s="2760" t="s">
        <v>2515</v>
      </c>
      <c r="B17" s="2768">
        <v>4810</v>
      </c>
      <c r="C17" s="2762"/>
      <c r="D17" s="2758"/>
      <c r="E17" s="2758"/>
      <c r="F17" s="2759"/>
    </row>
    <row r="18" spans="1:14" ht="15" thickBot="1">
      <c r="A18" s="2770" t="s">
        <v>2514</v>
      </c>
      <c r="B18" s="2771">
        <f>ROUND(B17*F11/F12,2)</f>
        <v>5541.87</v>
      </c>
      <c r="C18" s="2771">
        <f>ROUND(F11/F12,4)</f>
        <v>1.1521999999999999</v>
      </c>
      <c r="D18" s="2772"/>
      <c r="E18" s="2772"/>
      <c r="F18" s="2773"/>
    </row>
    <row r="19" spans="1:14" ht="15" thickBot="1"/>
    <row r="20" spans="1:14" s="2806" customFormat="1" ht="15" thickTop="1">
      <c r="A20" s="2803" t="s">
        <v>2517</v>
      </c>
      <c r="B20" s="2804"/>
      <c r="C20" s="2804"/>
      <c r="D20" s="2804"/>
      <c r="E20" s="2804"/>
      <c r="F20" s="2804"/>
      <c r="G20" s="2805"/>
      <c r="I20" s="2807" t="s">
        <v>2562</v>
      </c>
      <c r="J20" s="2807" t="s">
        <v>2567</v>
      </c>
      <c r="K20" s="2807"/>
      <c r="L20" s="2807"/>
      <c r="M20" s="2807"/>
    </row>
    <row r="21" spans="1:14">
      <c r="A21" s="2774"/>
      <c r="B21" s="2775" t="s">
        <v>2518</v>
      </c>
      <c r="C21" s="2775" t="s">
        <v>2519</v>
      </c>
      <c r="D21" s="2775" t="s">
        <v>2520</v>
      </c>
      <c r="E21" s="2775" t="s">
        <v>2521</v>
      </c>
      <c r="F21" s="2775" t="s">
        <v>2522</v>
      </c>
      <c r="G21" s="2776" t="s">
        <v>2523</v>
      </c>
      <c r="I21" s="2797">
        <v>5</v>
      </c>
      <c r="J21" s="2797">
        <v>54.2</v>
      </c>
    </row>
    <row r="22" spans="1:14">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N23" s="3150" t="s">
        <v>2566</v>
      </c>
    </row>
    <row r="24" spans="1:14">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N24" s="3150">
        <v>10</v>
      </c>
    </row>
    <row r="25" spans="1:14">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N25" s="3150">
        <v>8</v>
      </c>
    </row>
    <row r="26" spans="1:14">
      <c r="A26" s="2779"/>
      <c r="B26" s="2780"/>
      <c r="C26" s="2780"/>
      <c r="D26" s="2780"/>
      <c r="E26" s="2780"/>
      <c r="F26" s="2780"/>
      <c r="G26" s="2781"/>
      <c r="I26" s="2797">
        <v>30</v>
      </c>
      <c r="J26" s="2797">
        <v>90.5</v>
      </c>
      <c r="K26" s="2797">
        <f t="shared" si="2"/>
        <v>4.2000000000000028</v>
      </c>
      <c r="L26" s="2797" t="s">
        <v>2569</v>
      </c>
      <c r="N26" s="3150">
        <v>5</v>
      </c>
    </row>
    <row r="27" spans="1:14">
      <c r="A27" s="2779" t="s">
        <v>2528</v>
      </c>
      <c r="B27" s="2780"/>
      <c r="C27" s="2780"/>
      <c r="D27" s="2780"/>
      <c r="E27" s="2780"/>
      <c r="F27" s="2780"/>
      <c r="G27" s="2781"/>
      <c r="I27" s="2797">
        <v>35</v>
      </c>
      <c r="J27" s="2797">
        <v>93.8</v>
      </c>
      <c r="K27" s="2797">
        <f t="shared" si="2"/>
        <v>3.2999999999999972</v>
      </c>
      <c r="L27" s="2797" t="s">
        <v>2570</v>
      </c>
      <c r="N27" s="3150">
        <v>3</v>
      </c>
    </row>
    <row r="28" spans="1:14">
      <c r="A28" s="2779" t="s">
        <v>2529</v>
      </c>
      <c r="B28" s="2780"/>
      <c r="C28" s="2780"/>
      <c r="D28" s="2780"/>
      <c r="E28" s="2780"/>
      <c r="F28" s="2780"/>
      <c r="G28" s="2781"/>
      <c r="I28" s="2797">
        <v>40</v>
      </c>
      <c r="J28" s="2797">
        <v>96.4</v>
      </c>
      <c r="K28" s="2797">
        <f t="shared" si="2"/>
        <v>2.6000000000000085</v>
      </c>
      <c r="L28" s="2797" t="s">
        <v>2571</v>
      </c>
      <c r="N28" s="3150">
        <v>2</v>
      </c>
    </row>
    <row r="29" spans="1:14">
      <c r="A29" s="2779" t="s">
        <v>2530</v>
      </c>
      <c r="B29" s="2780"/>
      <c r="C29" s="2780"/>
      <c r="D29" s="2780"/>
      <c r="E29" s="2780"/>
      <c r="F29" s="2780"/>
      <c r="G29" s="2781"/>
      <c r="I29" s="2797">
        <v>45</v>
      </c>
      <c r="J29" s="2797">
        <v>98.4</v>
      </c>
      <c r="K29" s="2797">
        <f t="shared" si="2"/>
        <v>2</v>
      </c>
    </row>
    <row r="30" spans="1:14">
      <c r="A30" s="2779" t="s">
        <v>2531</v>
      </c>
      <c r="B30" s="2780"/>
      <c r="C30" s="2780"/>
      <c r="D30" s="2780"/>
      <c r="E30" s="2780"/>
      <c r="F30" s="2780"/>
      <c r="G30" s="2781"/>
      <c r="I30" s="2797">
        <v>50</v>
      </c>
      <c r="J30" s="2797">
        <v>100</v>
      </c>
      <c r="K30" s="2797">
        <f t="shared" si="2"/>
        <v>1.5999999999999943</v>
      </c>
    </row>
    <row r="31" spans="1:14">
      <c r="A31" s="2779" t="s">
        <v>2532</v>
      </c>
      <c r="B31" s="2780"/>
      <c r="C31" s="2780"/>
      <c r="D31" s="2780"/>
      <c r="E31" s="2780"/>
      <c r="F31" s="2780"/>
      <c r="G31" s="2781"/>
      <c r="I31" s="2797" t="s">
        <v>2563</v>
      </c>
    </row>
    <row r="32" spans="1:14">
      <c r="A32" s="2779" t="s">
        <v>2533</v>
      </c>
      <c r="B32" s="2780"/>
      <c r="C32" s="2780"/>
      <c r="D32" s="2780"/>
      <c r="E32" s="2780"/>
      <c r="F32" s="2780"/>
      <c r="G32" s="2781"/>
    </row>
    <row r="33" spans="1:14">
      <c r="A33" s="2779" t="s">
        <v>2534</v>
      </c>
      <c r="B33" s="2780"/>
      <c r="C33" s="2780"/>
      <c r="D33" s="2780"/>
      <c r="E33" s="2780"/>
      <c r="F33" s="2780"/>
      <c r="G33" s="2781"/>
      <c r="I33" s="2797" t="s">
        <v>2562</v>
      </c>
      <c r="J33" s="2797" t="s">
        <v>2572</v>
      </c>
    </row>
    <row r="34" spans="1:14">
      <c r="A34" s="2779" t="s">
        <v>2535</v>
      </c>
      <c r="B34" s="2780"/>
      <c r="C34" s="2780"/>
      <c r="D34" s="2780"/>
      <c r="E34" s="2780"/>
      <c r="F34" s="2780"/>
      <c r="G34" s="2781"/>
      <c r="I34" s="2797">
        <v>5</v>
      </c>
      <c r="J34" s="2797">
        <v>55.1</v>
      </c>
    </row>
    <row r="35" spans="1:14">
      <c r="A35" s="2779" t="s">
        <v>2536</v>
      </c>
      <c r="B35" s="2780"/>
      <c r="C35" s="2780"/>
      <c r="D35" s="2780"/>
      <c r="E35" s="2780"/>
      <c r="F35" s="2780"/>
      <c r="G35" s="2781"/>
      <c r="I35" s="2797">
        <v>10</v>
      </c>
      <c r="J35" s="2797">
        <v>67</v>
      </c>
      <c r="K35" s="2797">
        <f>J35-J34</f>
        <v>11.899999999999999</v>
      </c>
    </row>
    <row r="36" spans="1:14">
      <c r="A36" s="2779" t="s">
        <v>2537</v>
      </c>
      <c r="B36" s="2780"/>
      <c r="C36" s="2780"/>
      <c r="D36" s="2780"/>
      <c r="E36" s="2780"/>
      <c r="F36" s="2780"/>
      <c r="G36" s="2781"/>
      <c r="I36" s="2797">
        <v>15</v>
      </c>
      <c r="J36" s="2797">
        <v>76.3</v>
      </c>
      <c r="K36" s="2797">
        <f t="shared" ref="K36:K41" si="3">J36-J35</f>
        <v>9.2999999999999972</v>
      </c>
      <c r="L36" s="2797" t="s">
        <v>2565</v>
      </c>
      <c r="N36" s="3150" t="s">
        <v>2566</v>
      </c>
    </row>
    <row r="37" spans="1:14">
      <c r="A37" s="2779" t="s">
        <v>2538</v>
      </c>
      <c r="B37" s="2780"/>
      <c r="C37" s="2780"/>
      <c r="D37" s="2780"/>
      <c r="E37" s="2780"/>
      <c r="F37" s="2780"/>
      <c r="G37" s="2781"/>
      <c r="I37" s="2797">
        <v>20</v>
      </c>
      <c r="J37" s="2797">
        <v>83.6</v>
      </c>
      <c r="K37" s="2797">
        <f t="shared" si="3"/>
        <v>7.2999999999999972</v>
      </c>
      <c r="L37" s="2797" t="s">
        <v>2564</v>
      </c>
      <c r="N37" s="3150">
        <v>10</v>
      </c>
    </row>
    <row r="38" spans="1:14">
      <c r="A38" s="2779" t="s">
        <v>2539</v>
      </c>
      <c r="B38" s="2780"/>
      <c r="C38" s="2780"/>
      <c r="D38" s="2780"/>
      <c r="E38" s="2780"/>
      <c r="F38" s="2780"/>
      <c r="G38" s="2781"/>
      <c r="I38" s="2797">
        <v>25</v>
      </c>
      <c r="J38" s="2797">
        <v>89.3</v>
      </c>
      <c r="K38" s="2797">
        <f t="shared" si="3"/>
        <v>5.7000000000000028</v>
      </c>
      <c r="L38" s="2797" t="s">
        <v>2568</v>
      </c>
      <c r="N38" s="3150">
        <v>8</v>
      </c>
    </row>
    <row r="39" spans="1:14">
      <c r="A39" s="2779"/>
      <c r="B39" s="2780"/>
      <c r="C39" s="2780"/>
      <c r="D39" s="2780"/>
      <c r="E39" s="2780"/>
      <c r="F39" s="2780"/>
      <c r="G39" s="2781"/>
      <c r="I39" s="2797">
        <v>30</v>
      </c>
      <c r="J39" s="2797">
        <v>93.8</v>
      </c>
      <c r="K39" s="2797">
        <f t="shared" si="3"/>
        <v>4.5</v>
      </c>
      <c r="L39" s="2797" t="s">
        <v>2569</v>
      </c>
      <c r="N39" s="3150">
        <v>6</v>
      </c>
    </row>
    <row r="40" spans="1:14">
      <c r="A40" s="2782" t="s">
        <v>2540</v>
      </c>
      <c r="B40" s="2783"/>
      <c r="C40" s="2783"/>
      <c r="D40" s="2783"/>
      <c r="E40" s="2783"/>
      <c r="F40" s="2783"/>
      <c r="G40" s="2784"/>
      <c r="I40" s="2797">
        <v>35</v>
      </c>
      <c r="J40" s="2797">
        <v>97.2</v>
      </c>
      <c r="K40" s="2797">
        <f t="shared" si="3"/>
        <v>3.4000000000000057</v>
      </c>
      <c r="L40" s="2797" t="s">
        <v>2570</v>
      </c>
      <c r="N40" s="3150">
        <v>3</v>
      </c>
    </row>
    <row r="41" spans="1:14">
      <c r="A41" s="2785" t="s">
        <v>2541</v>
      </c>
      <c r="B41" s="2786" t="s">
        <v>2542</v>
      </c>
      <c r="C41" s="2787" t="s">
        <v>2543</v>
      </c>
      <c r="D41" s="2787" t="s">
        <v>2544</v>
      </c>
      <c r="E41" s="2788"/>
      <c r="F41" s="2789"/>
      <c r="G41" s="2790"/>
      <c r="I41" s="2797">
        <v>40</v>
      </c>
      <c r="J41" s="2797">
        <v>100</v>
      </c>
      <c r="K41" s="2797">
        <f t="shared" si="3"/>
        <v>2.7999999999999972</v>
      </c>
    </row>
    <row r="42" spans="1:14">
      <c r="A42" s="2785" t="s">
        <v>2545</v>
      </c>
      <c r="B42" s="2786" t="s">
        <v>2546</v>
      </c>
      <c r="C42" s="2787" t="s">
        <v>2547</v>
      </c>
      <c r="D42" s="2791" t="s">
        <v>2548</v>
      </c>
      <c r="E42" s="2783" t="s">
        <v>2549</v>
      </c>
      <c r="F42" s="2783"/>
      <c r="G42" s="2784"/>
    </row>
    <row r="43" spans="1:14">
      <c r="A43" s="2785" t="s">
        <v>2550</v>
      </c>
      <c r="B43" s="2786" t="s">
        <v>2551</v>
      </c>
      <c r="C43" s="2787" t="s">
        <v>2552</v>
      </c>
      <c r="D43" s="2787" t="s">
        <v>2553</v>
      </c>
      <c r="E43" s="2788" t="s">
        <v>2554</v>
      </c>
      <c r="F43" s="2789"/>
      <c r="G43" s="2790"/>
      <c r="I43" s="2797" t="s">
        <v>2562</v>
      </c>
      <c r="J43" s="2797" t="s">
        <v>2573</v>
      </c>
    </row>
    <row r="44" spans="1:14">
      <c r="A44" s="2785" t="s">
        <v>2555</v>
      </c>
      <c r="B44" s="2786" t="s">
        <v>2556</v>
      </c>
      <c r="C44" s="2787" t="s">
        <v>2557</v>
      </c>
      <c r="D44" s="2791">
        <v>0.5</v>
      </c>
      <c r="E44" s="2788" t="s">
        <v>2558</v>
      </c>
      <c r="F44" s="2789"/>
      <c r="G44" s="2790"/>
      <c r="I44" s="2797">
        <v>30</v>
      </c>
      <c r="J44" s="2797">
        <v>81.7</v>
      </c>
    </row>
    <row r="45" spans="1:14" ht="15" thickBot="1">
      <c r="A45" s="2792" t="s">
        <v>2559</v>
      </c>
      <c r="B45" s="2793" t="s">
        <v>2546</v>
      </c>
      <c r="C45" s="2794" t="s">
        <v>2546</v>
      </c>
      <c r="D45" s="2794" t="s">
        <v>2560</v>
      </c>
      <c r="E45" s="2795" t="s">
        <v>2561</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3388</v>
      </c>
    </row>
    <row r="50" spans="1:4">
      <c r="A50" s="3142" t="s">
        <v>3389</v>
      </c>
      <c r="B50" s="3142" t="s">
        <v>3390</v>
      </c>
      <c r="C50" s="3142" t="s">
        <v>3391</v>
      </c>
      <c r="D50" s="3142" t="s">
        <v>3392</v>
      </c>
    </row>
    <row r="51" spans="1:4">
      <c r="A51" s="3142" t="s">
        <v>3393</v>
      </c>
      <c r="B51" s="2762">
        <f>B52+B53</f>
        <v>15000</v>
      </c>
      <c r="C51" s="3143">
        <f>D51/B51</f>
        <v>2666.6666666666665</v>
      </c>
      <c r="D51" s="2762">
        <f>D52+D53</f>
        <v>40000000</v>
      </c>
    </row>
    <row r="52" spans="1:4">
      <c r="A52" s="3144" t="s">
        <v>3394</v>
      </c>
      <c r="B52" s="3145">
        <v>10000</v>
      </c>
      <c r="C52" s="3145">
        <v>1500</v>
      </c>
      <c r="D52" s="3146">
        <f>C52*B52</f>
        <v>15000000</v>
      </c>
    </row>
    <row r="53" spans="1:4">
      <c r="A53" s="3144" t="s">
        <v>3395</v>
      </c>
      <c r="B53" s="3145">
        <v>5000</v>
      </c>
      <c r="C53" s="3145">
        <v>5000</v>
      </c>
      <c r="D53" s="3146">
        <f>C53*B53</f>
        <v>25000000</v>
      </c>
    </row>
    <row r="54" spans="1:4">
      <c r="A54" s="3142" t="s">
        <v>3396</v>
      </c>
      <c r="B54" s="2762">
        <f>B51</f>
        <v>15000</v>
      </c>
      <c r="C54" s="2768">
        <v>700</v>
      </c>
      <c r="D54" s="2762">
        <f t="shared" ref="D54:D55" si="5">C54*B54</f>
        <v>10500000</v>
      </c>
    </row>
    <row r="55" spans="1:4">
      <c r="A55" s="3142" t="s">
        <v>3397</v>
      </c>
      <c r="B55" s="2762">
        <f>B51</f>
        <v>15000</v>
      </c>
      <c r="C55" s="2768">
        <v>1500</v>
      </c>
      <c r="D55" s="2762">
        <f t="shared" si="5"/>
        <v>22500000</v>
      </c>
    </row>
    <row r="56" spans="1:4">
      <c r="A56" s="3142" t="s">
        <v>3398</v>
      </c>
      <c r="B56" s="2762">
        <f>B51</f>
        <v>15000</v>
      </c>
      <c r="C56" s="3147">
        <f>C51+C54+C55</f>
        <v>4866.6666666666661</v>
      </c>
      <c r="D56" s="2762">
        <f>D51+D54+D55</f>
        <v>73000000</v>
      </c>
    </row>
    <row r="58" spans="1:4">
      <c r="A58" s="3142" t="s">
        <v>3399</v>
      </c>
      <c r="B58" s="3148">
        <v>0.05</v>
      </c>
      <c r="C58" s="2762">
        <f>C56*(1+B58)</f>
        <v>5110</v>
      </c>
      <c r="D58" s="2762">
        <f>D56*B58</f>
        <v>3650000</v>
      </c>
    </row>
    <row r="60" spans="1:4">
      <c r="A60" s="3142" t="s">
        <v>3400</v>
      </c>
      <c r="B60" s="2768">
        <v>3500</v>
      </c>
      <c r="C60" s="2768">
        <f>C53</f>
        <v>5000</v>
      </c>
      <c r="D60" s="2762">
        <f>C60*B60</f>
        <v>17500000</v>
      </c>
    </row>
    <row r="62" spans="1:4">
      <c r="A62" s="3142" t="s">
        <v>3401</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8" zoomScaleNormal="100" zoomScaleSheetLayoutView="100" workbookViewId="0">
      <selection activeCell="C14" sqref="C14"/>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2166</v>
      </c>
      <c r="B1" s="3215" t="str">
        <f>IF(B10="北京市","北京市",C10)&amp;F10&amp;IF(结果表!G1="在建","出让国有建设用地使用权及在建建筑物",IF(结果表!G1="土地","出让国有建设用地使用权",))&amp;B9&amp;"预评估"</f>
        <v>北京市石景山区八宝山南路重兴园6号楼房地产抵押价值预评估</v>
      </c>
      <c r="C1" s="3216"/>
      <c r="D1" s="3216"/>
      <c r="E1" s="3216"/>
      <c r="F1" s="3216"/>
      <c r="G1" s="3216"/>
      <c r="H1" s="3216"/>
      <c r="I1" s="3217"/>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北京市石景山区八宝山南路重兴园6号楼房地产抵押价值</v>
      </c>
      <c r="T1" s="1617"/>
      <c r="U1" s="1617"/>
      <c r="V1" s="1617"/>
      <c r="W1" s="1617"/>
      <c r="X1" s="1617"/>
      <c r="Y1" s="1617"/>
      <c r="Z1" s="1617"/>
      <c r="AA1" s="1617"/>
      <c r="AB1" s="1617"/>
    </row>
    <row r="2" spans="1:30">
      <c r="A2" s="2181" t="s">
        <v>2167</v>
      </c>
      <c r="B2" s="122"/>
      <c r="D2" s="2445"/>
      <c r="E2" s="2439"/>
      <c r="F2" s="2439"/>
      <c r="G2" s="2440"/>
      <c r="H2" s="2440"/>
      <c r="I2" s="2440"/>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北京市石景山区八宝山南路重兴园6号楼房地产</v>
      </c>
      <c r="T2" s="1617"/>
      <c r="U2" s="1617"/>
      <c r="V2" s="1617"/>
      <c r="W2" s="1617"/>
      <c r="X2" s="1617"/>
      <c r="Y2" s="1617"/>
      <c r="Z2" s="1617"/>
      <c r="AA2" s="1617"/>
      <c r="AB2" s="1617"/>
    </row>
    <row r="3" spans="1:30">
      <c r="A3" s="294" t="s">
        <v>2168</v>
      </c>
      <c r="B3" s="2184"/>
      <c r="C3" s="2185" t="s">
        <v>2169</v>
      </c>
      <c r="D3" s="2184">
        <v>45727</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8" thickBot="1">
      <c r="A4" s="1027"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2171</v>
      </c>
      <c r="B5" s="2190"/>
      <c r="C5" s="2191"/>
      <c r="D5" s="2192"/>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39"/>
      <c r="F6" s="2440"/>
      <c r="G6" s="2440"/>
      <c r="H6" s="2440"/>
      <c r="I6" s="2440"/>
      <c r="J6" s="2243"/>
      <c r="K6" s="2399" t="str">
        <f>IF(COUNTIF(B6,"*上海银行*"),"上海银行","")</f>
        <v/>
      </c>
      <c r="L6" s="2397"/>
      <c r="M6" s="2397"/>
      <c r="N6" s="2243"/>
      <c r="O6" s="1669"/>
      <c r="P6" s="2243"/>
      <c r="Q6" s="2243"/>
      <c r="R6" s="2243"/>
    </row>
    <row r="7" spans="1:30">
      <c r="A7" s="2193" t="s">
        <v>2173</v>
      </c>
      <c r="B7" s="2197"/>
      <c r="C7" s="2195"/>
      <c r="D7" s="2196"/>
      <c r="E7" s="2439"/>
      <c r="F7" s="2440"/>
      <c r="G7" s="2440"/>
      <c r="H7" s="2440"/>
      <c r="I7" s="2440"/>
      <c r="J7" s="2243"/>
      <c r="K7" s="2400"/>
      <c r="L7" s="2397"/>
      <c r="M7" s="2397"/>
      <c r="N7" s="2243"/>
      <c r="O7" s="1669"/>
      <c r="P7" s="2243"/>
      <c r="Q7" s="2243"/>
      <c r="R7" s="2243"/>
    </row>
    <row r="8" spans="1:30">
      <c r="A8" s="2198" t="s">
        <v>2174</v>
      </c>
      <c r="B8" s="2199" t="s">
        <v>3404</v>
      </c>
      <c r="C8" s="2200"/>
      <c r="D8" s="3218" t="s">
        <v>2175</v>
      </c>
      <c r="E8" s="2201" t="s">
        <v>3403</v>
      </c>
      <c r="F8" s="2202"/>
      <c r="G8" s="2440"/>
      <c r="H8" s="2440"/>
      <c r="I8" s="2440"/>
      <c r="J8" s="2243"/>
      <c r="K8" s="2398"/>
      <c r="L8" s="2397"/>
      <c r="M8" s="2397"/>
      <c r="N8" s="2243"/>
      <c r="O8" s="1669"/>
      <c r="P8" s="2243"/>
      <c r="Q8" s="2243"/>
      <c r="R8" s="2243"/>
    </row>
    <row r="9" spans="1:30" ht="13.8" thickBot="1">
      <c r="A9" s="2203" t="s">
        <v>2176</v>
      </c>
      <c r="B9" s="2204" t="s">
        <v>3403</v>
      </c>
      <c r="C9" s="2205"/>
      <c r="D9" s="3219"/>
      <c r="E9" s="2204"/>
      <c r="F9" s="2206"/>
      <c r="G9" s="2441"/>
      <c r="H9" s="2441"/>
      <c r="I9" s="2441"/>
      <c r="J9" s="2243"/>
      <c r="K9" s="2400"/>
      <c r="L9" s="2397"/>
      <c r="M9" s="2397"/>
      <c r="N9" s="2243"/>
      <c r="O9" s="1669"/>
      <c r="P9" s="2243"/>
      <c r="Q9" s="2243"/>
      <c r="R9" s="2243"/>
    </row>
    <row r="10" spans="1:30" ht="13.8" thickTop="1">
      <c r="A10" s="2207" t="s">
        <v>2177</v>
      </c>
      <c r="B10" s="2208" t="s">
        <v>3405</v>
      </c>
      <c r="C10" s="2209"/>
      <c r="D10" s="2192"/>
      <c r="E10" s="2210" t="s">
        <v>2178</v>
      </c>
      <c r="F10" s="3153" t="s">
        <v>3447</v>
      </c>
      <c r="G10" s="2442"/>
      <c r="H10" s="2443"/>
      <c r="I10" s="2444"/>
      <c r="J10" s="2243"/>
      <c r="K10" s="2400"/>
      <c r="L10" s="2397"/>
      <c r="M10" s="2397"/>
      <c r="N10" s="2243"/>
      <c r="O10" s="1669"/>
      <c r="P10" s="2243"/>
      <c r="Q10" s="2243"/>
      <c r="R10" s="2243"/>
    </row>
    <row r="11" spans="1:30" ht="36">
      <c r="A11" s="2211" t="s">
        <v>2179</v>
      </c>
      <c r="B11" s="2212" t="s">
        <v>3406</v>
      </c>
      <c r="C11" s="3154" t="s">
        <v>3448</v>
      </c>
      <c r="D11" s="2213"/>
      <c r="E11" s="2181"/>
      <c r="F11" s="2181"/>
      <c r="G11" s="2181"/>
      <c r="H11" s="2181"/>
      <c r="I11" s="2181"/>
      <c r="J11" s="2799"/>
      <c r="K11" s="2397"/>
      <c r="L11" s="2397"/>
      <c r="M11" s="2397"/>
      <c r="N11" s="2243"/>
      <c r="O11" s="1669"/>
      <c r="P11" s="2243"/>
      <c r="Q11" s="2243"/>
      <c r="R11" s="2243"/>
    </row>
    <row r="12" spans="1:30">
      <c r="A12" s="2214" t="s">
        <v>2180</v>
      </c>
      <c r="B12" s="315" t="s">
        <v>2181</v>
      </c>
      <c r="C12" s="2215" t="s">
        <v>2182</v>
      </c>
      <c r="D12" s="2215" t="s">
        <v>2183</v>
      </c>
      <c r="E12" s="2215" t="s">
        <v>2184</v>
      </c>
      <c r="F12" s="2215" t="s">
        <v>2185</v>
      </c>
      <c r="G12" s="2215" t="s">
        <v>2186</v>
      </c>
      <c r="H12" s="2215" t="s">
        <v>2187</v>
      </c>
      <c r="I12" s="2798" t="s">
        <v>2574</v>
      </c>
      <c r="J12" s="2800"/>
      <c r="K12" s="2397"/>
      <c r="L12" s="2397"/>
      <c r="M12" s="2243"/>
      <c r="N12" s="1669"/>
      <c r="O12" s="2243"/>
      <c r="P12" s="2243"/>
      <c r="Q12" s="2243"/>
      <c r="AD12" s="1617"/>
    </row>
    <row r="13" spans="1:30">
      <c r="A13" s="3119" t="s">
        <v>3330</v>
      </c>
      <c r="B13" s="2216" t="s">
        <v>2188</v>
      </c>
      <c r="C13" s="803">
        <v>62519</v>
      </c>
      <c r="D13" s="803"/>
      <c r="E13" s="803"/>
      <c r="F13" s="803"/>
      <c r="G13" s="803"/>
      <c r="H13" s="803"/>
      <c r="I13" s="803"/>
      <c r="J13" s="2800"/>
      <c r="K13" s="2397"/>
      <c r="L13" s="2397"/>
      <c r="M13" s="2243"/>
      <c r="N13" s="1669"/>
      <c r="O13" s="2243"/>
      <c r="P13" s="2243"/>
      <c r="Q13" s="2243"/>
      <c r="AD13" s="1617"/>
    </row>
    <row r="14" spans="1:30">
      <c r="A14" s="1018"/>
      <c r="B14" s="2216" t="s">
        <v>2189</v>
      </c>
      <c r="C14" s="2217">
        <v>70</v>
      </c>
      <c r="D14" s="2217"/>
      <c r="E14" s="2217"/>
      <c r="F14" s="2217"/>
      <c r="G14" s="2217"/>
      <c r="H14" s="2217"/>
      <c r="I14" s="2217"/>
      <c r="J14" s="2801"/>
      <c r="K14" s="2397"/>
      <c r="L14" s="2397"/>
      <c r="M14" s="2243"/>
      <c r="N14" s="1669"/>
      <c r="O14" s="2243"/>
      <c r="P14" s="2243"/>
      <c r="Q14" s="2243"/>
      <c r="AD14" s="1617"/>
    </row>
    <row r="15" spans="1:30">
      <c r="A15" s="312"/>
      <c r="B15" s="2218" t="s">
        <v>2190</v>
      </c>
      <c r="C15" s="2219">
        <f>IF(A13="出让",IF(C13="","",ROUNDDOWN(MIN((C13-$D$3)/365,C14),2)),C14)</f>
        <v>46</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69"/>
      <c r="L15" s="1669"/>
      <c r="M15" s="2243"/>
      <c r="N15" s="1669"/>
      <c r="O15" s="2243"/>
      <c r="P15" s="2243"/>
      <c r="Q15" s="2243"/>
      <c r="AD15" s="1617"/>
    </row>
    <row r="16" spans="1:30">
      <c r="A16" s="2210" t="s">
        <v>2191</v>
      </c>
      <c r="B16" s="3225"/>
      <c r="C16" s="3226"/>
      <c r="D16" s="3227"/>
      <c r="E16" s="2220" t="s">
        <v>2192</v>
      </c>
      <c r="F16" s="3228"/>
      <c r="G16" s="3229"/>
      <c r="H16" s="3229"/>
      <c r="I16" s="3230"/>
      <c r="J16" s="2243"/>
      <c r="K16" s="2401"/>
      <c r="L16" s="1669"/>
      <c r="M16" s="1669"/>
      <c r="N16" s="2243"/>
      <c r="O16" s="1669"/>
      <c r="P16" s="2243"/>
      <c r="Q16" s="2243"/>
      <c r="R16" s="2243"/>
    </row>
    <row r="17" spans="1:28">
      <c r="A17" s="305" t="s">
        <v>2193</v>
      </c>
      <c r="B17" s="294" t="s">
        <v>2194</v>
      </c>
      <c r="C17" s="8">
        <f>'数据-汇总表'!E3</f>
        <v>105.06</v>
      </c>
      <c r="D17" s="1255" t="s">
        <v>2195</v>
      </c>
      <c r="E17" s="3231" t="s">
        <v>2196</v>
      </c>
      <c r="F17" s="3232"/>
      <c r="G17" s="3232"/>
      <c r="H17" s="3232"/>
      <c r="I17" s="3233"/>
      <c r="J17" s="2243"/>
      <c r="K17" s="2402"/>
      <c r="L17" s="1669"/>
      <c r="M17" s="1669"/>
      <c r="N17" s="2243"/>
      <c r="O17" s="1669"/>
      <c r="P17" s="2243"/>
      <c r="Q17" s="2243"/>
      <c r="R17" s="2243"/>
      <c r="S17" s="2243"/>
      <c r="T17" s="2243"/>
      <c r="U17" s="2243"/>
      <c r="V17" s="2243"/>
    </row>
    <row r="18" spans="1:28" ht="24.6" thickBot="1">
      <c r="A18" s="2221" t="s">
        <v>2197</v>
      </c>
      <c r="B18" s="1027" t="s">
        <v>2198</v>
      </c>
      <c r="C18" s="2222">
        <f>'数据-汇总表'!D3</f>
        <v>0</v>
      </c>
      <c r="D18" s="1029" t="s">
        <v>2199</v>
      </c>
      <c r="E18" s="3234" t="s">
        <v>2200</v>
      </c>
      <c r="F18" s="3235"/>
      <c r="G18" s="3235"/>
      <c r="H18" s="3235"/>
      <c r="I18" s="3236"/>
      <c r="J18" s="2243"/>
      <c r="K18" s="2402"/>
      <c r="L18" s="1669"/>
      <c r="M18" s="1669"/>
      <c r="N18" s="2243"/>
      <c r="O18" s="1669"/>
      <c r="P18" s="2243"/>
      <c r="Q18" s="2243"/>
      <c r="R18" s="2243"/>
      <c r="S18" s="2243"/>
      <c r="T18" s="2243"/>
      <c r="U18" s="2243"/>
      <c r="V18" s="2243"/>
    </row>
    <row r="19" spans="1:28" ht="37.200000000000003" thickTop="1" thickBot="1">
      <c r="A19" s="319" t="s">
        <v>1055</v>
      </c>
      <c r="B19" s="299" t="s">
        <v>2201</v>
      </c>
      <c r="C19" s="1454"/>
      <c r="D19" s="1455" t="s">
        <v>2202</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2203</v>
      </c>
      <c r="B20" s="3221" t="s">
        <v>2204</v>
      </c>
      <c r="C20" s="3222"/>
      <c r="D20" s="3223" t="s">
        <v>2205</v>
      </c>
      <c r="E20" s="3224"/>
      <c r="F20" s="2428" t="s">
        <v>1056</v>
      </c>
      <c r="G20" s="2440"/>
      <c r="H20" s="2440"/>
      <c r="I20" s="2440"/>
      <c r="J20" s="2243"/>
      <c r="K20" s="3220"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5"/>
      <c r="B21" s="2416" t="s">
        <v>2207</v>
      </c>
      <c r="C21" s="2294" t="s">
        <v>1057</v>
      </c>
      <c r="D21" s="1459" t="s">
        <v>2208</v>
      </c>
      <c r="E21" s="2417" t="s">
        <v>1057</v>
      </c>
      <c r="F21" s="2429"/>
      <c r="G21" s="2440"/>
      <c r="H21" s="2440"/>
      <c r="I21" s="2440"/>
      <c r="J21" s="2243"/>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5"/>
      <c r="B22" s="2418" t="s">
        <v>2209</v>
      </c>
      <c r="C22" s="2294" t="s">
        <v>1058</v>
      </c>
      <c r="D22" s="2440"/>
      <c r="E22" s="2440"/>
      <c r="F22" s="2440"/>
      <c r="G22" s="2440"/>
      <c r="H22" s="2440"/>
      <c r="I22" s="2440"/>
      <c r="J22" s="2243"/>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2210</v>
      </c>
      <c r="B23" s="2291" t="s">
        <v>2211</v>
      </c>
      <c r="C23" s="2420"/>
      <c r="D23" s="2421" t="s">
        <v>2211</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8" thickTop="1">
      <c r="A27" s="3238" t="s">
        <v>2212</v>
      </c>
      <c r="B27" s="312" t="s">
        <v>2213</v>
      </c>
      <c r="C27" s="2223"/>
      <c r="D27" s="2224"/>
      <c r="E27" s="2440"/>
      <c r="F27" s="2440"/>
      <c r="G27" s="2440"/>
      <c r="H27" s="2440"/>
      <c r="I27" s="2440"/>
      <c r="J27" s="2243"/>
      <c r="K27" s="2401"/>
      <c r="L27" s="1669"/>
      <c r="M27" s="1669"/>
      <c r="N27" s="2243"/>
      <c r="O27" s="1669"/>
      <c r="P27" s="2243"/>
      <c r="Q27" s="2243"/>
      <c r="R27" s="2243"/>
      <c r="S27" s="2243"/>
      <c r="T27" s="2243"/>
      <c r="U27" s="2243"/>
      <c r="V27" s="2243"/>
    </row>
    <row r="28" spans="1:28">
      <c r="A28" s="3238"/>
      <c r="B28" s="294" t="s">
        <v>2214</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38"/>
      <c r="B29" s="294" t="s">
        <v>2215</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39"/>
      <c r="B30" s="294" t="s">
        <v>2216</v>
      </c>
      <c r="C30" s="3240"/>
      <c r="D30" s="3241"/>
      <c r="E30" s="2440"/>
      <c r="F30" s="2440"/>
      <c r="G30" s="2440"/>
      <c r="H30" s="2440"/>
      <c r="I30" s="2440"/>
      <c r="J30" s="2243"/>
      <c r="K30" s="2400"/>
      <c r="L30" s="2397"/>
      <c r="M30" s="2397"/>
      <c r="N30" s="2243"/>
      <c r="O30" s="1669"/>
      <c r="P30" s="2243"/>
      <c r="Q30" s="2243"/>
      <c r="R30" s="2243"/>
      <c r="S30" s="2243"/>
      <c r="T30" s="2243"/>
      <c r="U30" s="2243"/>
      <c r="V30" s="2243"/>
    </row>
    <row r="31" spans="1:28">
      <c r="A31" s="3242" t="s">
        <v>2217</v>
      </c>
      <c r="B31" s="2229"/>
      <c r="C31" s="12" t="str">
        <f>IF(B31="现房","成新及维护状况正常否",IF(B31="在建","工程状态是否正常",IF(B31="土地","是否闲置","-")))</f>
        <v>-</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43"/>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43"/>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2218</v>
      </c>
      <c r="B34" s="1869"/>
      <c r="C34" s="1869"/>
      <c r="D34" s="1869"/>
      <c r="E34" s="1869"/>
      <c r="F34" s="1869"/>
      <c r="G34" s="1869"/>
      <c r="H34" s="1869"/>
      <c r="I34" s="2440"/>
      <c r="J34" s="2243"/>
      <c r="K34" s="8">
        <f>COUNTIF(B34:H34,"——")</f>
        <v>0</v>
      </c>
      <c r="L34" s="315" t="s">
        <v>2219</v>
      </c>
      <c r="M34" s="315" t="s">
        <v>2220</v>
      </c>
      <c r="N34" s="315" t="s">
        <v>2221</v>
      </c>
      <c r="O34" s="315" t="s">
        <v>2222</v>
      </c>
      <c r="P34" s="315" t="s">
        <v>2223</v>
      </c>
      <c r="Q34" s="315" t="s">
        <v>2224</v>
      </c>
      <c r="R34" s="315" t="s">
        <v>2225</v>
      </c>
      <c r="S34" s="3237" t="s">
        <v>2226</v>
      </c>
      <c r="T34" s="315" t="str">
        <f>NUMBERSTRING(7-K34,1)&amp;"通"</f>
        <v>七通</v>
      </c>
      <c r="U34" s="2243"/>
      <c r="V34" s="2243"/>
    </row>
    <row r="35" spans="1:30">
      <c r="A35" s="2234"/>
      <c r="B35" s="3237" t="s">
        <v>2227</v>
      </c>
      <c r="C35" s="3237"/>
      <c r="D35" s="3237"/>
      <c r="E35" s="3237"/>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7"/>
      <c r="T35" s="138" t="str">
        <f>IF(T34="一通",L35,IF(T34="二通",M35,IF(T34="三通",N35,IF(T34="四通",O35,IF(T34="五通",P35,IF(T34="六通",Q35,R35))))))</f>
        <v>、、、、、、</v>
      </c>
      <c r="U35" s="2243"/>
      <c r="V35" s="2243"/>
    </row>
    <row r="36" spans="1:30">
      <c r="A36" s="2182"/>
      <c r="B36" s="8" t="s">
        <v>2183</v>
      </c>
      <c r="C36" s="8" t="s">
        <v>2184</v>
      </c>
      <c r="D36" s="8" t="s">
        <v>2182</v>
      </c>
      <c r="E36" s="8" t="s">
        <v>2187</v>
      </c>
      <c r="F36" s="2798" t="s">
        <v>2577</v>
      </c>
      <c r="G36" s="2440"/>
      <c r="H36" s="2440"/>
      <c r="I36" s="2440"/>
      <c r="J36" s="2243"/>
      <c r="K36" s="2400"/>
      <c r="L36" s="2397"/>
      <c r="M36" s="2397"/>
      <c r="N36" s="2243"/>
      <c r="O36" s="1669"/>
      <c r="P36" s="2243"/>
      <c r="Q36" s="2243"/>
      <c r="R36" s="2243"/>
      <c r="S36" s="2243"/>
      <c r="T36" s="2243"/>
      <c r="U36" s="2243"/>
      <c r="V36" s="2243"/>
    </row>
    <row r="37" spans="1:30">
      <c r="A37" s="2413" t="s">
        <v>2228</v>
      </c>
      <c r="B37" s="2235"/>
      <c r="C37" s="2235"/>
      <c r="D37" s="2235" t="s">
        <v>29</v>
      </c>
      <c r="E37" s="2235"/>
      <c r="F37" s="2235"/>
      <c r="G37" s="2440"/>
      <c r="H37" s="2440"/>
      <c r="I37" s="2440"/>
      <c r="J37" s="2243"/>
      <c r="K37" s="2400"/>
      <c r="L37" s="2397"/>
      <c r="M37" s="2397"/>
      <c r="N37" s="2243"/>
      <c r="O37" s="1669"/>
      <c r="P37" s="2243"/>
      <c r="Q37" s="2243"/>
      <c r="R37" s="2243"/>
      <c r="S37" s="2243"/>
      <c r="T37" s="2243"/>
      <c r="U37" s="2243"/>
      <c r="V37" s="2243"/>
    </row>
    <row r="38" spans="1:30" ht="13.8" thickBot="1">
      <c r="A38" s="2414" t="s">
        <v>2229</v>
      </c>
      <c r="B38" s="2236"/>
      <c r="C38" s="2236"/>
      <c r="D38" s="2236" t="s">
        <v>198</v>
      </c>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4" thickTop="1" thickBot="1">
      <c r="A39" s="2237" t="s">
        <v>2230</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2231</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2">
      <c r="A42" s="315" t="s">
        <v>2232</v>
      </c>
      <c r="B42" s="8" t="s">
        <v>2233</v>
      </c>
      <c r="C42" s="8" t="s">
        <v>2234</v>
      </c>
      <c r="D42" s="8" t="s">
        <v>2235</v>
      </c>
      <c r="E42" s="8" t="s">
        <v>2236</v>
      </c>
      <c r="F42" s="8" t="s">
        <v>2237</v>
      </c>
      <c r="G42" s="8" t="s">
        <v>2238</v>
      </c>
      <c r="H42" s="8" t="s">
        <v>2239</v>
      </c>
      <c r="I42" s="8" t="s">
        <v>2240</v>
      </c>
      <c r="J42" s="2409" t="s">
        <v>2241</v>
      </c>
      <c r="K42" s="2410" t="s">
        <v>2242</v>
      </c>
      <c r="L42" s="2410" t="s">
        <v>2243</v>
      </c>
      <c r="M42" s="2410" t="s">
        <v>2244</v>
      </c>
      <c r="N42" s="2403" t="s">
        <v>2245</v>
      </c>
      <c r="O42" s="2403" t="s">
        <v>2246</v>
      </c>
      <c r="P42" s="2403" t="s">
        <v>2247</v>
      </c>
      <c r="Q42" s="2404" t="s">
        <v>2248</v>
      </c>
      <c r="R42" s="2404" t="s">
        <v>2249</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1040.82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1040.82</v>
      </c>
      <c r="H5" s="13">
        <f t="shared" ref="H5:AT5" si="0">SUM(H13:H656)</f>
        <v>1040.82</v>
      </c>
      <c r="I5" s="13">
        <f t="shared" si="0"/>
        <v>1040.82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105.06</v>
      </c>
      <c r="BA5" s="15">
        <f t="shared" si="1"/>
        <v>105.06</v>
      </c>
      <c r="BB5" s="15">
        <f t="shared" si="1"/>
        <v>105.06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7"/>
      <c r="H9" s="1489" t="s">
        <v>1091</v>
      </c>
      <c r="I9" s="1490" t="s">
        <v>3450</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3.2">
      <c r="A10" s="1481"/>
      <c r="B10" s="1481"/>
      <c r="C10" s="1481"/>
      <c r="D10" s="1481"/>
      <c r="E10" s="1481"/>
      <c r="F10" s="1481"/>
      <c r="G10" s="1007"/>
      <c r="H10" s="25"/>
      <c r="I10" s="1490" t="s">
        <v>3424</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26.4">
      <c r="A13" s="628"/>
      <c r="B13" s="628"/>
      <c r="C13" s="628" t="str">
        <f>信息!G2</f>
        <v>2单元8层802</v>
      </c>
      <c r="D13" s="1512" t="s">
        <v>3449</v>
      </c>
      <c r="E13" s="13">
        <f>IF($C$3="是",ROUND($A$3*G13/$B$3,2),ROUND($A$3*(G13-AT13)/$B$3,2))</f>
        <v>0</v>
      </c>
      <c r="F13" s="29"/>
      <c r="G13" s="30">
        <f>H13+AC13+AT13</f>
        <v>105.06</v>
      </c>
      <c r="H13" s="17">
        <f>SUMIF(I$12:AB$12,"总值",I13:AB13)</f>
        <v>105.06</v>
      </c>
      <c r="I13" s="1513">
        <f>信息!L2</f>
        <v>105.06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t="str">
        <f t="shared" si="6"/>
        <v>2单元8层802</v>
      </c>
      <c r="AY13" s="1259">
        <f>ROUND($AY$6*AZ13/$AZ$5,2)</f>
        <v>0</v>
      </c>
      <c r="AZ13" s="13">
        <f>BA13+BL13</f>
        <v>105.06</v>
      </c>
      <c r="BA13" s="13">
        <f>SUM(BB13:BK13)</f>
        <v>105.06</v>
      </c>
      <c r="BB13" s="13">
        <f>IF($D13="是",I13-J13,0)</f>
        <v>105.06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26.4">
      <c r="A14" s="628"/>
      <c r="B14" s="628"/>
      <c r="C14" s="628" t="str">
        <f>信息!G3</f>
        <v>1单元11层1102</v>
      </c>
      <c r="D14" s="1512"/>
      <c r="E14" s="13">
        <f>IF($C$3="是",ROUND($A$3*G14/$B$3,2),ROUND($A$3*(G14-AT14)/$B$3,2))</f>
        <v>0</v>
      </c>
      <c r="F14" s="29"/>
      <c r="G14" s="30">
        <f>H14+AC14+AT14</f>
        <v>103.65</v>
      </c>
      <c r="H14" s="17">
        <f>SUMIF(I$12:AB$12,"总值",I14:AB14)</f>
        <v>103.65</v>
      </c>
      <c r="I14" s="1513">
        <f>信息!L3</f>
        <v>103.65</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t="str">
        <f t="shared" si="6"/>
        <v>1单元11层1102</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26.4">
      <c r="A15" s="628"/>
      <c r="B15" s="628"/>
      <c r="C15" s="628" t="str">
        <f>信息!G4</f>
        <v>2单元12层1201</v>
      </c>
      <c r="D15" s="1512"/>
      <c r="E15" s="13">
        <f>IF($C$3="是",ROUND($A$3*G15/$B$3,2),ROUND($A$3*(G15-AT15)/$B$3,2))</f>
        <v>0</v>
      </c>
      <c r="F15" s="29"/>
      <c r="G15" s="30">
        <f>H15+AC15+AT15</f>
        <v>103.65</v>
      </c>
      <c r="H15" s="17">
        <f>SUMIF(I$12:AB$12,"总值",I15:AB15)</f>
        <v>103.65</v>
      </c>
      <c r="I15" s="1513">
        <f>信息!L4</f>
        <v>103.65</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t="str">
        <f t="shared" si="6"/>
        <v>2单元12层1201</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26.4">
      <c r="A16" s="628"/>
      <c r="B16" s="628"/>
      <c r="C16" s="628" t="str">
        <f>信息!G5</f>
        <v>3单元11层1102</v>
      </c>
      <c r="D16" s="1512"/>
      <c r="E16" s="13">
        <f>IF($C$3="是",ROUND($A$3*G16/$B$3,2),ROUND($A$3*(G16-AT16)/$B$3,2))</f>
        <v>0</v>
      </c>
      <c r="F16" s="29"/>
      <c r="G16" s="30">
        <f>H16+AC16+AT16</f>
        <v>103.21</v>
      </c>
      <c r="H16" s="17">
        <f>SUMIF(I$12:AB$12,"总值",I16:AB16)</f>
        <v>103.21</v>
      </c>
      <c r="I16" s="1513">
        <f>信息!L5</f>
        <v>103.21</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t="str">
        <f t="shared" si="6"/>
        <v>3单元11层1102</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26.4">
      <c r="A17" s="628"/>
      <c r="B17" s="628"/>
      <c r="C17" s="628" t="str">
        <f>信息!G6</f>
        <v>4单元2层201</v>
      </c>
      <c r="D17" s="1512"/>
      <c r="E17" s="13">
        <f>IF($C$3="是",ROUND($A$3*G17/$B$3,2),ROUND($A$3*(G17-AT17)/$B$3,2))</f>
        <v>0</v>
      </c>
      <c r="F17" s="29"/>
      <c r="G17" s="30">
        <f>H17+AC17+AT17</f>
        <v>103.21</v>
      </c>
      <c r="H17" s="17">
        <f>SUMIF(I$12:AB$12,"总值",I17:AB17)</f>
        <v>103.21</v>
      </c>
      <c r="I17" s="1513">
        <f>信息!L6</f>
        <v>103.21</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t="str">
        <f t="shared" si="6"/>
        <v>4单元2层201</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7.6">
      <c r="A18" s="6"/>
      <c r="B18" s="31"/>
      <c r="C18" s="628" t="str">
        <f>信息!G7</f>
        <v>4单元11层1101</v>
      </c>
      <c r="D18" s="1515"/>
      <c r="E18" s="32">
        <f t="shared" ref="E18:E112" si="7">IF($C$3="是",ROUND($A$3*G18/$B$3,2),ROUND($A$3*(G18-AT18)/$B$3,2))</f>
        <v>0</v>
      </c>
      <c r="F18" s="33"/>
      <c r="G18" s="34">
        <f t="shared" ref="G18:G109" si="8">H18+AC18+AT18</f>
        <v>103.21</v>
      </c>
      <c r="H18" s="35">
        <f t="shared" ref="H18:H109" si="9">SUMIF(I$12:AB$12,"总值",I18:AB18)</f>
        <v>103.21</v>
      </c>
      <c r="I18" s="1513">
        <f>信息!L7</f>
        <v>103.21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t="str">
        <f t="shared" ref="AX18:AX112" si="13">C18</f>
        <v>4单元11层1101</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ht="27.6">
      <c r="A19" s="6"/>
      <c r="B19" s="31"/>
      <c r="C19" s="628" t="str">
        <f>信息!G8</f>
        <v>5单元3层301</v>
      </c>
      <c r="D19" s="1515"/>
      <c r="E19" s="32">
        <f t="shared" si="7"/>
        <v>0</v>
      </c>
      <c r="F19" s="33"/>
      <c r="G19" s="34">
        <f t="shared" si="8"/>
        <v>105.06</v>
      </c>
      <c r="H19" s="35">
        <f t="shared" si="9"/>
        <v>105.06</v>
      </c>
      <c r="I19" s="1513">
        <f>信息!L8</f>
        <v>105.06</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t="str">
        <f t="shared" si="13"/>
        <v>5单元3层301</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ht="27.6">
      <c r="A20" s="6"/>
      <c r="B20" s="31"/>
      <c r="C20" s="628" t="str">
        <f>信息!G9</f>
        <v>5单元11层1101</v>
      </c>
      <c r="D20" s="1515"/>
      <c r="E20" s="32">
        <f t="shared" si="7"/>
        <v>0</v>
      </c>
      <c r="F20" s="33"/>
      <c r="G20" s="34">
        <f t="shared" si="8"/>
        <v>105.06</v>
      </c>
      <c r="H20" s="35">
        <f t="shared" si="9"/>
        <v>105.06</v>
      </c>
      <c r="I20" s="1513">
        <f>信息!L9</f>
        <v>105.06</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t="str">
        <f t="shared" si="13"/>
        <v>5单元11层1101</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ht="27.6">
      <c r="A21" s="6"/>
      <c r="B21" s="31"/>
      <c r="C21" s="628" t="str">
        <f>信息!G10</f>
        <v>6单元2层201</v>
      </c>
      <c r="D21" s="1515"/>
      <c r="E21" s="32">
        <f t="shared" si="7"/>
        <v>0</v>
      </c>
      <c r="F21" s="33"/>
      <c r="G21" s="34">
        <f t="shared" si="8"/>
        <v>103.65</v>
      </c>
      <c r="H21" s="35">
        <f t="shared" si="9"/>
        <v>103.65</v>
      </c>
      <c r="I21" s="1513">
        <f>信息!L10</f>
        <v>103.65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t="str">
        <f t="shared" si="13"/>
        <v>6单元2层201</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ht="27.6">
      <c r="A22" s="6"/>
      <c r="B22" s="31"/>
      <c r="C22" s="628" t="str">
        <f>信息!G11</f>
        <v>3单元4层401</v>
      </c>
      <c r="D22" s="1515"/>
      <c r="E22" s="32">
        <f t="shared" si="7"/>
        <v>0</v>
      </c>
      <c r="F22" s="33"/>
      <c r="G22" s="34">
        <f t="shared" si="8"/>
        <v>105.06</v>
      </c>
      <c r="H22" s="35">
        <f t="shared" si="9"/>
        <v>105.06</v>
      </c>
      <c r="I22" s="1513">
        <f>信息!L11</f>
        <v>105.06</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t="str">
        <f t="shared" si="13"/>
        <v>3单元4层401</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1513"/>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9" sqref="J9"/>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1"/>
      <c r="C1" s="1071"/>
      <c r="D1" s="1071"/>
      <c r="E1" s="1071"/>
      <c r="F1" s="1071"/>
      <c r="G1" s="1071"/>
      <c r="H1" s="1071"/>
      <c r="I1" s="1071"/>
      <c r="J1" s="1071"/>
      <c r="K1" s="1071"/>
      <c r="L1" s="1071"/>
      <c r="M1" s="1071"/>
      <c r="N1" s="1071"/>
      <c r="O1" s="1071"/>
      <c r="P1" s="1071"/>
    </row>
    <row r="2" spans="1:16" ht="14.4">
      <c r="A2" s="3253" t="s">
        <v>1131</v>
      </c>
      <c r="B2" s="3253"/>
      <c r="C2" s="3253"/>
      <c r="D2" s="748" t="s">
        <v>1107</v>
      </c>
      <c r="E2" s="1522" t="s">
        <v>1108</v>
      </c>
      <c r="F2" s="2437"/>
      <c r="G2" s="2430"/>
      <c r="H2" s="2431"/>
      <c r="I2" s="2145" t="s">
        <v>1132</v>
      </c>
      <c r="J2" s="2437"/>
      <c r="K2" s="2437"/>
      <c r="L2" s="2437"/>
      <c r="M2" s="2437"/>
      <c r="N2" s="2438"/>
      <c r="O2" s="2437"/>
      <c r="P2" s="2437"/>
    </row>
    <row r="3" spans="1:16" ht="15" thickBot="1">
      <c r="A3" s="3254" t="s">
        <v>1105</v>
      </c>
      <c r="B3" s="3254"/>
      <c r="C3" s="3254"/>
      <c r="D3" s="41">
        <f>'数据-基础表'!AY6</f>
        <v>0</v>
      </c>
      <c r="E3" s="41">
        <f>'数据-基础表'!AZ5</f>
        <v>105.06</v>
      </c>
      <c r="F3" s="2437"/>
      <c r="G3" s="42"/>
      <c r="H3" s="43" t="s">
        <v>1106</v>
      </c>
      <c r="I3" s="802" t="e">
        <f>ROUND('数据-基础表'!B3/'数据-基础表'!A3,2)</f>
        <v>#DIV/0!</v>
      </c>
      <c r="J3" s="2437"/>
      <c r="K3" s="2437"/>
      <c r="L3" s="2437"/>
      <c r="M3" s="2437"/>
      <c r="N3" s="2438"/>
      <c r="O3" s="2437"/>
      <c r="P3" s="2437"/>
    </row>
    <row r="4" spans="1:16" ht="14.4">
      <c r="A4" s="3255"/>
      <c r="B4" s="3256"/>
      <c r="C4" s="3257"/>
      <c r="D4" s="1523" t="s">
        <v>1107</v>
      </c>
      <c r="E4" s="1524"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58" t="s">
        <v>1110</v>
      </c>
      <c r="C5" s="3258"/>
      <c r="D5" s="43">
        <f>ROUND($D$3*E5/$E$3,2)</f>
        <v>0</v>
      </c>
      <c r="E5" s="44">
        <f>SUMIF('数据-基础表'!$11:$11,"住宅",'数据-基础表'!$5:$5)</f>
        <v>105.06</v>
      </c>
      <c r="F5" s="2437"/>
      <c r="G5" s="42"/>
      <c r="H5" s="43" t="s">
        <v>1106</v>
      </c>
      <c r="I5" s="802" t="e">
        <f>ROUND(E31/D31,2)</f>
        <v>#DIV/0!</v>
      </c>
      <c r="J5" s="2437"/>
      <c r="K5" s="2437"/>
      <c r="L5" s="2437"/>
      <c r="M5" s="2437"/>
      <c r="N5" s="2437"/>
      <c r="O5" s="2437"/>
      <c r="P5" s="2437"/>
    </row>
    <row r="6" spans="1:16" ht="15" thickBot="1">
      <c r="A6" s="1526"/>
      <c r="B6" s="3258" t="s">
        <v>1111</v>
      </c>
      <c r="C6" s="3258"/>
      <c r="D6" s="43">
        <f>ROUND($D$3*E6/$E$3,2)</f>
        <v>0</v>
      </c>
      <c r="E6" s="44">
        <f>E3-E5</f>
        <v>0</v>
      </c>
      <c r="F6" s="2437"/>
      <c r="G6" s="1528" t="s">
        <v>1112</v>
      </c>
      <c r="H6" s="45" t="s">
        <v>1113</v>
      </c>
      <c r="I6" s="2433" t="e">
        <f>ROUND(F31/D31,2)</f>
        <v>#DIV/0!</v>
      </c>
      <c r="J6" s="2437"/>
      <c r="K6" s="2437"/>
      <c r="L6" s="2437"/>
      <c r="M6" s="2437"/>
      <c r="N6" s="2437"/>
      <c r="O6" s="2437"/>
      <c r="P6" s="2437"/>
    </row>
    <row r="7" spans="1:16" ht="15" thickBot="1">
      <c r="A7" s="3250"/>
      <c r="B7" s="3251"/>
      <c r="C7" s="3252"/>
      <c r="D7" s="1523" t="s">
        <v>1107</v>
      </c>
      <c r="E7" s="1527" t="s">
        <v>1114</v>
      </c>
      <c r="F7" s="2437"/>
      <c r="G7" s="2434" t="s">
        <v>1115</v>
      </c>
      <c r="H7" s="95"/>
      <c r="I7" s="2435">
        <v>2.48</v>
      </c>
      <c r="J7" s="3514" t="s">
        <v>3576</v>
      </c>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105.06</v>
      </c>
      <c r="F8" s="2437"/>
      <c r="G8" s="2437"/>
      <c r="H8" s="2437"/>
      <c r="I8" s="2437"/>
      <c r="J8" s="3514" t="s">
        <v>3577</v>
      </c>
      <c r="K8" s="2437"/>
      <c r="L8" s="2437"/>
      <c r="M8" s="2437"/>
      <c r="N8" s="2437"/>
      <c r="O8" s="2437"/>
      <c r="P8" s="2437"/>
    </row>
    <row r="9" spans="1:16" ht="14.4">
      <c r="A9" s="1528"/>
      <c r="B9" s="1529"/>
      <c r="C9" s="43" t="s">
        <v>1119</v>
      </c>
      <c r="D9" s="43">
        <f t="shared" si="0"/>
        <v>0</v>
      </c>
      <c r="E9" s="47">
        <v>0</v>
      </c>
      <c r="F9" s="2437"/>
      <c r="G9" s="2437"/>
      <c r="H9" s="2437"/>
      <c r="I9" s="2437"/>
      <c r="J9" s="2437"/>
      <c r="K9" s="2437"/>
      <c r="L9" s="2437"/>
      <c r="M9" s="2437"/>
      <c r="N9" s="2437"/>
      <c r="O9" s="2437"/>
      <c r="P9" s="2437"/>
    </row>
    <row r="10" spans="1:16" ht="14.4">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6"/>
      <c r="B16" s="1529"/>
      <c r="C16" s="45" t="s">
        <v>1123</v>
      </c>
      <c r="D16" s="45">
        <f>SUM(D8:D15)</f>
        <v>0</v>
      </c>
      <c r="E16" s="48">
        <f>SUM(E8:E15)</f>
        <v>105.06</v>
      </c>
      <c r="F16" s="2437"/>
      <c r="G16" s="2437"/>
      <c r="H16" s="1530" t="s">
        <v>1135</v>
      </c>
      <c r="I16" s="1531"/>
      <c r="J16" s="1071"/>
      <c r="K16" s="3247" t="s">
        <v>1135</v>
      </c>
      <c r="L16" s="3248"/>
      <c r="M16" s="3248"/>
      <c r="N16" s="3248"/>
      <c r="O16" s="3248"/>
      <c r="P16" s="3249"/>
    </row>
    <row r="17" spans="1:19" ht="14.4">
      <c r="A17" s="1532" t="s">
        <v>1136</v>
      </c>
      <c r="B17" s="1533" t="s">
        <v>1137</v>
      </c>
      <c r="C17" s="1534" t="s">
        <v>1138</v>
      </c>
      <c r="D17" s="1535" t="s">
        <v>1126</v>
      </c>
      <c r="E17" s="1536" t="s">
        <v>1127</v>
      </c>
      <c r="F17" s="1537"/>
      <c r="G17" s="1538"/>
      <c r="H17" s="1539" t="s">
        <v>1139</v>
      </c>
      <c r="I17" s="1540" t="s">
        <v>1124</v>
      </c>
      <c r="J17" s="1071"/>
      <c r="K17" s="3244" t="s">
        <v>1140</v>
      </c>
      <c r="L17" s="3245"/>
      <c r="M17" s="3246"/>
      <c r="N17" s="3244" t="s">
        <v>1141</v>
      </c>
      <c r="O17" s="3245"/>
      <c r="P17" s="3246"/>
      <c r="R17" s="769" t="s">
        <v>1142</v>
      </c>
      <c r="S17" s="54"/>
    </row>
    <row r="18" spans="1:19" ht="14.4">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ht="14.4">
      <c r="A19" s="1548"/>
      <c r="B19" s="45" t="s">
        <v>1125</v>
      </c>
      <c r="C19" s="3113" t="str">
        <f>'数据-基础表'!C13</f>
        <v>2单元8层802</v>
      </c>
      <c r="D19" s="43">
        <f>ROUND($D$3*E19/$E$3,2)</f>
        <v>0</v>
      </c>
      <c r="E19" s="51">
        <f t="shared" ref="E19:E26" si="1">SUM(F19:G19)</f>
        <v>105.06</v>
      </c>
      <c r="F19" s="2555">
        <f>'数据-基础表'!H13</f>
        <v>105.06</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105.06</v>
      </c>
    </row>
    <row r="20" spans="1:19" ht="14.4">
      <c r="A20" s="1548"/>
      <c r="B20" s="45" t="s">
        <v>1153</v>
      </c>
      <c r="C20" s="3113"/>
      <c r="D20" s="43">
        <f t="shared" ref="D20:D26" si="6">ROUND($D$3*E20/$E$3,2)</f>
        <v>0</v>
      </c>
      <c r="E20" s="51">
        <f t="shared" si="1"/>
        <v>0</v>
      </c>
      <c r="F20" s="2555"/>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3"/>
      <c r="D21" s="43">
        <f t="shared" si="6"/>
        <v>0</v>
      </c>
      <c r="E21" s="51">
        <f t="shared" si="1"/>
        <v>0</v>
      </c>
      <c r="F21" s="2555"/>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2">
        <f>SUM(D19:D26)</f>
        <v>0</v>
      </c>
      <c r="E27" s="1073">
        <f>IF(SUM(E19:E26)='数据-基础表'!BA5,SUM(E19:E26),IF(F27="地上面积有误","面积有误","地下面积有误"))</f>
        <v>105.06</v>
      </c>
      <c r="F27" s="1072">
        <f>IF(SUM(F19:F26)=E8,SUM(F19:F26),"地上面积有误")</f>
        <v>105.06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105.06</v>
      </c>
    </row>
    <row r="28" spans="1:19" ht="14.4">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8"/>
      <c r="B30" s="45"/>
      <c r="C30" s="1555"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6"/>
      <c r="B31" s="96"/>
      <c r="C31" s="785" t="s">
        <v>1158</v>
      </c>
      <c r="D31" s="643">
        <f>D27+D30</f>
        <v>0</v>
      </c>
      <c r="E31" s="643">
        <f>E27+E30</f>
        <v>105.06</v>
      </c>
      <c r="F31" s="644">
        <f>F27+F30</f>
        <v>105.06</v>
      </c>
      <c r="G31" s="645">
        <f>G27+G30</f>
        <v>0</v>
      </c>
      <c r="H31" s="2437"/>
      <c r="I31" s="2437"/>
      <c r="J31" s="2437"/>
      <c r="K31" s="2437"/>
      <c r="L31" s="2437"/>
      <c r="M31" s="2437"/>
      <c r="N31" s="2437"/>
      <c r="O31" s="2437"/>
      <c r="P31" s="2437"/>
    </row>
    <row r="32" spans="1:19" ht="14.4">
      <c r="A32" s="1525"/>
      <c r="B32" s="1525" t="s">
        <v>1159</v>
      </c>
      <c r="C32" s="1525"/>
      <c r="D32" s="1525"/>
      <c r="E32" s="990">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6" sqref="G6"/>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 thickBot="1">
      <c r="A2" s="1561" t="s">
        <v>1161</v>
      </c>
      <c r="B2" s="984">
        <f>项目基本情况!D3</f>
        <v>45727</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3463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2单元8层802</v>
      </c>
      <c r="B6" s="1586" t="str">
        <f>IF(A6=0,"","经营性")</f>
        <v>经营性</v>
      </c>
      <c r="C6" s="1587" t="s">
        <v>3424</v>
      </c>
      <c r="D6" s="805">
        <f>SUMIF(项目基本情况!C$12:I$12,C6,项目基本情况!C$14:I$14)</f>
        <v>70</v>
      </c>
      <c r="E6" s="804">
        <f>IF(B6="","",SUMIF(项目基本情况!C$12:I$12,C6,项目基本情况!C$13:I$13))</f>
        <v>62519</v>
      </c>
      <c r="F6" s="61">
        <f>SUMIF(项目基本情况!C$12:I$12,C6,项目基本情况!C$15:I$15)</f>
        <v>46</v>
      </c>
      <c r="G6" s="62">
        <f>IF(ISERROR(ROUND(POWER(1+H6,D6-F6)*(POWER(1+H6,F6)-1)/(POWER(1+H6,D6)-1),3)),0,ROUND(POWER(1+H6,D6-F6)*(POWER(1+H6,F6)-1)/(POWER(1+H6,D6)-1),3))</f>
        <v>0.92400000000000004</v>
      </c>
      <c r="H6" s="691">
        <v>0.05</v>
      </c>
      <c r="I6" s="691">
        <v>5.5E-2</v>
      </c>
      <c r="J6" s="63">
        <v>7.0000000000000007E-2</v>
      </c>
      <c r="K6" s="970">
        <f>SUMIF('数据-汇总表'!C$19:C$33,A6,'数据-汇总表'!E$19:E$33)</f>
        <v>105.06</v>
      </c>
      <c r="L6" s="692">
        <v>2500</v>
      </c>
      <c r="M6" s="64">
        <f t="shared" ref="M6:M14" si="0">ROUND(K6*L6/10000,0)</f>
        <v>26</v>
      </c>
      <c r="N6" s="690">
        <f>M21</f>
        <v>0.72</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4">
        <v>5000</v>
      </c>
      <c r="V6" s="67">
        <v>0.02</v>
      </c>
      <c r="W6" s="67">
        <v>0.1</v>
      </c>
      <c r="X6" s="979"/>
      <c r="Y6" s="68">
        <f>N6</f>
        <v>0.72</v>
      </c>
      <c r="Z6" s="69"/>
      <c r="AA6" s="63"/>
      <c r="AB6" s="63"/>
      <c r="AC6" s="979"/>
      <c r="AD6" s="70"/>
      <c r="AE6" s="980">
        <f ca="1">IF(AN6="",0,SUMIF(INDIRECT("'"&amp;AN6&amp;"'"&amp;"!E:E"),$AE$5,INDIRECT("'"&amp;AN6&amp;"'"&amp;"!F:F")))</f>
        <v>38</v>
      </c>
      <c r="AF6" s="74"/>
      <c r="AG6" s="130">
        <f>IF(AF6="",0,AE6-AF6)</f>
        <v>0</v>
      </c>
      <c r="AH6" s="71">
        <v>1</v>
      </c>
      <c r="AI6" s="73">
        <v>12</v>
      </c>
      <c r="AJ6" s="74"/>
      <c r="AK6" s="75">
        <v>0.01</v>
      </c>
      <c r="AL6" s="76">
        <v>1E-3</v>
      </c>
      <c r="AM6" s="77">
        <v>0.01</v>
      </c>
      <c r="AN6" s="1588" t="s">
        <v>3489</v>
      </c>
      <c r="AO6" s="50" t="e">
        <f ca="1">SUMIF(INDIRECT("'"&amp;AN6&amp;"'"&amp;"!A:A"),"总价",INDIRECT("'"&amp;AN6&amp;"'"&amp;"!B:B"))</f>
        <v>#DIV/0!</v>
      </c>
      <c r="AP6" s="1589">
        <f>IF(C6="住宅",K6*L6,0)</f>
        <v>262650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0.92400000000000004</v>
      </c>
      <c r="H16" s="84">
        <f>ROUND(SUMPRODUCT(H6:H13,K6:K13)/SUMPRODUCT((H6:H13&gt;0)*(K6:K13)),3)</f>
        <v>0.05</v>
      </c>
      <c r="I16" s="85"/>
      <c r="J16" s="85"/>
      <c r="K16" s="86">
        <f>SUM(K6:K15)</f>
        <v>105.06</v>
      </c>
      <c r="L16" s="87">
        <f>ROUND(M16*10000/SUM(K6:K14),0)</f>
        <v>2475</v>
      </c>
      <c r="M16" s="87">
        <f>SUM(M6:M14)</f>
        <v>26</v>
      </c>
      <c r="N16" s="88">
        <f>ROUND(SUMPRODUCT(M6:M14,N6:N14)/M16,3)</f>
        <v>0.72</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3165" t="s">
        <v>3464</v>
      </c>
      <c r="M18" s="2446">
        <f>信息!K2</f>
        <v>2003</v>
      </c>
      <c r="N18" s="3171" t="s">
        <v>3503</v>
      </c>
      <c r="O18" s="3172">
        <f>M18-B20+70</f>
        <v>2071</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5" t="s">
        <v>1211</v>
      </c>
      <c r="B19" s="97">
        <v>0</v>
      </c>
      <c r="C19" s="2558" t="s">
        <v>2300</v>
      </c>
      <c r="D19" s="2449"/>
      <c r="E19" s="2437"/>
      <c r="F19" s="2437"/>
      <c r="G19" s="2437"/>
      <c r="H19" s="2437"/>
      <c r="I19" s="2437"/>
      <c r="J19" s="2437"/>
      <c r="K19" s="2447"/>
      <c r="L19" s="3165" t="s">
        <v>3465</v>
      </c>
      <c r="M19" s="2446">
        <f>ROUND(1-(1-0)*(2025-M18)/60,2)</f>
        <v>0.63</v>
      </c>
      <c r="N19" s="2446"/>
      <c r="O19" s="3171" t="s">
        <v>3504</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6" t="s">
        <v>1212</v>
      </c>
      <c r="B20" s="98">
        <v>2</v>
      </c>
      <c r="C20" s="2559" t="s">
        <v>2298</v>
      </c>
      <c r="D20" s="2449"/>
      <c r="E20" s="2437"/>
      <c r="F20" s="2437"/>
      <c r="G20" s="2437"/>
      <c r="H20" s="2437"/>
      <c r="I20" s="2437"/>
      <c r="J20" s="2437"/>
      <c r="K20" s="2447"/>
      <c r="L20" s="3165" t="s">
        <v>3466</v>
      </c>
      <c r="M20" s="2446">
        <v>0.8</v>
      </c>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7" t="s">
        <v>1213</v>
      </c>
      <c r="B21" s="98">
        <f>B20</f>
        <v>2</v>
      </c>
      <c r="C21" s="2437"/>
      <c r="D21" s="2449"/>
      <c r="E21" s="2437"/>
      <c r="F21" s="2437"/>
      <c r="G21" s="2437"/>
      <c r="H21" s="2437"/>
      <c r="I21" s="2437"/>
      <c r="J21" s="2437"/>
      <c r="K21" s="2447"/>
      <c r="L21" s="3165" t="s">
        <v>3467</v>
      </c>
      <c r="M21" s="2446">
        <f>ROUND((M19+M20)/2,2)</f>
        <v>0.72</v>
      </c>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6"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7" t="s">
        <v>1215</v>
      </c>
      <c r="B23" s="99">
        <f>B19+B21</f>
        <v>2</v>
      </c>
      <c r="C23" s="2437"/>
      <c r="D23" s="2449"/>
      <c r="E23" s="2437"/>
      <c r="F23" s="2437"/>
      <c r="G23" s="2437"/>
      <c r="H23" s="2437"/>
      <c r="I23" s="2437"/>
      <c r="J23" s="2437"/>
      <c r="K23" s="3259" t="s">
        <v>3458</v>
      </c>
      <c r="L23" s="3260"/>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28.8" thickBot="1">
      <c r="A24" s="1598" t="s">
        <v>1216</v>
      </c>
      <c r="B24" s="100">
        <f>B20-B21</f>
        <v>0</v>
      </c>
      <c r="C24" s="2437"/>
      <c r="D24" s="2449"/>
      <c r="E24" s="2437"/>
      <c r="F24" s="2437"/>
      <c r="G24" s="2437"/>
      <c r="H24" s="2437"/>
      <c r="I24" s="2437"/>
      <c r="J24" s="2437"/>
      <c r="K24" s="3156" t="s">
        <v>3459</v>
      </c>
      <c r="L24" s="3156" t="s">
        <v>3460</v>
      </c>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7"/>
      <c r="D25" s="2449"/>
      <c r="E25" s="2437"/>
      <c r="F25" s="2437"/>
      <c r="G25" s="2437"/>
      <c r="H25" s="2437"/>
      <c r="I25" s="2437"/>
      <c r="J25" s="2437"/>
      <c r="K25" s="3157" t="s">
        <v>3461</v>
      </c>
      <c r="L25" s="3157" t="s">
        <v>3462</v>
      </c>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7"/>
      <c r="F26" s="2437"/>
      <c r="G26" s="2437"/>
      <c r="H26" s="2437"/>
      <c r="I26" s="2437"/>
      <c r="J26" s="2437"/>
      <c r="K26" s="3156">
        <v>20</v>
      </c>
      <c r="L26" s="3156">
        <v>11</v>
      </c>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0" t="s">
        <v>1220</v>
      </c>
      <c r="B27" s="101">
        <v>160</v>
      </c>
      <c r="C27" s="2560" t="s">
        <v>2302</v>
      </c>
      <c r="D27" s="2452"/>
      <c r="E27" s="2438"/>
      <c r="F27" s="2438"/>
      <c r="G27" s="2437"/>
      <c r="H27" s="2437"/>
      <c r="I27" s="2437"/>
      <c r="J27" s="2437"/>
      <c r="K27" s="3156">
        <v>3</v>
      </c>
      <c r="L27" s="3156">
        <v>3</v>
      </c>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1" t="s">
        <v>1221</v>
      </c>
      <c r="B28" s="103">
        <v>200</v>
      </c>
      <c r="C28" s="2453"/>
      <c r="D28" s="2452"/>
      <c r="E28" s="2438"/>
      <c r="F28" s="2438"/>
      <c r="G28" s="2437"/>
      <c r="H28" s="2437"/>
      <c r="I28" s="2437"/>
      <c r="J28" s="2437"/>
      <c r="K28" s="3156">
        <v>9568.6200000000008</v>
      </c>
      <c r="L28" s="3156">
        <v>9448.7099999999991</v>
      </c>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2" t="s">
        <v>1222</v>
      </c>
      <c r="B29" s="105"/>
      <c r="C29" s="2561" t="s">
        <v>2292</v>
      </c>
      <c r="D29" s="2452"/>
      <c r="E29" s="2438"/>
      <c r="F29" s="2438"/>
      <c r="G29" s="2437"/>
      <c r="H29" s="2437"/>
      <c r="I29" s="2437"/>
      <c r="J29" s="2437"/>
      <c r="K29" s="3158">
        <v>8363.93</v>
      </c>
      <c r="L29" s="3158">
        <v>7417.6</v>
      </c>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3" t="s">
        <v>1223</v>
      </c>
      <c r="B30" s="638">
        <v>200</v>
      </c>
      <c r="C30" s="2453"/>
      <c r="D30" s="2452"/>
      <c r="E30" s="2438"/>
      <c r="F30" s="2438"/>
      <c r="G30" s="2437"/>
      <c r="H30" s="2437"/>
      <c r="I30" s="2437"/>
      <c r="J30" s="2437"/>
      <c r="K30" s="3158">
        <v>1204.69</v>
      </c>
      <c r="L30" s="3158">
        <v>2031.11</v>
      </c>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1" t="s">
        <v>1224</v>
      </c>
      <c r="B31" s="104">
        <f>B30-B32</f>
        <v>200</v>
      </c>
      <c r="C31" s="2451"/>
      <c r="D31" s="2452"/>
      <c r="E31" s="2438"/>
      <c r="F31" s="2438"/>
      <c r="G31" s="2437"/>
      <c r="H31" s="2437"/>
      <c r="I31" s="2437"/>
      <c r="J31" s="2437"/>
      <c r="K31" s="3159">
        <f t="shared" ref="K31:L31" si="12">K32+K36+K35</f>
        <v>2362</v>
      </c>
      <c r="L31" s="3159">
        <f t="shared" si="12"/>
        <v>2579</v>
      </c>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4" t="s">
        <v>1225</v>
      </c>
      <c r="B32" s="639"/>
      <c r="C32" s="2453"/>
      <c r="D32" s="2449"/>
      <c r="E32" s="2437"/>
      <c r="F32" s="2437"/>
      <c r="G32" s="2437"/>
      <c r="H32" s="2437"/>
      <c r="I32" s="2437"/>
      <c r="J32" s="2437"/>
      <c r="K32" s="3160">
        <v>1492</v>
      </c>
      <c r="L32" s="3160">
        <v>1651</v>
      </c>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0" t="s">
        <v>1226</v>
      </c>
      <c r="B33" s="640">
        <v>0.05</v>
      </c>
      <c r="C33" s="2562" t="s">
        <v>3384</v>
      </c>
      <c r="D33" s="2449"/>
      <c r="E33" s="2437"/>
      <c r="F33" s="2437"/>
      <c r="G33" s="2437"/>
      <c r="H33" s="2437"/>
      <c r="I33" s="2437"/>
      <c r="J33" s="2437"/>
      <c r="K33" s="3158">
        <v>1159</v>
      </c>
      <c r="L33" s="3158">
        <v>1043</v>
      </c>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1" t="s">
        <v>1227</v>
      </c>
      <c r="B34" s="106">
        <v>0.02</v>
      </c>
      <c r="C34" s="2562" t="s">
        <v>2293</v>
      </c>
      <c r="D34" s="2457" t="s">
        <v>2299</v>
      </c>
      <c r="E34" s="2455"/>
      <c r="F34" s="2437"/>
      <c r="G34" s="2437"/>
      <c r="H34" s="2437"/>
      <c r="I34" s="2437"/>
      <c r="J34" s="2437"/>
      <c r="K34" s="3158">
        <v>3805</v>
      </c>
      <c r="L34" s="3158">
        <v>3873</v>
      </c>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1" t="s">
        <v>1228</v>
      </c>
      <c r="B35" s="103">
        <v>200</v>
      </c>
      <c r="C35" s="2562" t="s">
        <v>2294</v>
      </c>
      <c r="D35" s="2452"/>
      <c r="E35" s="2438"/>
      <c r="F35" s="2438"/>
      <c r="G35" s="2437"/>
      <c r="H35" s="2437"/>
      <c r="I35" s="2437"/>
      <c r="J35" s="2437"/>
      <c r="K35" s="3161">
        <v>250</v>
      </c>
      <c r="L35" s="3161">
        <v>314</v>
      </c>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0.02</v>
      </c>
      <c r="C36" s="2562" t="s">
        <v>3402</v>
      </c>
      <c r="D36" s="2449"/>
      <c r="E36" s="2437"/>
      <c r="F36" s="2437"/>
      <c r="G36" s="2437"/>
      <c r="H36" s="2437"/>
      <c r="I36" s="2437"/>
      <c r="J36" s="2437"/>
      <c r="K36" s="3162">
        <v>620</v>
      </c>
      <c r="L36" s="3162">
        <v>614</v>
      </c>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3" t="s">
        <v>1230</v>
      </c>
      <c r="B37" s="108">
        <v>0.02</v>
      </c>
      <c r="C37" s="2562" t="s">
        <v>3385</v>
      </c>
      <c r="D37" s="2449"/>
      <c r="E37" s="2437"/>
      <c r="F37" s="2437"/>
      <c r="G37" s="2437"/>
      <c r="H37" s="2437"/>
      <c r="I37" s="2437"/>
      <c r="J37" s="2437"/>
      <c r="K37" s="3163"/>
      <c r="L37" s="3163"/>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1" t="s">
        <v>1231</v>
      </c>
      <c r="B38" s="106">
        <v>0.02</v>
      </c>
      <c r="C38" s="2562" t="s">
        <v>3386</v>
      </c>
      <c r="D38" s="2449"/>
      <c r="E38" s="2437"/>
      <c r="F38" s="2437"/>
      <c r="G38" s="2437"/>
      <c r="H38" s="2437"/>
      <c r="I38" s="2437"/>
      <c r="J38" s="2437"/>
      <c r="K38" s="3163"/>
      <c r="L38" s="3163"/>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4" t="s">
        <v>1232</v>
      </c>
      <c r="B39" s="309">
        <f ca="1">存贷款利率!I1</f>
        <v>1.4999999999999999E-2</v>
      </c>
      <c r="C39" s="2454"/>
      <c r="D39" s="2449"/>
      <c r="E39" s="2437"/>
      <c r="F39" s="2437"/>
      <c r="G39" s="3155" t="s">
        <v>3457</v>
      </c>
      <c r="H39" s="2437"/>
      <c r="I39" s="2437"/>
      <c r="J39" s="2437"/>
      <c r="K39" s="3163"/>
      <c r="L39" s="3163"/>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2308</v>
      </c>
      <c r="B40" s="1015">
        <f ca="1">IF(A40="利息：取LPR",存贷款利率!G1,存贷款利率!G1+C40)</f>
        <v>3.1E-2</v>
      </c>
      <c r="C40" s="2570">
        <v>5.0000000000000001E-3</v>
      </c>
      <c r="D40" s="2446"/>
      <c r="E40" s="2449"/>
      <c r="F40" s="2437"/>
      <c r="G40" s="2437"/>
      <c r="H40" s="2437"/>
      <c r="I40" s="2437"/>
      <c r="J40" s="2437"/>
      <c r="K40" s="3163"/>
      <c r="L40" s="3163"/>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0" t="s">
        <v>1233</v>
      </c>
      <c r="B41" s="109">
        <f>B42+B43</f>
        <v>5.6000000000000001E-2</v>
      </c>
      <c r="C41" s="2451"/>
      <c r="D41" s="2446"/>
      <c r="E41" s="2449"/>
      <c r="F41" s="2437"/>
      <c r="G41" s="2437"/>
      <c r="H41" s="2437"/>
      <c r="I41" s="2437"/>
      <c r="J41" s="2437"/>
      <c r="K41" s="3164">
        <f t="shared" ref="K41:L41" si="13">K32/K31</f>
        <v>0.63166807790008472</v>
      </c>
      <c r="L41" s="3164">
        <f t="shared" si="13"/>
        <v>0.64017060876308651</v>
      </c>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5" t="s">
        <v>1234</v>
      </c>
      <c r="B42" s="110">
        <v>0.05</v>
      </c>
      <c r="C42" s="2456">
        <f>IF(B2&lt;DATE(2016,5,1),0,B42)</f>
        <v>0.05</v>
      </c>
      <c r="D42" s="2449"/>
      <c r="E42" s="2437"/>
      <c r="F42" s="2437"/>
      <c r="G42" s="2437"/>
      <c r="H42" s="2437"/>
      <c r="I42" s="2437"/>
      <c r="J42" s="2437"/>
      <c r="K42" s="3164">
        <f t="shared" ref="K42:L42" si="14">K35/K31</f>
        <v>0.10584250635055038</v>
      </c>
      <c r="L42" s="3164">
        <f t="shared" si="14"/>
        <v>0.12175261729352463</v>
      </c>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5" t="s">
        <v>1235</v>
      </c>
      <c r="B43" s="111">
        <f>B42*(B44+B45+B46)+B47</f>
        <v>6.000000000000001E-3</v>
      </c>
      <c r="C43" s="2451"/>
      <c r="D43" s="2449"/>
      <c r="E43" s="2437"/>
      <c r="F43" s="2437"/>
      <c r="G43" s="2437"/>
      <c r="H43" s="2437"/>
      <c r="I43" s="2437"/>
      <c r="J43" s="2437"/>
      <c r="K43" s="3164">
        <f t="shared" ref="K43:L43" si="15">K36/K31</f>
        <v>0.26248941574936496</v>
      </c>
      <c r="L43" s="3164">
        <f t="shared" si="15"/>
        <v>0.23807677394338891</v>
      </c>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6" t="s">
        <v>1236</v>
      </c>
      <c r="B44" s="112">
        <v>7.0000000000000007E-2</v>
      </c>
      <c r="C44" s="2562" t="s">
        <v>3387</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6" t="s">
        <v>1237</v>
      </c>
      <c r="B45" s="110">
        <v>0.03</v>
      </c>
      <c r="C45" s="2561" t="s">
        <v>2295</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6" t="s">
        <v>1238</v>
      </c>
      <c r="B46" s="110">
        <v>0.02</v>
      </c>
      <c r="C46" s="2561" t="s">
        <v>2296</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2303</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8" t="s">
        <v>1240</v>
      </c>
      <c r="B48" s="114">
        <v>0.03</v>
      </c>
      <c r="C48" s="2561" t="s">
        <v>2295</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2297</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9"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9"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1" t="s">
        <v>1245</v>
      </c>
      <c r="B53" s="1610" t="s">
        <v>303</v>
      </c>
      <c r="C53" s="2438" t="s">
        <v>1246</v>
      </c>
      <c r="D53" s="2563" t="s">
        <v>2301</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1"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1"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1"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1" t="s">
        <v>1251</v>
      </c>
      <c r="B58" s="72">
        <f>C58</f>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1"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mergeCells count="1">
    <mergeCell ref="K23:L23"/>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1"/>
  </cols>
  <sheetData>
    <row r="1" spans="1:29" s="2257" customFormat="1" ht="18" thickBot="1">
      <c r="A1" s="3261" t="s">
        <v>2284</v>
      </c>
      <c r="B1" s="3262"/>
      <c r="C1" s="3262"/>
      <c r="D1" s="3262"/>
      <c r="E1" s="3262"/>
      <c r="F1" s="3262"/>
      <c r="G1" s="3262"/>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2279</v>
      </c>
      <c r="D2" s="1594"/>
      <c r="E2" s="2258"/>
      <c r="F2" s="2261"/>
      <c r="G2" s="2260" t="s">
        <v>2280</v>
      </c>
      <c r="H2" s="751"/>
      <c r="I2" s="751"/>
      <c r="J2" s="751"/>
      <c r="K2" s="751"/>
      <c r="L2" s="751"/>
      <c r="M2" s="751"/>
      <c r="N2" s="751"/>
      <c r="O2" s="751"/>
      <c r="P2" s="751"/>
      <c r="Q2" s="751"/>
    </row>
    <row r="3" spans="1:29" ht="48">
      <c r="A3" s="2245" t="s">
        <v>2281</v>
      </c>
      <c r="B3" s="2262" t="s">
        <v>2250</v>
      </c>
      <c r="C3" s="2263" t="s">
        <v>2282</v>
      </c>
      <c r="D3" s="2264"/>
      <c r="E3" s="2246" t="s">
        <v>2281</v>
      </c>
      <c r="F3" s="2265" t="s">
        <v>2251</v>
      </c>
      <c r="G3" s="2266" t="s">
        <v>2283</v>
      </c>
      <c r="H3" s="751"/>
      <c r="I3" s="751"/>
      <c r="J3" s="751"/>
      <c r="K3" s="751"/>
      <c r="L3" s="751"/>
      <c r="M3" s="751"/>
      <c r="N3" s="751"/>
      <c r="O3" s="751"/>
      <c r="P3" s="751"/>
      <c r="Q3" s="751"/>
    </row>
    <row r="4" spans="1:29" ht="37.200000000000003">
      <c r="A4" s="2246"/>
      <c r="B4" s="315" t="s">
        <v>2252</v>
      </c>
      <c r="C4" s="2267" t="s">
        <v>2253</v>
      </c>
      <c r="D4" s="2264"/>
      <c r="E4" s="2268"/>
      <c r="F4" s="1280" t="s">
        <v>2254</v>
      </c>
      <c r="G4" s="2269" t="s">
        <v>2255</v>
      </c>
      <c r="H4" s="751"/>
      <c r="I4" s="751"/>
      <c r="J4" s="751"/>
      <c r="K4" s="751"/>
      <c r="L4" s="751"/>
      <c r="M4" s="751"/>
      <c r="N4" s="751"/>
      <c r="O4" s="751"/>
      <c r="P4" s="751"/>
      <c r="Q4" s="751"/>
    </row>
    <row r="5" spans="1:29" ht="37.200000000000003">
      <c r="A5" s="2246"/>
      <c r="B5" s="315" t="s">
        <v>2256</v>
      </c>
      <c r="C5" s="2267" t="s">
        <v>2257</v>
      </c>
      <c r="D5" s="2264"/>
      <c r="E5" s="2268"/>
      <c r="F5" s="315" t="s">
        <v>2258</v>
      </c>
      <c r="G5" s="2269" t="s">
        <v>2259</v>
      </c>
      <c r="H5" s="751"/>
      <c r="I5" s="751"/>
      <c r="J5" s="751"/>
      <c r="K5" s="751"/>
      <c r="L5" s="751"/>
      <c r="M5" s="751"/>
      <c r="N5" s="751"/>
      <c r="O5" s="751"/>
      <c r="P5" s="751"/>
      <c r="Q5" s="751"/>
    </row>
    <row r="6" spans="1:29" ht="48">
      <c r="A6" s="2246"/>
      <c r="B6" s="315" t="s">
        <v>2260</v>
      </c>
      <c r="C6" s="2269" t="s">
        <v>2255</v>
      </c>
      <c r="D6" s="2264"/>
      <c r="E6" s="2268"/>
      <c r="F6" s="315" t="s">
        <v>2261</v>
      </c>
      <c r="G6" s="2269" t="s">
        <v>2262</v>
      </c>
      <c r="H6" s="751"/>
      <c r="I6" s="751"/>
      <c r="J6" s="751"/>
      <c r="K6" s="751"/>
      <c r="L6" s="751"/>
      <c r="M6" s="751"/>
      <c r="N6" s="751"/>
      <c r="O6" s="751"/>
      <c r="P6" s="751"/>
      <c r="Q6" s="751"/>
    </row>
    <row r="7" spans="1:29" ht="36.6" thickBot="1">
      <c r="A7" s="2246"/>
      <c r="B7" s="315" t="s">
        <v>2258</v>
      </c>
      <c r="C7" s="2269" t="s">
        <v>2259</v>
      </c>
      <c r="D7" s="2243"/>
      <c r="E7" s="2270"/>
      <c r="F7" s="2271" t="s">
        <v>2263</v>
      </c>
      <c r="G7" s="2272" t="s">
        <v>2264</v>
      </c>
      <c r="H7" s="751"/>
      <c r="I7" s="751"/>
      <c r="J7" s="751"/>
      <c r="K7" s="751"/>
      <c r="L7" s="751"/>
      <c r="M7" s="751"/>
      <c r="N7" s="751"/>
      <c r="O7" s="751"/>
      <c r="P7" s="751"/>
      <c r="Q7" s="751"/>
    </row>
    <row r="8" spans="1:29" ht="24">
      <c r="A8" s="2246"/>
      <c r="B8" s="315" t="s">
        <v>2261</v>
      </c>
      <c r="C8" s="2269" t="s">
        <v>2262</v>
      </c>
      <c r="D8" s="2243"/>
      <c r="E8" s="2243"/>
      <c r="F8" s="121"/>
      <c r="G8" s="121"/>
      <c r="H8" s="751"/>
      <c r="I8" s="751"/>
      <c r="J8" s="751"/>
      <c r="K8" s="751"/>
      <c r="L8" s="751"/>
      <c r="M8" s="751"/>
      <c r="N8" s="751"/>
      <c r="O8" s="751"/>
      <c r="P8" s="751"/>
      <c r="Q8" s="751"/>
    </row>
    <row r="9" spans="1:29" ht="24">
      <c r="A9" s="2246"/>
      <c r="B9" s="315" t="s">
        <v>2265</v>
      </c>
      <c r="C9" s="2267" t="s">
        <v>2266</v>
      </c>
      <c r="D9" s="2264"/>
      <c r="E9" s="2243"/>
      <c r="F9" s="121"/>
      <c r="G9" s="121"/>
      <c r="H9" s="751"/>
      <c r="I9" s="751"/>
      <c r="J9" s="751"/>
      <c r="K9" s="751"/>
      <c r="L9" s="751"/>
      <c r="M9" s="751"/>
      <c r="N9" s="751"/>
      <c r="O9" s="751"/>
      <c r="P9" s="751"/>
      <c r="Q9" s="751"/>
    </row>
    <row r="10" spans="1:29" ht="14.4" thickBot="1">
      <c r="A10" s="2247"/>
      <c r="B10" s="2273" t="s">
        <v>2267</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2285</v>
      </c>
      <c r="B13" s="2278"/>
      <c r="C13" s="2278"/>
      <c r="D13" s="2277"/>
      <c r="E13" s="2278"/>
      <c r="F13" s="2278"/>
      <c r="G13" s="2278"/>
    </row>
    <row r="14" spans="1:29" ht="14.4" thickBot="1">
      <c r="A14" s="2283"/>
      <c r="B14" s="2283"/>
      <c r="C14" s="2284" t="s">
        <v>2268</v>
      </c>
      <c r="D14" s="2264"/>
      <c r="E14" s="2285"/>
      <c r="F14" s="2285"/>
      <c r="G14" s="2260" t="s">
        <v>2269</v>
      </c>
    </row>
    <row r="15" spans="1:29" ht="52.8">
      <c r="A15" s="2248" t="s">
        <v>2270</v>
      </c>
      <c r="B15" s="2286" t="s">
        <v>2250</v>
      </c>
      <c r="C15" s="2287" t="str">
        <f>C3</f>
        <v>估价对象周边居住用地比例、居住小区规模和社区发展完善程度，综合评价居住社区成熟度一般</v>
      </c>
      <c r="D15" s="2264"/>
      <c r="E15" s="2249" t="s">
        <v>2271</v>
      </c>
      <c r="F15" s="2286" t="s">
        <v>2272</v>
      </c>
      <c r="G15" s="2288" t="str">
        <f>G3</f>
        <v>估价对象位于XX开发区，园区建设成熟度XX，产业集聚程度XX</v>
      </c>
    </row>
    <row r="16" spans="1:29" ht="39.6">
      <c r="A16" s="2250"/>
      <c r="B16" s="2289" t="s">
        <v>2252</v>
      </c>
      <c r="C16" s="2290" t="str">
        <f>C4</f>
        <v>估价对象位于XX商圈，周边商业氛围成熟，人流量大，商业繁华度好</v>
      </c>
      <c r="D16" s="2264"/>
      <c r="E16" s="2251"/>
      <c r="F16" s="2291" t="s">
        <v>2254</v>
      </c>
      <c r="G16" s="2292" t="str">
        <f>G4</f>
        <v>估价对象周边道路状况、公共交通通达情况、停车便捷程度，综合评价交通便捷度较好</v>
      </c>
    </row>
    <row r="17" spans="1:17" ht="39.6">
      <c r="A17" s="2250"/>
      <c r="B17" s="2289" t="s">
        <v>2256</v>
      </c>
      <c r="C17" s="2290" t="str">
        <f>C5</f>
        <v>估价对象位于XX商圈，周边办公楼项目较多，入驻率高，办公集聚程度较好</v>
      </c>
      <c r="D17" s="2243"/>
      <c r="E17" s="2251"/>
      <c r="F17" s="2291" t="s">
        <v>2273</v>
      </c>
      <c r="G17" s="2293"/>
    </row>
    <row r="18" spans="1:17" ht="52.8">
      <c r="A18" s="2250"/>
      <c r="B18" s="2291" t="s">
        <v>2260</v>
      </c>
      <c r="C18" s="2292" t="str">
        <f>C6</f>
        <v>估价对象周边道路状况、公共交通通达情况、停车便捷程度，综合评价交通便捷度较好</v>
      </c>
      <c r="D18" s="2243"/>
      <c r="E18" s="2251"/>
      <c r="F18" s="2291" t="s">
        <v>2263</v>
      </c>
      <c r="G18" s="2292" t="str">
        <f>G7</f>
        <v>该园区内是否有污染型企业，绿化情况，卫生条件，整体环境状况判断</v>
      </c>
    </row>
    <row r="19" spans="1:17" ht="26.4">
      <c r="A19" s="2250"/>
      <c r="B19" s="2291" t="s">
        <v>2274</v>
      </c>
      <c r="C19" s="2293"/>
      <c r="D19" s="2264"/>
      <c r="E19" s="2251"/>
      <c r="F19" s="315" t="s">
        <v>2258</v>
      </c>
      <c r="G19" s="2292" t="str">
        <f>G5</f>
        <v>估价对象所在区域公共配套设施齐备情况</v>
      </c>
    </row>
    <row r="20" spans="1:17" ht="26.4">
      <c r="A20" s="2250"/>
      <c r="B20" s="2291" t="s">
        <v>2275</v>
      </c>
      <c r="C20" s="2290" t="str">
        <f>C9</f>
        <v>区域自然环境：；人文环境；综合评价环境状况一般</v>
      </c>
      <c r="D20" s="2243"/>
      <c r="E20" s="2251"/>
      <c r="F20" s="315" t="s">
        <v>2261</v>
      </c>
      <c r="G20" s="2292" t="str">
        <f>G6</f>
        <v>估价对象所在区域基础设施水平</v>
      </c>
    </row>
    <row r="21" spans="1:17" ht="26.4">
      <c r="A21" s="2250"/>
      <c r="B21" s="315" t="s">
        <v>2258</v>
      </c>
      <c r="C21" s="2292" t="str">
        <f>C7</f>
        <v>估价对象所在区域公共配套设施齐备情况</v>
      </c>
      <c r="D21" s="2264"/>
      <c r="E21" s="2251"/>
      <c r="F21" s="2291" t="s">
        <v>2276</v>
      </c>
      <c r="G21" s="2294"/>
    </row>
    <row r="22" spans="1:17" ht="13.5" customHeight="1">
      <c r="A22" s="2250"/>
      <c r="B22" s="315" t="s">
        <v>2261</v>
      </c>
      <c r="C22" s="2292" t="str">
        <f>C8</f>
        <v>估价对象所在区域基础设施水平</v>
      </c>
      <c r="D22" s="2264"/>
      <c r="E22" s="2251"/>
      <c r="F22" s="2291" t="s">
        <v>2267</v>
      </c>
      <c r="G22" s="2293"/>
    </row>
    <row r="23" spans="1:17" s="751" customFormat="1" ht="14.4" thickBot="1">
      <c r="A23" s="2250"/>
      <c r="B23" s="2291" t="s">
        <v>2276</v>
      </c>
      <c r="C23" s="2294"/>
      <c r="D23" s="1613"/>
      <c r="E23" s="2252"/>
      <c r="F23" s="2295" t="s">
        <v>2277</v>
      </c>
      <c r="G23" s="2296"/>
      <c r="H23" s="2275"/>
      <c r="I23" s="2275"/>
      <c r="J23" s="2275"/>
      <c r="K23" s="2275"/>
      <c r="L23" s="2275"/>
      <c r="M23" s="2275"/>
      <c r="N23" s="2275"/>
      <c r="O23" s="2275"/>
      <c r="P23" s="2275"/>
      <c r="Q23" s="2275"/>
    </row>
    <row r="24" spans="1:17" s="751" customFormat="1" ht="14.4" thickBot="1">
      <c r="A24" s="2253"/>
      <c r="B24" s="2295" t="s">
        <v>2278</v>
      </c>
      <c r="C24" s="2297">
        <f>C10</f>
        <v>0</v>
      </c>
      <c r="D24" s="1613"/>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1040.82</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45727</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5285</v>
      </c>
      <c r="C5" s="2298">
        <f ca="1">IF(B5=D14,结果表!H102,ROUND(B5*10000/$B$1,0))</f>
        <v>50673</v>
      </c>
      <c r="D5" s="2298" t="e">
        <f ca="1">ROUND(B5*10000/$B$2,0)</f>
        <v>#DIV/0!</v>
      </c>
      <c r="E5" s="2459"/>
      <c r="F5" s="2460"/>
      <c r="G5" s="2460"/>
      <c r="H5" s="2460"/>
      <c r="I5" s="2460"/>
      <c r="J5" s="2460"/>
      <c r="K5" s="2460"/>
    </row>
    <row r="6" spans="1:11" ht="15.6">
      <c r="A6" s="2298" t="s">
        <v>656</v>
      </c>
      <c r="B6" s="2298">
        <f ca="1">SUM(G14:G23)</f>
        <v>5285</v>
      </c>
      <c r="C6" s="2298">
        <f ca="1">IF(B6=G14,结果表!H108,ROUND(B6*10000/$B$1,0))</f>
        <v>50673</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3"/>
      <c r="C9" s="2459"/>
      <c r="D9" s="2459"/>
      <c r="E9" s="2459"/>
      <c r="F9" s="2460"/>
      <c r="G9" s="2460"/>
      <c r="H9" s="2460"/>
      <c r="I9" s="2460"/>
      <c r="J9" s="2460"/>
      <c r="K9" s="2460"/>
    </row>
    <row r="10" spans="1:11" ht="15.6">
      <c r="A10" s="2298" t="s">
        <v>654</v>
      </c>
      <c r="B10" s="2298">
        <f>IF(E10="",0,ROUND(B1*(E10*365/G10)/10000,0))</f>
        <v>0</v>
      </c>
      <c r="C10" s="2298" t="s">
        <v>3354</v>
      </c>
      <c r="D10" s="2298" t="s">
        <v>3355</v>
      </c>
      <c r="E10" s="3134"/>
      <c r="F10" s="3138" t="s">
        <v>3356</v>
      </c>
      <c r="G10" s="3135"/>
      <c r="H10" s="2460"/>
      <c r="I10" s="2460"/>
      <c r="J10" s="2460"/>
      <c r="K10" s="2460"/>
    </row>
    <row r="11" spans="1:11" ht="15.6">
      <c r="A11" s="2298" t="s">
        <v>670</v>
      </c>
      <c r="B11" s="1243"/>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典型户型修正!B22</f>
        <v>1040.82</v>
      </c>
      <c r="C14" s="2304"/>
      <c r="D14" s="2304">
        <f ca="1">典型户型修正!S22</f>
        <v>5285</v>
      </c>
      <c r="E14" s="2304">
        <f ca="1">ROUND(D14*10000/B14,0)</f>
        <v>50777</v>
      </c>
      <c r="F14" s="2304" t="e">
        <f ca="1">ROUND(D14*10000/C14,0)</f>
        <v>#DIV/0!</v>
      </c>
      <c r="G14" s="2304">
        <f ca="1">典型户型修正!S22</f>
        <v>5285</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5.6">
      <c r="A16" s="2303" t="s">
        <v>648</v>
      </c>
      <c r="B16" s="2305"/>
      <c r="C16" s="2305"/>
      <c r="D16" s="2305"/>
      <c r="E16" s="2304" t="e">
        <f t="shared" si="0"/>
        <v>#DIV/0!</v>
      </c>
      <c r="F16" s="2304" t="e">
        <f t="shared" si="1"/>
        <v>#DIV/0!</v>
      </c>
      <c r="G16" s="1243"/>
      <c r="H16" s="1243"/>
      <c r="I16" s="2305"/>
      <c r="J16" s="2460"/>
      <c r="K16" s="2460"/>
    </row>
    <row r="17" spans="1:11" ht="15.6">
      <c r="A17" s="2303" t="s">
        <v>647</v>
      </c>
      <c r="B17" s="2305"/>
      <c r="C17" s="2305"/>
      <c r="D17" s="2305"/>
      <c r="E17" s="2304" t="e">
        <f t="shared" si="0"/>
        <v>#DIV/0!</v>
      </c>
      <c r="F17" s="2304" t="e">
        <f t="shared" si="1"/>
        <v>#DIV/0!</v>
      </c>
      <c r="G17" s="1243"/>
      <c r="H17" s="1243"/>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E14" sqref="E14"/>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t="s">
        <v>3425</v>
      </c>
      <c r="D1" s="646"/>
      <c r="E1" s="646"/>
      <c r="F1" s="1620" t="s">
        <v>1263</v>
      </c>
      <c r="G1" s="1452"/>
      <c r="H1" s="1620" t="str">
        <f>IF(G1="现房","——","估价对象范围")</f>
        <v>估价对象范围</v>
      </c>
      <c r="I1" s="1621"/>
    </row>
    <row r="2" spans="1:12" ht="21.75" customHeight="1" thickBot="1">
      <c r="A2" s="3330" t="str">
        <f>项目基本情况!S2</f>
        <v>北京市石景山区八宝山南路重兴园6号楼房地产</v>
      </c>
      <c r="B2" s="3331"/>
      <c r="C2" s="3331"/>
      <c r="D2" s="3331"/>
      <c r="E2" s="3331"/>
      <c r="F2" s="3331"/>
      <c r="G2" s="3331"/>
      <c r="H2" s="3331"/>
      <c r="I2" s="3332"/>
    </row>
    <row r="3" spans="1:12" ht="13.2">
      <c r="A3" s="3334" t="s">
        <v>1264</v>
      </c>
      <c r="B3" s="3335"/>
      <c r="C3" s="3335"/>
      <c r="D3" s="3335"/>
      <c r="E3" s="3335"/>
      <c r="F3" s="3335"/>
      <c r="G3" s="3335"/>
      <c r="H3" s="3335"/>
      <c r="I3" s="3335"/>
    </row>
    <row r="4" spans="1:12" ht="14.4">
      <c r="A4" s="1623" t="s">
        <v>1265</v>
      </c>
      <c r="B4" s="1624" t="s">
        <v>1266</v>
      </c>
      <c r="C4" s="1625" t="s">
        <v>3514</v>
      </c>
      <c r="D4" s="1625" t="s">
        <v>3513</v>
      </c>
      <c r="E4" s="3339" t="s">
        <v>1267</v>
      </c>
      <c r="F4" s="3340"/>
      <c r="G4" s="3340"/>
      <c r="H4" s="3340"/>
      <c r="I4" s="334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3.2">
      <c r="A5" s="3278" t="s">
        <v>1268</v>
      </c>
      <c r="B5" s="3333">
        <v>25</v>
      </c>
      <c r="C5" s="3336"/>
      <c r="D5" s="3324"/>
      <c r="E5" s="123" t="s">
        <v>1269</v>
      </c>
      <c r="F5" s="1626"/>
      <c r="G5" s="1626"/>
      <c r="H5" s="1626"/>
      <c r="I5" s="1280"/>
    </row>
    <row r="6" spans="1:12" ht="13.2">
      <c r="A6" s="3278"/>
      <c r="B6" s="3333"/>
      <c r="C6" s="3338"/>
      <c r="D6" s="3324"/>
      <c r="E6" s="123" t="s">
        <v>1270</v>
      </c>
      <c r="F6" s="1626"/>
      <c r="G6" s="1626"/>
      <c r="H6" s="1626"/>
      <c r="I6" s="1280"/>
    </row>
    <row r="7" spans="1:12" ht="13.2">
      <c r="A7" s="3278"/>
      <c r="B7" s="3333"/>
      <c r="C7" s="3337"/>
      <c r="D7" s="3324"/>
      <c r="E7" s="123" t="s">
        <v>1271</v>
      </c>
      <c r="F7" s="1626"/>
      <c r="G7" s="1626"/>
      <c r="H7" s="1626"/>
      <c r="I7" s="1280"/>
    </row>
    <row r="8" spans="1:12" ht="13.2">
      <c r="A8" s="3278" t="s">
        <v>1272</v>
      </c>
      <c r="B8" s="3333">
        <v>15</v>
      </c>
      <c r="C8" s="3336"/>
      <c r="D8" s="3324"/>
      <c r="E8" s="123" t="s">
        <v>1273</v>
      </c>
      <c r="F8" s="1626"/>
      <c r="G8" s="1626"/>
      <c r="H8" s="1626"/>
      <c r="I8" s="1280"/>
    </row>
    <row r="9" spans="1:12" ht="13.2">
      <c r="A9" s="3278"/>
      <c r="B9" s="3333"/>
      <c r="C9" s="3337"/>
      <c r="D9" s="3324"/>
      <c r="E9" s="123" t="s">
        <v>1274</v>
      </c>
      <c r="F9" s="1626"/>
      <c r="G9" s="1626"/>
      <c r="H9" s="1626"/>
      <c r="I9" s="1280"/>
    </row>
    <row r="10" spans="1:12" ht="13.2">
      <c r="A10" s="3278" t="s">
        <v>1275</v>
      </c>
      <c r="B10" s="3333">
        <v>15</v>
      </c>
      <c r="C10" s="3336"/>
      <c r="D10" s="3324"/>
      <c r="E10" s="123" t="s">
        <v>1276</v>
      </c>
      <c r="F10" s="1626"/>
      <c r="G10" s="1626"/>
      <c r="H10" s="1626"/>
      <c r="I10" s="1280"/>
    </row>
    <row r="11" spans="1:12" ht="13.2">
      <c r="A11" s="3278"/>
      <c r="B11" s="3333"/>
      <c r="C11" s="3337"/>
      <c r="D11" s="3324"/>
      <c r="E11" s="123" t="s">
        <v>1277</v>
      </c>
      <c r="F11" s="1626"/>
      <c r="G11" s="1626"/>
      <c r="H11" s="1626"/>
      <c r="I11" s="1280"/>
    </row>
    <row r="12" spans="1:12" ht="13.2">
      <c r="A12" s="3278" t="s">
        <v>1278</v>
      </c>
      <c r="B12" s="3333">
        <v>15</v>
      </c>
      <c r="C12" s="3336"/>
      <c r="D12" s="3324"/>
      <c r="E12" s="123" t="s">
        <v>1279</v>
      </c>
      <c r="F12" s="1626"/>
      <c r="G12" s="1626"/>
      <c r="H12" s="1626"/>
      <c r="I12" s="1280"/>
    </row>
    <row r="13" spans="1:12" ht="13.2">
      <c r="A13" s="3278"/>
      <c r="B13" s="3333"/>
      <c r="C13" s="3337"/>
      <c r="D13" s="3324"/>
      <c r="E13" s="123" t="s">
        <v>1280</v>
      </c>
      <c r="F13" s="1626"/>
      <c r="G13" s="1626"/>
      <c r="H13" s="1626"/>
      <c r="I13" s="1280"/>
    </row>
    <row r="14" spans="1:12" ht="13.2">
      <c r="A14" s="3278" t="s">
        <v>1281</v>
      </c>
      <c r="B14" s="3333">
        <v>30</v>
      </c>
      <c r="C14" s="3336">
        <v>5</v>
      </c>
      <c r="D14" s="3324">
        <v>5</v>
      </c>
      <c r="E14" s="123" t="s">
        <v>1282</v>
      </c>
      <c r="F14" s="1626"/>
      <c r="G14" s="1626"/>
      <c r="H14" s="1626"/>
      <c r="I14" s="1280"/>
    </row>
    <row r="15" spans="1:12" ht="13.2">
      <c r="A15" s="3278"/>
      <c r="B15" s="3333"/>
      <c r="C15" s="3338"/>
      <c r="D15" s="3324"/>
      <c r="E15" s="123" t="s">
        <v>1283</v>
      </c>
      <c r="F15" s="1626"/>
      <c r="G15" s="1626"/>
      <c r="H15" s="1626"/>
      <c r="I15" s="1280"/>
    </row>
    <row r="16" spans="1:12" ht="13.2">
      <c r="A16" s="3278"/>
      <c r="B16" s="3333"/>
      <c r="C16" s="3337"/>
      <c r="D16" s="3324"/>
      <c r="E16" s="123" t="s">
        <v>1284</v>
      </c>
      <c r="F16" s="1626"/>
      <c r="G16" s="1626"/>
      <c r="H16" s="1626"/>
      <c r="I16" s="1280"/>
    </row>
    <row r="17" spans="1:36" ht="14.4">
      <c r="A17" s="1627" t="s">
        <v>1285</v>
      </c>
      <c r="B17" s="54"/>
      <c r="C17" s="124">
        <f>SUM(C5:C16)</f>
        <v>5</v>
      </c>
      <c r="D17" s="124">
        <f>SUM(D5:D16)</f>
        <v>5</v>
      </c>
      <c r="E17" s="121"/>
      <c r="F17" s="121"/>
      <c r="G17" s="121"/>
      <c r="H17" s="121"/>
      <c r="I17" s="121"/>
      <c r="K17" s="294"/>
      <c r="L17" s="294" t="s">
        <v>1286</v>
      </c>
      <c r="M17" s="294" t="s">
        <v>1287</v>
      </c>
    </row>
    <row r="18" spans="1:36" ht="31.95" customHeight="1" thickBot="1">
      <c r="A18" s="1628" t="s">
        <v>1288</v>
      </c>
      <c r="B18" s="1541"/>
      <c r="C18" s="125">
        <f>ROUND(C17/SUM(C17:D17),2)</f>
        <v>0.5</v>
      </c>
      <c r="D18" s="125">
        <f>1-C18</f>
        <v>0.5</v>
      </c>
      <c r="E18" s="3355" t="s">
        <v>2129</v>
      </c>
      <c r="F18" s="3356"/>
      <c r="G18" s="3356"/>
      <c r="H18" s="3356"/>
      <c r="I18" s="3356"/>
      <c r="K18" s="294" t="s">
        <v>1289</v>
      </c>
      <c r="L18" s="294">
        <f>IF(C1="",'数据-汇总表'!E3,SUMIF(项目类型,C1,'数据-汇总表'!E17:E26)+SUMIF(项目类型,C1,'数据-汇总表'!I17:I26))</f>
        <v>105.06</v>
      </c>
      <c r="M18" s="294">
        <f>IF(C1="",'数据-汇总表'!E3,SUMIF(项目类型,C1,'数据-汇总表'!E17:E26))</f>
        <v>105.06</v>
      </c>
    </row>
    <row r="19" spans="1:36" ht="14.4">
      <c r="A19" s="1629" t="s">
        <v>1290</v>
      </c>
      <c r="B19" s="1630" t="s">
        <v>1291</v>
      </c>
      <c r="C19" s="126">
        <f ca="1">SUMIF(INDIRECT("'"&amp;C4&amp;"'"&amp;"!A:A"),结果表!B19,INDIRECT("'"&amp;C4&amp;"'"&amp;"!B:B"))</f>
        <v>507.9126</v>
      </c>
      <c r="D19" s="127">
        <f ca="1">SUMIF(INDIRECT("'"&amp;D4&amp;"'"&amp;"!A:A"),结果表!B19,INDIRECT("'"&amp;D4&amp;"'"&amp;"!B:B"))</f>
        <v>556.82820000000004</v>
      </c>
      <c r="E19" s="1629" t="s">
        <v>1292</v>
      </c>
      <c r="F19" s="1630" t="s">
        <v>1291</v>
      </c>
      <c r="G19" s="128">
        <f ca="1">ROUND(C19*$C$18+D19*$D$18,0)</f>
        <v>532</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SUMIF(INDIRECT("'"&amp;C4&amp;"'"&amp;"!A:A"),结果表!B20,INDIRECT("'"&amp;C4&amp;"'"&amp;"!B:B"))</f>
        <v>48345</v>
      </c>
      <c r="D20" s="130">
        <f ca="1">SUMIF(INDIRECT("'"&amp;D4&amp;"'"&amp;"!A:A"),结果表!B20,INDIRECT("'"&amp;D4&amp;"'"&amp;"!B:B"))</f>
        <v>53001</v>
      </c>
      <c r="E20" s="1632"/>
      <c r="F20" s="43" t="s">
        <v>1295</v>
      </c>
      <c r="G20" s="131">
        <f ca="1">ROUND(C20*$C$18+D20*$D$18,0)</f>
        <v>50673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9.6307120555780834E-2</v>
      </c>
      <c r="E22" s="121"/>
      <c r="F22" s="121"/>
      <c r="G22" s="121"/>
      <c r="H22" s="121"/>
      <c r="I22" s="121"/>
    </row>
    <row r="23" spans="1:36" ht="13.8" thickBot="1">
      <c r="A23" s="646"/>
      <c r="B23" s="646"/>
      <c r="C23" s="646"/>
      <c r="D23" s="646"/>
      <c r="E23" s="121"/>
      <c r="F23" s="121"/>
      <c r="G23" s="121"/>
      <c r="H23" s="121"/>
      <c r="I23" s="121"/>
    </row>
    <row r="24" spans="1:36" ht="14.4">
      <c r="A24" s="3348" t="s">
        <v>1299</v>
      </c>
      <c r="B24" s="1630" t="s">
        <v>1291</v>
      </c>
      <c r="C24" s="128">
        <f>IF(B30=0,0,D30)</f>
        <v>0</v>
      </c>
      <c r="D24" s="1636"/>
      <c r="E24" s="121"/>
      <c r="F24" s="121"/>
      <c r="G24" s="121"/>
      <c r="H24" s="121"/>
      <c r="I24" s="121"/>
    </row>
    <row r="25" spans="1:36" ht="14.4">
      <c r="A25" s="3349"/>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2130</v>
      </c>
      <c r="F30" s="121"/>
      <c r="G30" s="121"/>
      <c r="H30" s="121"/>
      <c r="I30" s="121"/>
    </row>
    <row r="31" spans="1:36" s="2132" customFormat="1" ht="26.4" customHeight="1" thickTop="1" thickBot="1">
      <c r="A31" s="2127"/>
      <c r="B31" s="2128"/>
      <c r="C31" s="2128"/>
      <c r="D31" s="2128"/>
      <c r="E31" s="2128"/>
      <c r="F31" s="2128"/>
      <c r="G31" s="2128"/>
      <c r="H31" s="2128"/>
      <c r="I31" s="2129" t="s">
        <v>2131</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50673</v>
      </c>
      <c r="D32" s="1640" t="s">
        <v>3511</v>
      </c>
      <c r="E32" s="121"/>
      <c r="F32" s="121"/>
      <c r="G32" s="121"/>
      <c r="H32" s="121"/>
      <c r="I32" s="121"/>
    </row>
    <row r="33" spans="1:15" ht="14.4">
      <c r="A33" s="740" t="s">
        <v>1306</v>
      </c>
      <c r="B33" s="123"/>
      <c r="C33" s="1641" t="s">
        <v>3512</v>
      </c>
      <c r="D33" s="1642"/>
      <c r="E33" s="1643" t="s">
        <v>1307</v>
      </c>
      <c r="F33" s="1644" t="str">
        <f>IF(D32="楼面单价","取值（单价）","取值（总价）")</f>
        <v>取值（单价）</v>
      </c>
      <c r="G33" s="121"/>
      <c r="H33" s="121"/>
      <c r="I33" s="121"/>
    </row>
    <row r="34" spans="1:15" ht="14.4">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2"/>
      <c r="G34" s="121"/>
      <c r="H34" s="121"/>
      <c r="I34" s="121"/>
    </row>
    <row r="35" spans="1:15" ht="15" thickBot="1">
      <c r="A35" s="1648"/>
      <c r="B35" s="1649"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 thickBot="1">
      <c r="A36" s="3325" t="s">
        <v>1312</v>
      </c>
      <c r="B36" s="1651" t="s">
        <v>1313</v>
      </c>
      <c r="C36" s="137"/>
      <c r="D36" s="1652"/>
      <c r="E36" s="1566"/>
      <c r="F36" s="1653"/>
      <c r="G36" s="121"/>
      <c r="H36" s="121"/>
      <c r="I36" s="121"/>
    </row>
    <row r="37" spans="1:15" ht="15" thickBot="1">
      <c r="A37" s="3326"/>
      <c r="B37" s="1554" t="s">
        <v>1314</v>
      </c>
      <c r="C37" s="139"/>
      <c r="D37" s="1071"/>
      <c r="E37" s="1071"/>
      <c r="F37" s="1653"/>
      <c r="G37" s="121"/>
      <c r="H37" s="121"/>
      <c r="I37" s="121"/>
    </row>
    <row r="38" spans="1:15" ht="15" thickBot="1">
      <c r="A38" s="3327"/>
      <c r="B38" s="1654" t="s">
        <v>1315</v>
      </c>
      <c r="C38" s="641"/>
      <c r="D38" s="1655" t="s">
        <v>1316</v>
      </c>
      <c r="E38" s="1071"/>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45" t="s">
        <v>1326</v>
      </c>
      <c r="B45" s="3346"/>
      <c r="C45" s="3347"/>
      <c r="D45" s="147">
        <f ca="1">ROUND(H101*F45,0)</f>
        <v>532</v>
      </c>
      <c r="E45" s="148" t="s">
        <v>1327</v>
      </c>
      <c r="F45" s="149">
        <v>1</v>
      </c>
      <c r="G45" s="150" t="s">
        <v>1328</v>
      </c>
      <c r="H45" s="121"/>
      <c r="I45" s="121"/>
      <c r="J45" s="3265" t="s">
        <v>1329</v>
      </c>
      <c r="K45" s="3265"/>
      <c r="L45" s="3265"/>
      <c r="M45" s="3265"/>
      <c r="N45" s="3265"/>
      <c r="O45" s="3265"/>
    </row>
    <row r="46" spans="1:15" ht="14.25" customHeight="1">
      <c r="A46" s="3342" t="s">
        <v>1330</v>
      </c>
      <c r="B46" s="3343"/>
      <c r="C46" s="3343"/>
      <c r="D46" s="3343"/>
      <c r="E46" s="3343"/>
      <c r="F46" s="3343"/>
      <c r="G46" s="3344"/>
      <c r="H46" s="1667"/>
      <c r="I46" s="151"/>
      <c r="J46" s="2308">
        <v>1</v>
      </c>
      <c r="K46" s="3266" t="s">
        <v>1331</v>
      </c>
      <c r="L46" s="3266"/>
      <c r="M46" s="3267"/>
      <c r="N46" s="3267"/>
      <c r="O46" s="3267"/>
    </row>
    <row r="47" spans="1:15" ht="12" customHeight="1">
      <c r="A47" s="152" t="s">
        <v>1332</v>
      </c>
      <c r="B47" s="153"/>
      <c r="C47" s="154"/>
      <c r="D47" s="1024" t="s">
        <v>1333</v>
      </c>
      <c r="E47" s="294" t="s">
        <v>1334</v>
      </c>
      <c r="F47" s="155" t="s">
        <v>1335</v>
      </c>
      <c r="G47" s="2331" t="s">
        <v>1336</v>
      </c>
      <c r="H47" s="2332"/>
      <c r="I47" s="151"/>
      <c r="J47" s="2308">
        <v>2</v>
      </c>
      <c r="K47" s="3266" t="s">
        <v>1337</v>
      </c>
      <c r="L47" s="3266"/>
      <c r="M47" s="3268">
        <f>'数据-取费表'!B2</f>
        <v>45727</v>
      </c>
      <c r="N47" s="3268"/>
      <c r="O47" s="3268"/>
    </row>
    <row r="48" spans="1:15" ht="26.4">
      <c r="A48" s="3328" t="s">
        <v>1338</v>
      </c>
      <c r="B48" s="3329"/>
      <c r="C48" s="3329"/>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266" t="s">
        <v>1340</v>
      </c>
      <c r="L48" s="3266"/>
      <c r="M48" s="3269">
        <f ca="1">H101</f>
        <v>532</v>
      </c>
      <c r="N48" s="3269"/>
      <c r="O48" s="3269"/>
    </row>
    <row r="49" spans="1:35" ht="25.5" customHeight="1">
      <c r="A49" s="2151" t="s">
        <v>1341</v>
      </c>
      <c r="B49" s="3314" t="s">
        <v>1342</v>
      </c>
      <c r="C49" s="3314"/>
      <c r="D49" s="1477">
        <v>0</v>
      </c>
      <c r="E49" s="316" t="s">
        <v>1343</v>
      </c>
      <c r="F49" s="2231" t="s">
        <v>28</v>
      </c>
      <c r="G49" s="3297"/>
      <c r="H49" s="2133" t="s">
        <v>2132</v>
      </c>
      <c r="I49" s="2134"/>
      <c r="J49" s="2308">
        <v>4</v>
      </c>
      <c r="K49" s="3266" t="str">
        <f>IF(项目基本情况!E8="房地产抵押价值","房地产抵押价值","抵押担保权已注销时的房地产抵押价值")</f>
        <v>房地产抵押价值</v>
      </c>
      <c r="L49" s="3266"/>
      <c r="M49" s="3269">
        <f ca="1">IF(项目基本情况!E8="房地产抵押价值",H107,H109)</f>
        <v>532</v>
      </c>
      <c r="N49" s="3269"/>
      <c r="O49" s="3269"/>
    </row>
    <row r="50" spans="1:35" ht="25.5" customHeight="1">
      <c r="A50" s="2336"/>
      <c r="B50" s="3314" t="s">
        <v>1344</v>
      </c>
      <c r="C50" s="3314"/>
      <c r="D50" s="2188"/>
      <c r="E50" s="323"/>
      <c r="F50" s="2231"/>
      <c r="G50" s="3298"/>
      <c r="H50" s="2135" t="s">
        <v>2133</v>
      </c>
      <c r="I50" s="2134"/>
      <c r="J50" s="3265" t="s">
        <v>1345</v>
      </c>
      <c r="K50" s="3265"/>
      <c r="L50" s="3265"/>
      <c r="M50" s="3265"/>
      <c r="N50" s="3265"/>
      <c r="O50" s="3265"/>
    </row>
    <row r="51" spans="1:35" ht="20.399999999999999" customHeight="1">
      <c r="A51" s="2337"/>
      <c r="B51" s="3314" t="s">
        <v>1346</v>
      </c>
      <c r="C51" s="3314"/>
      <c r="D51" s="1024"/>
      <c r="E51" s="319"/>
      <c r="F51" s="2231"/>
      <c r="G51" s="3299"/>
      <c r="H51" s="2135" t="s">
        <v>2134</v>
      </c>
      <c r="I51" s="2134"/>
      <c r="J51" s="2309" t="s">
        <v>1347</v>
      </c>
      <c r="K51" s="3266" t="s">
        <v>1348</v>
      </c>
      <c r="L51" s="3266"/>
      <c r="M51" s="2309" t="s">
        <v>1349</v>
      </c>
      <c r="N51" s="2309" t="s">
        <v>1350</v>
      </c>
      <c r="O51" s="2309" t="s">
        <v>1351</v>
      </c>
    </row>
    <row r="52" spans="1:35" ht="24" customHeight="1">
      <c r="A52" s="2152" t="s">
        <v>1352</v>
      </c>
      <c r="B52" s="3314" t="s">
        <v>1353</v>
      </c>
      <c r="C52" s="3314"/>
      <c r="D52" s="1024">
        <f ca="1">ROUND(D45*'数据-取费表'!B41/(1+'数据-取费表'!C42),0)</f>
        <v>28</v>
      </c>
      <c r="E52" s="1255" t="s">
        <v>1354</v>
      </c>
      <c r="F52" s="2338">
        <f>'数据-取费表'!B41</f>
        <v>5.6000000000000001E-2</v>
      </c>
      <c r="G52" s="2339"/>
      <c r="H52" s="2329"/>
      <c r="I52" s="1668"/>
      <c r="J52" s="2308">
        <v>1</v>
      </c>
      <c r="K52" s="3291" t="s">
        <v>1355</v>
      </c>
      <c r="L52" s="3291"/>
      <c r="M52" s="2310" t="b">
        <f>D48</f>
        <v>0</v>
      </c>
      <c r="N52" s="2308" t="str">
        <f>E48</f>
        <v>销售额×税（费）率</v>
      </c>
      <c r="O52" s="2311">
        <f>F48</f>
        <v>5.6000000000000001E-2</v>
      </c>
    </row>
    <row r="53" spans="1:35" ht="12" customHeight="1">
      <c r="A53" s="2152" t="s">
        <v>1356</v>
      </c>
      <c r="B53" s="3315" t="s">
        <v>2289</v>
      </c>
      <c r="C53" s="3316"/>
      <c r="D53" s="1024">
        <f ca="1">ROUND(D45*'数据-取费表'!B41/(1+'数据-取费表'!C42),0)</f>
        <v>28</v>
      </c>
      <c r="E53" s="1255" t="s">
        <v>1354</v>
      </c>
      <c r="F53" s="2338">
        <f>'数据-取费表'!B41</f>
        <v>5.6000000000000001E-2</v>
      </c>
      <c r="G53" s="2339"/>
      <c r="H53" s="2329"/>
      <c r="I53" s="1668"/>
      <c r="J53" s="2308">
        <v>2</v>
      </c>
      <c r="K53" s="3291" t="s">
        <v>1357</v>
      </c>
      <c r="L53" s="3291"/>
      <c r="M53" s="2310">
        <f t="shared" ref="M53:O54" ca="1" si="0">D55</f>
        <v>0</v>
      </c>
      <c r="N53" s="2308" t="str">
        <f t="shared" si="0"/>
        <v>销售额×税（费）率</v>
      </c>
      <c r="O53" s="2311" t="str">
        <f t="shared" si="0"/>
        <v>免征</v>
      </c>
    </row>
    <row r="54" spans="1:35" ht="12" customHeight="1">
      <c r="A54" s="2152" t="s">
        <v>1358</v>
      </c>
      <c r="B54" s="3315" t="s">
        <v>2290</v>
      </c>
      <c r="C54" s="3316"/>
      <c r="D54" s="1024">
        <f ca="1">C68</f>
        <v>28</v>
      </c>
      <c r="E54" s="319" t="s">
        <v>1359</v>
      </c>
      <c r="F54" s="2338">
        <f>'数据-取费表'!B41</f>
        <v>5.6000000000000001E-2</v>
      </c>
      <c r="G54" s="2339"/>
      <c r="H54" s="2340"/>
      <c r="I54" s="1668"/>
      <c r="J54" s="2308">
        <v>3</v>
      </c>
      <c r="K54" s="3291" t="s">
        <v>1360</v>
      </c>
      <c r="L54" s="3291"/>
      <c r="M54" s="2310">
        <f t="shared" ca="1" si="0"/>
        <v>301</v>
      </c>
      <c r="N54" s="2308" t="str">
        <f t="shared" si="0"/>
        <v>增值额×税（费）率</v>
      </c>
      <c r="O54" s="2312" t="str">
        <f t="shared" si="0"/>
        <v>免征</v>
      </c>
    </row>
    <row r="55" spans="1:35" ht="24" customHeight="1">
      <c r="A55" s="3351" t="s">
        <v>1361</v>
      </c>
      <c r="B55" s="3329"/>
      <c r="C55" s="3329"/>
      <c r="D55" s="12">
        <f ca="1">IF(H55="个人住宅",0,ROUND(D45*I55,0))</f>
        <v>0</v>
      </c>
      <c r="E55" s="1255" t="s">
        <v>1362</v>
      </c>
      <c r="F55" s="2338" t="str">
        <f>IF(H55="正常",I55,"免征")</f>
        <v>免征</v>
      </c>
      <c r="G55" s="2339"/>
      <c r="H55" s="2335"/>
      <c r="I55" s="157">
        <f>'数据-取费表'!B49</f>
        <v>5.0000000000000001E-4</v>
      </c>
      <c r="J55" s="2308">
        <f>IF(H59="非个人房产","",4)</f>
        <v>4</v>
      </c>
      <c r="K55" s="3291" t="str">
        <f>IF(H59="非个人房产","——","个人所得税")</f>
        <v>个人所得税</v>
      </c>
      <c r="L55" s="3291"/>
      <c r="M55" s="2313">
        <f ca="1">D59</f>
        <v>5</v>
      </c>
      <c r="N55" s="1882" t="str">
        <f>E59</f>
        <v>差额计税</v>
      </c>
      <c r="O55" s="2314">
        <f>F59</f>
        <v>0.01</v>
      </c>
    </row>
    <row r="56" spans="1:35" ht="25.2">
      <c r="A56" s="3351" t="s">
        <v>1363</v>
      </c>
      <c r="B56" s="3329"/>
      <c r="C56" s="3329"/>
      <c r="D56" s="12">
        <f ca="1">IF(H56="个人住宅",D57,D58)</f>
        <v>301</v>
      </c>
      <c r="E56" s="1255" t="s">
        <v>1364</v>
      </c>
      <c r="F56" s="2338" t="str">
        <f>IF(H56="正常",F58,"免征")</f>
        <v>免征</v>
      </c>
      <c r="G56" s="2341" t="s">
        <v>1365</v>
      </c>
      <c r="H56" s="2342"/>
      <c r="I56" s="1669"/>
      <c r="J56" s="2308" t="str">
        <f>IF(项目基本情况!K6="上海银行",IF(J55="",4,J55+1),"")</f>
        <v/>
      </c>
      <c r="K56" s="3272" t="str">
        <f>IF(项目基本情况!K6="上海银行","其他处置费用","")</f>
        <v/>
      </c>
      <c r="L56" s="3273"/>
      <c r="M56" s="2310" t="str">
        <f>IF(项目基本情况!K6="上海银行",M69,"")</f>
        <v/>
      </c>
      <c r="N56" s="3272" t="str">
        <f>IF(项目基本情况!K6="上海银行","包含处置中涉及的律师、诉讼、拍卖、评估等费用","")</f>
        <v/>
      </c>
      <c r="O56" s="3275"/>
    </row>
    <row r="57" spans="1:35" ht="13.2">
      <c r="A57" s="2152" t="s">
        <v>1341</v>
      </c>
      <c r="B57" s="3315" t="s">
        <v>1366</v>
      </c>
      <c r="C57" s="3316"/>
      <c r="D57" s="1477">
        <v>0</v>
      </c>
      <c r="E57" s="316" t="s">
        <v>1343</v>
      </c>
      <c r="F57" s="294"/>
      <c r="G57" s="2339"/>
      <c r="H57" s="2343"/>
      <c r="I57" s="1669"/>
      <c r="J57" s="3291">
        <f>IF(AND(J55="",J56=""),4,IF(项目基本情况!K6="上海银行",结果表!J56+1,结果表!J55+1))</f>
        <v>5</v>
      </c>
      <c r="K57" s="3291" t="s">
        <v>1367</v>
      </c>
      <c r="L57" s="2315" t="s">
        <v>1368</v>
      </c>
      <c r="M57" s="2316"/>
      <c r="N57" s="2317">
        <f ca="1">SUMIF(M52:M56,"&lt;9e307")</f>
        <v>306</v>
      </c>
      <c r="O57" s="2318"/>
      <c r="P57" s="2462">
        <f ca="1">N57/M49</f>
        <v>0.57518796992481203</v>
      </c>
    </row>
    <row r="58" spans="1:35" ht="25.2">
      <c r="A58" s="2152" t="s">
        <v>1352</v>
      </c>
      <c r="B58" s="3315" t="s">
        <v>1369</v>
      </c>
      <c r="C58" s="3314"/>
      <c r="D58" s="12">
        <f ca="1">IF(H58="转让取得",C81,C97)</f>
        <v>301</v>
      </c>
      <c r="E58" s="1255" t="s">
        <v>1364</v>
      </c>
      <c r="F58" s="294" t="s">
        <v>28</v>
      </c>
      <c r="G58" s="2339"/>
      <c r="H58" s="2342"/>
      <c r="I58" s="1669"/>
      <c r="J58" s="3291"/>
      <c r="K58" s="3291"/>
      <c r="L58" s="2315" t="s">
        <v>1370</v>
      </c>
      <c r="M58" s="2319"/>
      <c r="N58" s="2320" t="str">
        <f ca="1">NUMBERSTRING(INT(N57*10000),2)&amp;"元整"</f>
        <v>叁佰零陆万元整</v>
      </c>
      <c r="O58" s="2321"/>
    </row>
    <row r="59" spans="1:35" ht="24.6" thickBot="1">
      <c r="A59" s="3295" t="s">
        <v>1371</v>
      </c>
      <c r="B59" s="3296"/>
      <c r="C59" s="3296"/>
      <c r="D59" s="2344">
        <f ca="1">IF(H59="非个人房产","——",IF(H59="个人住宅（满五唯一有凭证）",0,IF(H59="个人其他（无凭证）",ROUND(D45*F59,0),ROUND(C67*F59,0))))</f>
        <v>5</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2135</v>
      </c>
      <c r="J59" s="3293">
        <f>J57+1</f>
        <v>6</v>
      </c>
      <c r="K59" s="3291" t="s">
        <v>1372</v>
      </c>
      <c r="L59" s="2308" t="s">
        <v>1368</v>
      </c>
      <c r="M59" s="2322"/>
      <c r="N59" s="2323">
        <f ca="1">M49-N57</f>
        <v>226</v>
      </c>
      <c r="O59" s="2324"/>
    </row>
    <row r="60" spans="1:35" ht="12" customHeight="1">
      <c r="A60" s="1670"/>
      <c r="B60" s="646"/>
      <c r="C60" s="646"/>
      <c r="D60" s="646"/>
      <c r="E60" s="1465"/>
      <c r="F60" s="1669"/>
      <c r="G60" s="1669"/>
      <c r="H60" s="151"/>
      <c r="I60" s="121"/>
      <c r="J60" s="3294"/>
      <c r="K60" s="3291"/>
      <c r="L60" s="2315" t="s">
        <v>1370</v>
      </c>
      <c r="M60" s="2319"/>
      <c r="N60" s="2320" t="str">
        <f ca="1">NUMBERSTRING(INT(N59*10000),2)&amp;"元整"</f>
        <v>贰佰贰拾陆万元整</v>
      </c>
      <c r="O60" s="2321"/>
    </row>
    <row r="61" spans="1:35" ht="13.8" thickBot="1">
      <c r="A61" s="3350" t="s">
        <v>1373</v>
      </c>
      <c r="B61" s="3350"/>
      <c r="C61" s="3350"/>
      <c r="D61" s="3350"/>
      <c r="E61" s="3350"/>
      <c r="F61" s="1669"/>
      <c r="G61" s="1669"/>
      <c r="H61" s="151"/>
      <c r="I61" s="121"/>
      <c r="J61" s="2308">
        <f>J59+1</f>
        <v>7</v>
      </c>
      <c r="K61" s="3291" t="s">
        <v>1374</v>
      </c>
      <c r="L61" s="3291"/>
      <c r="M61" s="2325"/>
      <c r="N61" s="2326">
        <f ca="1">ROUND(N59*10000/'数据-汇总表'!E3,0)</f>
        <v>21512</v>
      </c>
      <c r="O61" s="2327"/>
    </row>
    <row r="62" spans="1:35" ht="13.2">
      <c r="A62" s="3310" t="s">
        <v>1375</v>
      </c>
      <c r="B62" s="3311"/>
      <c r="C62" s="1864"/>
      <c r="D62" s="1864" t="s">
        <v>1376</v>
      </c>
      <c r="E62" s="158" t="s">
        <v>1377</v>
      </c>
      <c r="F62" s="1669"/>
      <c r="G62" s="1669"/>
      <c r="H62" s="151"/>
      <c r="I62" s="121"/>
    </row>
    <row r="63" spans="1:35" ht="13.2">
      <c r="A63" s="165" t="s">
        <v>330</v>
      </c>
      <c r="B63" s="159" t="s">
        <v>1378</v>
      </c>
      <c r="C63" s="2348">
        <f ca="1">ROUND((C64+C65)/(1+'数据-取费表'!C42),0)</f>
        <v>507</v>
      </c>
      <c r="D63" s="159"/>
      <c r="E63" s="160"/>
      <c r="F63" s="1669"/>
      <c r="G63" s="1669"/>
      <c r="H63" s="151"/>
      <c r="I63" s="121"/>
      <c r="J63" s="3274" t="s">
        <v>1379</v>
      </c>
      <c r="K63" s="1244" t="s">
        <v>1380</v>
      </c>
      <c r="L63" s="1244">
        <f ca="1">IF(M49&gt;10000,M49*0.5%,IF(AND(M49&gt;1000,M49&lt;=10000),M49*1%,IF(AND(M49&gt;100,M49&lt;=1000),M49*3%,IF(AND(M49&gt;10,M49&lt;=100),M49*5%,M49*8%))))</f>
        <v>15.959999999999999</v>
      </c>
      <c r="M63" s="294">
        <f ca="1">ROUND(L63,1)</f>
        <v>16</v>
      </c>
      <c r="N63" s="2328"/>
      <c r="Z63" s="1622"/>
      <c r="AI63" s="1560"/>
    </row>
    <row r="64" spans="1:35" ht="14.25" customHeight="1">
      <c r="A64" s="161" t="s">
        <v>325</v>
      </c>
      <c r="B64" s="162" t="s">
        <v>1381</v>
      </c>
      <c r="C64" s="2349">
        <f ca="1">D45</f>
        <v>532</v>
      </c>
      <c r="D64" s="162" t="s">
        <v>26</v>
      </c>
      <c r="E64" s="164"/>
      <c r="F64" s="1669"/>
      <c r="G64" s="1669"/>
      <c r="H64" s="151"/>
      <c r="I64" s="121"/>
      <c r="J64" s="3274"/>
      <c r="K64" s="1244" t="s">
        <v>1382</v>
      </c>
      <c r="L64" s="1244">
        <f ca="1">IF(M49&gt;2000,M49*0.5%,IF(AND(M49&gt;1000,M49&lt;=2000),M49*0.6%,IF(AND(M49&gt;500,M49&lt;=1000),M49*0.7%,IF(AND(M49&gt;200,M49&lt;=500),M49*0.8%,IF(AND(M49&gt;100,M49&lt;=200),M49*0.9%,IF(AND(M49&gt;50,M49&lt;=100),M49*1%,IF(AND(M49&gt;20,M49&lt;=50),M49*1.5%,IF(AND(M49&gt;10,M49&lt;=20),M49*2%,IF(AND(M49&gt;1,M49&lt;=10),M49*2.5%)))))))))</f>
        <v>3.7239999999999998</v>
      </c>
      <c r="M64" s="294">
        <f t="shared" ref="M64:M65" ca="1" si="1">ROUND(L64,1)</f>
        <v>3.7</v>
      </c>
      <c r="N64" s="2329" t="s">
        <v>1383</v>
      </c>
      <c r="Z64" s="1622"/>
      <c r="AI64" s="1560"/>
    </row>
    <row r="65" spans="1:35" ht="14.25" customHeight="1">
      <c r="A65" s="161" t="s">
        <v>326</v>
      </c>
      <c r="B65" s="162" t="s">
        <v>1384</v>
      </c>
      <c r="C65" s="2350"/>
      <c r="D65" s="162"/>
      <c r="E65" s="164"/>
      <c r="F65" s="1669"/>
      <c r="G65" s="1669"/>
      <c r="H65" s="151"/>
      <c r="I65" s="121"/>
      <c r="J65" s="3274"/>
      <c r="K65" s="1244" t="s">
        <v>1385</v>
      </c>
      <c r="L65" s="1244">
        <f ca="1">IF(M49&gt;1000,M49*0.1%,IF(AND(M49&gt;500,M49&lt;=1000),M49*0.5%,IF(AND(M49&gt;50,M49&lt;=500),M49*1%,IF(AND(M49&gt;1,M49&lt;=50),M49*1.5%))))</f>
        <v>2.66</v>
      </c>
      <c r="M65" s="294">
        <f t="shared" ca="1" si="1"/>
        <v>2.7</v>
      </c>
      <c r="N65" s="2329" t="s">
        <v>1383</v>
      </c>
      <c r="Z65" s="1622"/>
      <c r="AI65" s="1560"/>
    </row>
    <row r="66" spans="1:35" ht="14.25" customHeight="1">
      <c r="A66" s="165" t="s">
        <v>327</v>
      </c>
      <c r="B66" s="166" t="s">
        <v>1386</v>
      </c>
      <c r="C66" s="2351"/>
      <c r="D66" s="166" t="s">
        <v>26</v>
      </c>
      <c r="E66" s="1250" t="s">
        <v>671</v>
      </c>
      <c r="F66" s="1669"/>
      <c r="G66" s="1669"/>
      <c r="H66" s="151"/>
      <c r="I66" s="121"/>
      <c r="J66" s="3274"/>
      <c r="K66" s="1244" t="s">
        <v>1387</v>
      </c>
      <c r="L66" s="1244">
        <f ca="1">M49*0.5%</f>
        <v>2.66</v>
      </c>
      <c r="M66" s="294">
        <f ca="1">IF(L66&gt;0.5,0.5,ROUND(L66,0))</f>
        <v>0.5</v>
      </c>
      <c r="N66" s="2329" t="s">
        <v>1388</v>
      </c>
      <c r="Z66" s="1622"/>
      <c r="AI66" s="1560"/>
    </row>
    <row r="67" spans="1:35" ht="14.25" customHeight="1">
      <c r="A67" s="165" t="s">
        <v>328</v>
      </c>
      <c r="B67" s="166" t="s">
        <v>1389</v>
      </c>
      <c r="C67" s="2352">
        <f ca="1">C63-C66</f>
        <v>507</v>
      </c>
      <c r="D67" s="162" t="s">
        <v>26</v>
      </c>
      <c r="E67" s="164"/>
      <c r="F67" s="1669"/>
      <c r="G67" s="1669"/>
      <c r="H67" s="151"/>
      <c r="I67" s="121"/>
      <c r="J67" s="3274"/>
      <c r="K67" s="1244" t="s">
        <v>1390</v>
      </c>
      <c r="L67" s="1244">
        <f ca="1">IF(M49&gt;=10000,(8.25+(M49-10000)*0.01%),IF(AND(M49&gt;=8000,M49&lt;10000),(7.85+(M49-8000)*0.02%),IF(AND(M49&gt;=5000,M49&lt;8000),(6.65+(M49-5000)*0.04%),IF(AND(M49&gt;=2000,M49&lt;5000),(4.25+(PM49-2000)*0.08%),IF(AND(M49&gt;=1000,M49&lt;2000),(2.75+(M49-1000)*0.15%),IF(AND(M49&gt;=100,M49&lt;1000),(0.5+(M49-100)*0.25%),IF(AND(M49&gt;0,M49&lt;100),M49*0.5%)))))))</f>
        <v>1.58</v>
      </c>
      <c r="M67" s="294">
        <f ca="1">ROUND(L67*0.9,1)</f>
        <v>1.4</v>
      </c>
      <c r="N67" s="2328"/>
      <c r="Z67" s="1622"/>
      <c r="AI67" s="1560"/>
    </row>
    <row r="68" spans="1:35" ht="14.25" customHeight="1" thickBot="1">
      <c r="A68" s="168" t="s">
        <v>329</v>
      </c>
      <c r="B68" s="169" t="s">
        <v>1391</v>
      </c>
      <c r="C68" s="2353">
        <f ca="1">IF(C67&lt;=0,0,ROUND(C67*D68,0))</f>
        <v>28</v>
      </c>
      <c r="D68" s="2354">
        <f>'数据-取费表'!B41</f>
        <v>5.6000000000000001E-2</v>
      </c>
      <c r="E68" s="170"/>
      <c r="F68" s="1669"/>
      <c r="G68" s="1669"/>
      <c r="H68" s="151"/>
      <c r="I68" s="121"/>
      <c r="J68" s="3274"/>
      <c r="K68" s="1244" t="s">
        <v>1392</v>
      </c>
      <c r="L68" s="1244">
        <f ca="1">IF(M49&gt;10000,M49*0.5%,IF(AND(M49&gt;5000,M49&lt;=10000),M49*1%,IF(AND(M49&gt;1000,M49&lt;=5000),M49*2%,IF(AND(M49&gt;200,M49&lt;=1000),M49*3%,M49*5%))))</f>
        <v>15.959999999999999</v>
      </c>
      <c r="M68" s="294">
        <f ca="1">ROUND(L68,1)</f>
        <v>16</v>
      </c>
      <c r="N68" s="2328"/>
      <c r="Z68" s="1622"/>
      <c r="AI68" s="1560"/>
    </row>
    <row r="69" spans="1:35" ht="16.5" customHeight="1">
      <c r="A69" s="1671"/>
      <c r="B69" s="1672"/>
      <c r="C69" s="1673"/>
      <c r="D69" s="1674"/>
      <c r="E69" s="1675"/>
      <c r="F69" s="1465"/>
      <c r="G69" s="1465"/>
      <c r="H69" s="1466"/>
      <c r="I69" s="646"/>
      <c r="J69" s="3274"/>
      <c r="K69" s="1244" t="s">
        <v>1393</v>
      </c>
      <c r="L69" s="1244"/>
      <c r="M69" s="294">
        <f ca="1">ROUND(SUM(M63:M68),0)</f>
        <v>40</v>
      </c>
      <c r="N69" s="2330">
        <f ca="1">M69/M49</f>
        <v>7.5187969924812026E-2</v>
      </c>
      <c r="Z69" s="1622"/>
      <c r="AI69" s="1560"/>
    </row>
    <row r="70" spans="1:35" s="642" customFormat="1" ht="14.4" thickBot="1">
      <c r="A70" s="3318" t="s">
        <v>1394</v>
      </c>
      <c r="B70" s="3319"/>
      <c r="C70" s="3319"/>
      <c r="D70" s="3319"/>
      <c r="E70" s="3319"/>
      <c r="F70" s="3319"/>
      <c r="G70" s="3319"/>
      <c r="H70" s="331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310" t="s">
        <v>1375</v>
      </c>
      <c r="B71" s="3311"/>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2">
        <f ca="1">ROUND(D45/(1+'数据-取费表'!C42),0)</f>
        <v>507</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2">
        <f ca="1">C74+C78</f>
        <v>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315" t="s">
        <v>1402</v>
      </c>
      <c r="F76" s="3314"/>
      <c r="G76" s="3314"/>
      <c r="H76" s="331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f ca="1">ROUND(D45*D78/(1+'数据-取费表'!C42),0)</f>
        <v>3</v>
      </c>
      <c r="D78" s="2361">
        <f>'数据-取费表'!B43</f>
        <v>6.000000000000001E-3</v>
      </c>
      <c r="E78" s="3307" t="s">
        <v>1406</v>
      </c>
      <c r="F78" s="3308"/>
      <c r="G78" s="3308"/>
      <c r="H78" s="330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2">
        <f ca="1">C72-C73</f>
        <v>504</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f ca="1">IF(C79&lt;=0,0,C79/C73)</f>
        <v>168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3">
        <f ca="1">ROUND(IF(C79&lt;=0,0,IF(C80&gt;=200%,C79*60%-C73*35%,IF(C80&gt;=100%,C79*50%-C73*15%,IF(C80&gt;=50%,C79*40%-C73*5%,IF(C80&lt;50%,C79*30%,0))))),0)</f>
        <v>301</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18" t="s">
        <v>1410</v>
      </c>
      <c r="B83" s="3319"/>
      <c r="C83" s="3319"/>
      <c r="D83" s="3319"/>
      <c r="E83" s="3319"/>
      <c r="F83" s="3319"/>
      <c r="G83" s="3319"/>
      <c r="H83" s="331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310" t="s">
        <v>1375</v>
      </c>
      <c r="B84" s="3311"/>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2">
        <f ca="1">ROUND(D45/(1+'数据-取费表'!C42),0)</f>
        <v>507</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2">
        <f ca="1">IF(H88="仅含出让金",C87+C90+C91+C92+C93+C94,C87+C91+C92+C93+C94)</f>
        <v>3</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6"/>
      <c r="D88" s="2361"/>
      <c r="E88" s="185" t="s">
        <v>1413</v>
      </c>
      <c r="F88" s="2147"/>
      <c r="G88" s="186" t="s">
        <v>1414</v>
      </c>
      <c r="H88" s="1683"/>
      <c r="I88" s="1680"/>
      <c r="J88" s="2306"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6"/>
      <c r="D90" s="2361"/>
      <c r="E90" s="185" t="str">
        <f>IF(H88="-","土地取得成本中已包含该笔费用"," ")</f>
        <v xml:space="preserve"> </v>
      </c>
      <c r="F90" s="2147"/>
      <c r="G90" s="3276" t="s">
        <v>2127</v>
      </c>
      <c r="H90" s="3277"/>
      <c r="I90" s="1680"/>
      <c r="J90" s="2306"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307" t="s">
        <v>1419</v>
      </c>
      <c r="F91" s="3308"/>
      <c r="G91" s="330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307" t="s">
        <v>1422</v>
      </c>
      <c r="F92" s="3308"/>
      <c r="G92" s="3308"/>
      <c r="H92" s="3309"/>
      <c r="I92" s="1680"/>
      <c r="J92" s="2307"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f ca="1">ROUND(D45*D93/(1+'数据-取费表'!C42),0)</f>
        <v>3</v>
      </c>
      <c r="D93" s="2361">
        <f>'数据-取费表'!B43</f>
        <v>6.000000000000001E-3</v>
      </c>
      <c r="E93" s="3307" t="s">
        <v>1406</v>
      </c>
      <c r="F93" s="3308"/>
      <c r="G93" s="3308"/>
      <c r="H93" s="330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352" t="s">
        <v>1426</v>
      </c>
      <c r="F94" s="3353"/>
      <c r="G94" s="3353"/>
      <c r="H94" s="335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2">
        <f ca="1">ROUND(C85-C86,0)</f>
        <v>504</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f ca="1">IF(C95&lt;=0,0,C95/C86)</f>
        <v>168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3">
        <f ca="1">ROUND(IF(C95&lt;=0,0,IF(C96&gt;=200%,C95*60%-C86*35%,IF(C96&gt;=100%,C95*50%-C86*15%,IF(C96&gt;=50%,C95*40%-C86*5%,IF(C96&lt;50%,C95*30%,0))))),0)</f>
        <v>301</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5" t="s">
        <v>1428</v>
      </c>
      <c r="B100" s="3256"/>
      <c r="C100" s="3256"/>
      <c r="D100" s="3292"/>
      <c r="E100" s="3256" t="s">
        <v>1429</v>
      </c>
      <c r="F100" s="3256"/>
      <c r="G100" s="3256"/>
      <c r="H100" s="3292"/>
      <c r="I100" s="121"/>
    </row>
    <row r="101" spans="1:35" ht="18.75" customHeight="1">
      <c r="A101" s="3300" t="s">
        <v>1430</v>
      </c>
      <c r="B101" s="3301"/>
      <c r="C101" s="2369" t="str">
        <f>C4</f>
        <v>比较法-住宅</v>
      </c>
      <c r="D101" s="2370" t="str">
        <f>D4</f>
        <v>成本法 (元)</v>
      </c>
      <c r="E101" s="3270" t="s">
        <v>1431</v>
      </c>
      <c r="F101" s="3271"/>
      <c r="G101" s="1686" t="s">
        <v>1432</v>
      </c>
      <c r="H101" s="2379">
        <f ca="1">H118</f>
        <v>532</v>
      </c>
      <c r="I101" s="121"/>
    </row>
    <row r="102" spans="1:35" ht="18.75" customHeight="1">
      <c r="A102" s="3302" t="s">
        <v>1433</v>
      </c>
      <c r="B102" s="2368" t="s">
        <v>1432</v>
      </c>
      <c r="C102" s="2369">
        <f ca="1">IF(D32="楼面单价",ROUND(C19,0),C19)</f>
        <v>508</v>
      </c>
      <c r="D102" s="2370">
        <f ca="1">IF(D32="楼面单价",ROUND(D19,0),D19)</f>
        <v>557</v>
      </c>
      <c r="E102" s="3270"/>
      <c r="F102" s="3271"/>
      <c r="G102" s="1686" t="s">
        <v>1434</v>
      </c>
      <c r="H102" s="2339">
        <f ca="1">I118</f>
        <v>50673</v>
      </c>
      <c r="I102" s="121"/>
    </row>
    <row r="103" spans="1:35" ht="42.75" customHeight="1">
      <c r="A103" s="3302"/>
      <c r="B103" s="2368" t="s">
        <v>1434</v>
      </c>
      <c r="C103" s="2371">
        <f ca="1">C20</f>
        <v>48345</v>
      </c>
      <c r="D103" s="2372">
        <f ca="1">D20</f>
        <v>53001</v>
      </c>
      <c r="E103" s="3263" t="s">
        <v>1435</v>
      </c>
      <c r="F103" s="3264"/>
      <c r="G103" s="1687" t="s">
        <v>1436</v>
      </c>
      <c r="H103" s="2379">
        <f>IF(D36="正常操作",H104+H105+H106,H105+H106)</f>
        <v>0</v>
      </c>
      <c r="I103" s="121"/>
    </row>
    <row r="104" spans="1:35" ht="18.75" customHeight="1">
      <c r="A104" s="3302" t="s">
        <v>1437</v>
      </c>
      <c r="B104" s="2373" t="s">
        <v>1432</v>
      </c>
      <c r="C104" s="2374">
        <f ca="1">H118</f>
        <v>532</v>
      </c>
      <c r="D104" s="2375"/>
      <c r="E104" s="1554" t="s">
        <v>1438</v>
      </c>
      <c r="F104" s="1547"/>
      <c r="G104" s="1687" t="s">
        <v>1436</v>
      </c>
      <c r="H104" s="2380">
        <f>IF(D36="同一抵押权人同一抵押物续贷",C36&amp;"（续贷，未扣减，详见特别提示）",C36)</f>
        <v>0</v>
      </c>
      <c r="I104" s="121"/>
    </row>
    <row r="105" spans="1:35" ht="18.75" customHeight="1" thickBot="1">
      <c r="A105" s="3312"/>
      <c r="B105" s="2376" t="s">
        <v>1434</v>
      </c>
      <c r="C105" s="2377">
        <f ca="1">I118</f>
        <v>50673</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303" t="str">
        <f>IF(项目基本情况!E8="已注销","——","3.房地产抵押价值")</f>
        <v>3.房地产抵押价值</v>
      </c>
      <c r="F107" s="3271"/>
      <c r="G107" s="1686" t="s">
        <v>1432</v>
      </c>
      <c r="H107" s="2379">
        <f ca="1">IF(E107="——","——",H101-H103)</f>
        <v>532</v>
      </c>
      <c r="I107" s="121"/>
    </row>
    <row r="108" spans="1:35" ht="18.75" customHeight="1">
      <c r="A108" s="121"/>
      <c r="B108" s="121"/>
      <c r="C108" s="121"/>
      <c r="D108" s="121"/>
      <c r="E108" s="3303"/>
      <c r="F108" s="3271"/>
      <c r="G108" s="1686" t="s">
        <v>1434</v>
      </c>
      <c r="H108" s="2339">
        <f ca="1">IF(H107=H101,H102,ROUND(H107*10000/'数据-汇总表'!E3,0))</f>
        <v>50673</v>
      </c>
      <c r="I108" s="121"/>
    </row>
    <row r="109" spans="1:35" ht="18.75" customHeight="1">
      <c r="A109" s="121"/>
      <c r="B109" s="121"/>
      <c r="C109" s="121"/>
      <c r="D109" s="121"/>
      <c r="E109" s="3303" t="str">
        <f>IF(项目基本情况!E8="已注销及未注销","4.抵押担保权已注销时的房地产抵押价值",IF(项目基本情况!E8="已注销","3.抵押担保权已注销时的房地产抵押价值","——"))</f>
        <v>——</v>
      </c>
      <c r="F109" s="3271"/>
      <c r="G109" s="1686" t="s">
        <v>1432</v>
      </c>
      <c r="H109" s="2382" t="str">
        <f>IF(E109="——","——",H101-H105-H106)</f>
        <v>——</v>
      </c>
      <c r="I109" s="121"/>
    </row>
    <row r="110" spans="1:35" ht="18.75" customHeight="1">
      <c r="A110" s="121"/>
      <c r="B110" s="121"/>
      <c r="C110" s="121"/>
      <c r="D110" s="121"/>
      <c r="E110" s="3303"/>
      <c r="F110" s="3271"/>
      <c r="G110" s="1686" t="s">
        <v>1434</v>
      </c>
      <c r="H110" s="2339" t="str">
        <f>IF(H109="——","——",ROUND(H109*10000/'数据-汇总表'!E3,0))</f>
        <v>——</v>
      </c>
      <c r="I110" s="121"/>
    </row>
    <row r="111" spans="1:35" ht="18.75" customHeight="1">
      <c r="A111" s="121"/>
      <c r="B111" s="121"/>
      <c r="C111" s="121"/>
      <c r="D111" s="121"/>
      <c r="E111" s="3304" t="str">
        <f>IF(项目基本情况!E9="抵押净值",IF(OR(项目基本情况!E8="已注销",项目基本情况!E8="房地产抵押价值"),"4.抵押净值","5.抵押净值"),"——")</f>
        <v>——</v>
      </c>
      <c r="F111" s="3290"/>
      <c r="G111" s="1686" t="s">
        <v>1432</v>
      </c>
      <c r="H111" s="2379" t="str">
        <f>IF(E111="——","——",N59)</f>
        <v>——</v>
      </c>
      <c r="I111" s="121"/>
    </row>
    <row r="112" spans="1:35" ht="18.75" customHeight="1" thickBot="1">
      <c r="A112" s="121"/>
      <c r="B112" s="121"/>
      <c r="C112" s="121"/>
      <c r="D112" s="121"/>
      <c r="E112" s="3305"/>
      <c r="F112" s="3306"/>
      <c r="G112" s="1689" t="s">
        <v>1434</v>
      </c>
      <c r="H112" s="2383" t="str">
        <f>IF(E111="——","——",N61)</f>
        <v>——</v>
      </c>
      <c r="I112" s="121"/>
    </row>
    <row r="113" spans="1:27" ht="18.75" customHeight="1">
      <c r="A113" s="121"/>
      <c r="B113" s="121"/>
      <c r="C113" s="121"/>
      <c r="D113" s="121"/>
      <c r="E113" s="3313" t="s">
        <v>1440</v>
      </c>
      <c r="F113" s="3313"/>
      <c r="G113" s="3313"/>
      <c r="H113" s="3313"/>
      <c r="I113" s="121"/>
    </row>
    <row r="114" spans="1:27" ht="3.75" customHeight="1">
      <c r="A114" s="646"/>
      <c r="B114" s="646"/>
      <c r="C114" s="646"/>
      <c r="D114" s="646"/>
      <c r="E114" s="1670"/>
      <c r="F114" s="1670"/>
      <c r="G114" s="1670"/>
      <c r="H114" s="1670"/>
      <c r="I114" s="646"/>
    </row>
    <row r="115" spans="1:27" ht="18.75" customHeight="1">
      <c r="A115" s="3321" t="s">
        <v>1442</v>
      </c>
      <c r="B115" s="3322"/>
      <c r="C115" s="3322"/>
      <c r="D115" s="3322"/>
      <c r="E115" s="3322"/>
      <c r="F115" s="3322"/>
      <c r="G115" s="3322"/>
      <c r="H115" s="3322"/>
      <c r="I115" s="3323"/>
    </row>
    <row r="116" spans="1:27" ht="27" customHeight="1">
      <c r="A116" s="3278" t="s">
        <v>1443</v>
      </c>
      <c r="B116" s="3282" t="s">
        <v>1444</v>
      </c>
      <c r="C116" s="3282" t="s">
        <v>1445</v>
      </c>
      <c r="D116" s="3288" t="s">
        <v>1446</v>
      </c>
      <c r="E116" s="3289"/>
      <c r="F116" s="3320" t="s">
        <v>1447</v>
      </c>
      <c r="G116" s="3320"/>
      <c r="H116" s="3278" t="s">
        <v>1448</v>
      </c>
      <c r="I116" s="3278"/>
    </row>
    <row r="117" spans="1:27" ht="18.75" customHeight="1">
      <c r="A117" s="3278"/>
      <c r="B117" s="3283"/>
      <c r="C117" s="3283"/>
      <c r="D117" s="2149" t="s">
        <v>1449</v>
      </c>
      <c r="E117" s="2149" t="s">
        <v>1450</v>
      </c>
      <c r="F117" s="2149" t="s">
        <v>1449</v>
      </c>
      <c r="G117" s="2149" t="s">
        <v>1451</v>
      </c>
      <c r="H117" s="2149" t="s">
        <v>1449</v>
      </c>
      <c r="I117" s="2149" t="s">
        <v>1451</v>
      </c>
    </row>
    <row r="118" spans="1:27" ht="24.75" customHeight="1">
      <c r="A118" s="2384" t="str">
        <f>项目基本情况!S2</f>
        <v>北京市石景山区八宝山南路重兴园6号楼房地产</v>
      </c>
      <c r="B118" s="2149">
        <f>M18</f>
        <v>105.06</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532</v>
      </c>
      <c r="I118" s="2149">
        <f ca="1">ROUND(IF(D32="楼面单价",C32,H118*10000/B118),0)</f>
        <v>50673</v>
      </c>
    </row>
    <row r="119" spans="1:27" ht="18.75" customHeight="1">
      <c r="A119" s="3278" t="s">
        <v>1452</v>
      </c>
      <c r="B119" s="3278"/>
      <c r="C119" s="3278"/>
      <c r="D119" s="3284" t="str">
        <f>NUMBERSTRING(INT(D118*10000),2)&amp;"元整"</f>
        <v>零元整</v>
      </c>
      <c r="E119" s="3285"/>
      <c r="F119" s="3284" t="str">
        <f>NUMBERSTRING(INT(F118*10000),2)&amp;"元整"</f>
        <v>零元整</v>
      </c>
      <c r="G119" s="3285"/>
      <c r="H119" s="3284" t="str">
        <f ca="1">NUMBERSTRING(INT(H118*10000),2)&amp;"元整"</f>
        <v>伍佰叁拾贰万元整</v>
      </c>
      <c r="I119" s="3285"/>
    </row>
    <row r="120" spans="1:27" ht="18.75" customHeight="1">
      <c r="A120" s="3279" t="str">
        <f>IF(项目基本情况!B9="房地产市场价值","",MID(E103,3,LEN(E103)-2))</f>
        <v>估价师知悉的法定优先受偿款</v>
      </c>
      <c r="B120" s="3280"/>
      <c r="C120" s="3281"/>
      <c r="D120" s="3279">
        <f>H103</f>
        <v>0</v>
      </c>
      <c r="E120" s="3280"/>
      <c r="F120" s="3280"/>
      <c r="G120" s="3280"/>
      <c r="H120" s="3280"/>
      <c r="I120" s="328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4" t="s">
        <v>1452</v>
      </c>
      <c r="B121" s="3286"/>
      <c r="C121" s="3285"/>
      <c r="D121" s="3284" t="str">
        <f>IF(D120=0,"零元整",NUMBERSTRING(INT(D120*10000),2)&amp;"元整")</f>
        <v>零元整</v>
      </c>
      <c r="E121" s="3286"/>
      <c r="F121" s="3286"/>
      <c r="G121" s="3286"/>
      <c r="H121" s="3286"/>
      <c r="I121" s="3285"/>
      <c r="AA121" s="684"/>
    </row>
    <row r="122" spans="1:27" ht="18.75" customHeight="1">
      <c r="A122" s="3290" t="str">
        <f>IF(项目基本情况!B9="房地产市场价值","",MID(E107,3,LEN(E107)-2))</f>
        <v>房地产抵押价值</v>
      </c>
      <c r="B122" s="3290"/>
      <c r="C122" s="3290"/>
      <c r="D122" s="3279">
        <f ca="1">H107</f>
        <v>532</v>
      </c>
      <c r="E122" s="3280"/>
      <c r="F122" s="3280"/>
      <c r="G122" s="3280"/>
      <c r="H122" s="3280"/>
      <c r="I122" s="3281"/>
      <c r="AA122" s="684"/>
    </row>
    <row r="123" spans="1:27" ht="18.75" customHeight="1">
      <c r="A123" s="3278" t="s">
        <v>1452</v>
      </c>
      <c r="B123" s="3278"/>
      <c r="C123" s="3278"/>
      <c r="D123" s="3284" t="str">
        <f ca="1">NUMBERSTRING(INT(D122*10000),2)&amp;"元整"</f>
        <v>伍佰叁拾贰万元整</v>
      </c>
      <c r="E123" s="3286"/>
      <c r="F123" s="3286"/>
      <c r="G123" s="3286"/>
      <c r="H123" s="3286"/>
      <c r="I123" s="3285"/>
      <c r="AA123" s="684"/>
    </row>
    <row r="124" spans="1:27" ht="18.75" customHeight="1">
      <c r="A124" s="3290" t="str">
        <f>IF(项目基本情况!B9="房地产市场价值","",MID(E109,3,LEN(E109)-2))</f>
        <v/>
      </c>
      <c r="B124" s="3290"/>
      <c r="C124" s="3290"/>
      <c r="D124" s="3279" t="str">
        <f>H109</f>
        <v>——</v>
      </c>
      <c r="E124" s="3280"/>
      <c r="F124" s="3280"/>
      <c r="G124" s="3280"/>
      <c r="H124" s="3280"/>
      <c r="I124" s="3281"/>
      <c r="AA124" s="684"/>
    </row>
    <row r="125" spans="1:27" ht="18.75" customHeight="1">
      <c r="A125" s="3278" t="s">
        <v>1452</v>
      </c>
      <c r="B125" s="3278"/>
      <c r="C125" s="3278"/>
      <c r="D125" s="3284" t="e">
        <f>NUMBERSTRING(INT(D124*10000),2)&amp;"元整"</f>
        <v>#VALUE!</v>
      </c>
      <c r="E125" s="3286"/>
      <c r="F125" s="3286"/>
      <c r="G125" s="3286"/>
      <c r="H125" s="3286"/>
      <c r="I125" s="3285"/>
      <c r="AA125" s="684"/>
    </row>
    <row r="126" spans="1:27" ht="18.75" customHeight="1">
      <c r="A126" s="3290" t="str">
        <f>IF(项目基本情况!B9="房地产市场价值","",MID(E111,3,LEN(E111)-2))</f>
        <v/>
      </c>
      <c r="B126" s="3290"/>
      <c r="C126" s="3290"/>
      <c r="D126" s="3279" t="str">
        <f>H111</f>
        <v>——</v>
      </c>
      <c r="E126" s="3280"/>
      <c r="F126" s="3280"/>
      <c r="G126" s="3280"/>
      <c r="H126" s="3280"/>
      <c r="I126" s="3281"/>
      <c r="AA126" s="684"/>
    </row>
    <row r="127" spans="1:27" ht="18.75" customHeight="1">
      <c r="A127" s="3278" t="s">
        <v>1452</v>
      </c>
      <c r="B127" s="3278"/>
      <c r="C127" s="3278"/>
      <c r="D127" s="3284" t="e">
        <f>NUMBERSTRING(INT(D126*10000),2)&amp;"元整"</f>
        <v>#VALUE!</v>
      </c>
      <c r="E127" s="3286"/>
      <c r="F127" s="3286"/>
      <c r="G127" s="3286"/>
      <c r="H127" s="3286"/>
      <c r="I127" s="3285"/>
      <c r="AA127" s="684"/>
    </row>
    <row r="128" spans="1:27" ht="21.75" customHeight="1">
      <c r="A128" s="3287" t="s">
        <v>1453</v>
      </c>
      <c r="B128" s="3287"/>
      <c r="C128" s="3287"/>
      <c r="D128" s="3287"/>
      <c r="E128" s="3287"/>
      <c r="F128" s="3287"/>
      <c r="G128" s="3287"/>
      <c r="H128" s="3287"/>
      <c r="I128" s="3287"/>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2">
        <f>MATCH(B1,'数据-取费表'!A6:A16,0)+5</f>
        <v>7</v>
      </c>
    </row>
    <row r="2" spans="1:9" s="192" customFormat="1" ht="18" customHeight="1">
      <c r="A2" s="193" t="s">
        <v>1462</v>
      </c>
      <c r="B2" s="194">
        <f ca="1">IF(D2="——",C52,C52-E2)</f>
        <v>30</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2856</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2</v>
      </c>
      <c r="D9" s="795">
        <f ca="1">IF(B1="",'数据-汇总表'!E5,IF(INDIRECT("'数据-取费表'!c"&amp;$G$1)="住宅",INDIRECT("'数据-取费表'!k"&amp;$G$1),0))</f>
        <v>105.06</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105.06</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0.02</v>
      </c>
      <c r="G36" s="252" t="s">
        <v>1530</v>
      </c>
    </row>
    <row r="37" spans="1:7" s="250" customFormat="1" ht="13.5" customHeight="1">
      <c r="A37" s="734" t="s">
        <v>353</v>
      </c>
      <c r="B37" s="207" t="s">
        <v>1531</v>
      </c>
      <c r="C37" s="241">
        <f ca="1">ROUND(E37*D37*F34/10000,0)</f>
        <v>2</v>
      </c>
      <c r="D37" s="209">
        <f ca="1">D19</f>
        <v>105.06</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7" t="s">
        <v>1544</v>
      </c>
    </row>
    <row r="43" spans="1:7" ht="13.5" customHeight="1">
      <c r="A43" s="734" t="s">
        <v>347</v>
      </c>
      <c r="B43" s="207" t="s">
        <v>1545</v>
      </c>
      <c r="C43" s="230">
        <f ca="1">ROUND(IF('数据-取费表'!B22&lt;=1,C39*F22*'数据-取费表'!B21/2,C39*(POWER((1+F22),'数据-取费表'!B21/2)-1)),0)</f>
        <v>0</v>
      </c>
      <c r="D43" s="230"/>
      <c r="E43" s="230"/>
      <c r="F43" s="231"/>
      <c r="G43" s="3358"/>
    </row>
    <row r="44" spans="1:7" ht="13.5" customHeight="1">
      <c r="A44" s="734" t="s">
        <v>348</v>
      </c>
      <c r="B44" s="207" t="s">
        <v>1546</v>
      </c>
      <c r="C44" s="230">
        <f ca="1">ROUND(IF('数据-取费表'!B22&lt;=1,C40*F22*'数据-取费表'!B21/2,C40*(POWER((1+F22),'数据-取费表'!B21/2)-1)),4)</f>
        <v>5.9999999999999995E-4</v>
      </c>
      <c r="D44" s="230"/>
      <c r="E44" s="230"/>
      <c r="F44" s="231"/>
      <c r="G44" s="3359"/>
    </row>
    <row r="45" spans="1:7" s="206" customFormat="1" ht="13.5" customHeight="1">
      <c r="A45" s="247" t="s">
        <v>1547</v>
      </c>
      <c r="B45" s="236" t="s">
        <v>1513</v>
      </c>
      <c r="C45" s="237">
        <f ca="1">C46</f>
        <v>3</v>
      </c>
      <c r="D45" s="227">
        <f ca="1">C47</f>
        <v>2E-3</v>
      </c>
      <c r="E45" s="228" t="s">
        <v>1539</v>
      </c>
      <c r="F45" s="238">
        <f ca="1">F27</f>
        <v>0.1</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39</v>
      </c>
      <c r="D49" s="224"/>
      <c r="E49" s="224"/>
      <c r="F49" s="256"/>
      <c r="G49" s="226" t="s">
        <v>1554</v>
      </c>
    </row>
    <row r="50" spans="1:7" s="250" customFormat="1" ht="24">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28</v>
      </c>
      <c r="D51" s="224"/>
      <c r="E51" s="224"/>
      <c r="F51" s="256"/>
      <c r="G51" s="226" t="s">
        <v>1560</v>
      </c>
    </row>
    <row r="52" spans="1:7" s="200" customFormat="1" ht="16.8" thickBot="1">
      <c r="A52" s="257" t="s">
        <v>1561</v>
      </c>
      <c r="B52" s="258"/>
      <c r="C52" s="259">
        <f ca="1">C31+C51</f>
        <v>30</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3" t="str">
        <f>项目基本情况!B1</f>
        <v>北京市石景山区八宝山南路重兴园6号楼房地产抵押价值预评估</v>
      </c>
      <c r="C37" s="3173"/>
      <c r="D37" s="3173"/>
      <c r="E37" s="3173"/>
      <c r="F37" s="3173"/>
      <c r="G37" s="3173"/>
      <c r="H37" s="3173"/>
      <c r="I37" s="3173"/>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70" zoomScaleNormal="60" zoomScaleSheetLayoutView="70" workbookViewId="0">
      <selection activeCell="H66" sqref="C66: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t="s">
        <v>3425</v>
      </c>
      <c r="E1" s="3122" t="s">
        <v>3482</v>
      </c>
      <c r="F1" s="1734" t="s">
        <v>3483</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507.9126</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48345</v>
      </c>
      <c r="C3" s="344" t="s">
        <v>1665</v>
      </c>
      <c r="D3" s="343">
        <f>IF(D1="",'数据-汇总表'!E3,SUMIF('数据-汇总表'!$C19:$C33,D1,'数据-汇总表'!$E19:$E33))</f>
        <v>105.06</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4.4">
      <c r="A4" s="345" t="s">
        <v>1666</v>
      </c>
      <c r="B4" s="346"/>
      <c r="C4" s="3378" t="s">
        <v>1667</v>
      </c>
      <c r="D4" s="3379"/>
      <c r="E4" s="3380" t="s">
        <v>1668</v>
      </c>
      <c r="F4" s="3381"/>
      <c r="G4" s="3378" t="s">
        <v>1669</v>
      </c>
      <c r="H4" s="3379"/>
      <c r="I4" s="3378" t="s">
        <v>1670</v>
      </c>
      <c r="J4" s="3379"/>
      <c r="K4" s="1743" t="s">
        <v>1671</v>
      </c>
      <c r="L4" s="2484"/>
      <c r="M4" s="2485"/>
      <c r="N4" s="2485"/>
      <c r="O4" s="2485"/>
      <c r="P4" s="3382" t="s">
        <v>1672</v>
      </c>
      <c r="Q4" s="3383"/>
      <c r="R4" s="3365" t="s">
        <v>1668</v>
      </c>
      <c r="S4" s="3366"/>
      <c r="T4" s="3365" t="s">
        <v>1669</v>
      </c>
      <c r="U4" s="3366"/>
      <c r="V4" s="3390" t="s">
        <v>1670</v>
      </c>
      <c r="W4" s="3390"/>
      <c r="X4" s="1264"/>
      <c r="Y4" s="3365" t="s">
        <v>1672</v>
      </c>
      <c r="Z4" s="3366"/>
      <c r="AA4" s="3360" t="s">
        <v>1668</v>
      </c>
      <c r="AB4" s="3360" t="s">
        <v>1669</v>
      </c>
      <c r="AC4" s="3360" t="s">
        <v>1670</v>
      </c>
    </row>
    <row r="5" spans="1:29" ht="13.8" customHeight="1">
      <c r="A5" s="348"/>
      <c r="B5" s="349"/>
      <c r="C5" s="3371" t="s">
        <v>1673</v>
      </c>
      <c r="D5" s="3372"/>
      <c r="E5" s="3369" t="str">
        <f>住宅成交案例!B2</f>
        <v>5号楼8层1单元801号</v>
      </c>
      <c r="F5" s="3370"/>
      <c r="G5" s="3369" t="str">
        <f>住宅成交案例!B3</f>
        <v>5号楼9层5单元901号</v>
      </c>
      <c r="H5" s="3370"/>
      <c r="I5" s="3369" t="str">
        <f>住宅成交案例!B4</f>
        <v>9号楼14层2单元1403号</v>
      </c>
      <c r="J5" s="3370"/>
      <c r="K5" s="1744"/>
      <c r="L5" s="2484"/>
      <c r="M5" s="2485"/>
      <c r="N5" s="2485"/>
      <c r="O5" s="2485"/>
      <c r="P5" s="3384"/>
      <c r="Q5" s="3385"/>
      <c r="R5" s="3367"/>
      <c r="S5" s="3368"/>
      <c r="T5" s="3367"/>
      <c r="U5" s="3368"/>
      <c r="V5" s="3390"/>
      <c r="W5" s="3390"/>
      <c r="X5" s="1264"/>
      <c r="Y5" s="3367"/>
      <c r="Z5" s="3368"/>
      <c r="AA5" s="3361"/>
      <c r="AB5" s="3361"/>
      <c r="AC5" s="3361"/>
    </row>
    <row r="6" spans="1:29" ht="15" thickBot="1">
      <c r="A6" s="350"/>
      <c r="B6" s="351"/>
      <c r="C6" s="3373" t="s">
        <v>1677</v>
      </c>
      <c r="D6" s="3374"/>
      <c r="E6" s="3375" t="s">
        <v>1677</v>
      </c>
      <c r="F6" s="3376"/>
      <c r="G6" s="3373" t="s">
        <v>1677</v>
      </c>
      <c r="H6" s="3374"/>
      <c r="I6" s="3373" t="s">
        <v>1677</v>
      </c>
      <c r="J6" s="3374"/>
      <c r="K6" s="1744" t="s">
        <v>1678</v>
      </c>
      <c r="L6" s="2484"/>
      <c r="M6" s="2485"/>
      <c r="N6" s="2485"/>
      <c r="O6" s="2485"/>
      <c r="P6" s="3386"/>
      <c r="Q6" s="3387"/>
      <c r="R6" s="3367"/>
      <c r="S6" s="3368"/>
      <c r="T6" s="3388"/>
      <c r="U6" s="3389"/>
      <c r="V6" s="3390"/>
      <c r="W6" s="3390"/>
      <c r="X6" s="1264"/>
      <c r="Y6" s="3388"/>
      <c r="Z6" s="3389"/>
      <c r="AA6" s="3362"/>
      <c r="AB6" s="3362"/>
      <c r="AC6" s="3362"/>
    </row>
    <row r="7" spans="1:29" s="102" customFormat="1" ht="15" thickBot="1">
      <c r="A7" s="352" t="s">
        <v>1679</v>
      </c>
      <c r="B7" s="353"/>
      <c r="C7" s="354">
        <f>'数据-取费表'!B2</f>
        <v>45727</v>
      </c>
      <c r="D7" s="355">
        <v>100</v>
      </c>
      <c r="E7" s="356">
        <f>住宅成交案例!H2</f>
        <v>45666</v>
      </c>
      <c r="F7" s="357">
        <f>SUMIF(58:58,YEAR(E7)&amp;"-"&amp;MONTH(E7),59:59)</f>
        <v>100</v>
      </c>
      <c r="G7" s="356">
        <f>住宅成交案例!H3</f>
        <v>45643</v>
      </c>
      <c r="H7" s="355">
        <f>SUMIF(58:58,YEAR(G7)&amp;"-"&amp;MONTH(G7),59:59)</f>
        <v>100</v>
      </c>
      <c r="I7" s="356">
        <f>住宅成交案例!H4</f>
        <v>45510</v>
      </c>
      <c r="J7" s="355">
        <f>SUMIF(58:58,YEAR(I7)&amp;"-"&amp;MONTH(I7),59:59)</f>
        <v>100</v>
      </c>
      <c r="K7" s="1745"/>
      <c r="L7" s="2486"/>
      <c r="M7" s="2438"/>
      <c r="N7" s="2438"/>
      <c r="O7" s="2438"/>
      <c r="P7" s="3363" t="s">
        <v>1680</v>
      </c>
      <c r="Q7" s="3391"/>
      <c r="R7" s="664" t="s">
        <v>20</v>
      </c>
      <c r="S7" s="665">
        <f t="shared" ref="S7:S15" si="0">F7</f>
        <v>100</v>
      </c>
      <c r="T7" s="664" t="s">
        <v>20</v>
      </c>
      <c r="U7" s="665">
        <f t="shared" ref="U7:U15" si="1">H7</f>
        <v>100</v>
      </c>
      <c r="V7" s="664" t="s">
        <v>20</v>
      </c>
      <c r="W7" s="665">
        <f t="shared" ref="W7:W15" si="2">J7</f>
        <v>100</v>
      </c>
      <c r="X7" s="666"/>
      <c r="Y7" s="3363" t="s">
        <v>1680</v>
      </c>
      <c r="Z7" s="3364"/>
      <c r="AA7" s="50">
        <f>D7/F7</f>
        <v>1</v>
      </c>
      <c r="AB7" s="50">
        <f>D7/H7</f>
        <v>1</v>
      </c>
      <c r="AC7" s="50">
        <f>D7/J7</f>
        <v>1</v>
      </c>
    </row>
    <row r="8" spans="1:29" s="102" customFormat="1" ht="15" thickBot="1">
      <c r="A8" s="352" t="s">
        <v>1681</v>
      </c>
      <c r="B8" s="353"/>
      <c r="C8" s="358" t="s">
        <v>3484</v>
      </c>
      <c r="D8" s="355">
        <v>100</v>
      </c>
      <c r="E8" s="1746" t="s">
        <v>3484</v>
      </c>
      <c r="F8" s="357">
        <f>SUMIF(61:61,E8,62:62)-SUMIF(61:61,C8,62:62)+100</f>
        <v>100</v>
      </c>
      <c r="G8" s="358" t="s">
        <v>3484</v>
      </c>
      <c r="H8" s="355">
        <f>SUMIF(61:61,G8,62:62)-SUMIF(61:61,C8,62:62)+100</f>
        <v>100</v>
      </c>
      <c r="I8" s="1746" t="s">
        <v>3484</v>
      </c>
      <c r="J8" s="355">
        <f>SUMIF(61:61,I8,62:62)-SUMIF(61:61,C8,62:62)+100</f>
        <v>100</v>
      </c>
      <c r="K8" s="1745"/>
      <c r="L8" s="2486"/>
      <c r="M8" s="2438"/>
      <c r="N8" s="2438"/>
      <c r="O8" s="2438"/>
      <c r="P8" s="3363" t="s">
        <v>1683</v>
      </c>
      <c r="Q8" s="3364"/>
      <c r="R8" s="664" t="s">
        <v>20</v>
      </c>
      <c r="S8" s="665">
        <f t="shared" si="0"/>
        <v>100</v>
      </c>
      <c r="T8" s="664" t="s">
        <v>20</v>
      </c>
      <c r="U8" s="665">
        <f t="shared" si="1"/>
        <v>100</v>
      </c>
      <c r="V8" s="664" t="s">
        <v>20</v>
      </c>
      <c r="W8" s="665">
        <f t="shared" si="2"/>
        <v>100</v>
      </c>
      <c r="X8" s="666"/>
      <c r="Y8" s="3363" t="s">
        <v>1683</v>
      </c>
      <c r="Z8" s="3364"/>
      <c r="AA8" s="50">
        <f t="shared" ref="AA8:AA19" si="3">D8/F8</f>
        <v>1</v>
      </c>
      <c r="AB8" s="50">
        <f t="shared" ref="AB8:AB19" si="4">D8/H8</f>
        <v>1</v>
      </c>
      <c r="AC8" s="50">
        <f t="shared" ref="AC8:AC19" si="5">D8/J8</f>
        <v>1</v>
      </c>
    </row>
    <row r="9" spans="1:29" s="102" customFormat="1" ht="14.4">
      <c r="A9" s="359" t="s">
        <v>1684</v>
      </c>
      <c r="B9" s="60" t="s">
        <v>1685</v>
      </c>
      <c r="C9" s="3167" t="s">
        <v>3485</v>
      </c>
      <c r="D9" s="59">
        <v>100</v>
      </c>
      <c r="E9" s="361" t="s">
        <v>3424</v>
      </c>
      <c r="F9" s="60">
        <f>SUMIF(63:63,E9,64:64)-SUMIF(63:63,C9,64:64)+100</f>
        <v>100</v>
      </c>
      <c r="G9" s="362" t="s">
        <v>3424</v>
      </c>
      <c r="H9" s="59">
        <f>SUMIF(63:63,G9,64:64)-SUMIF(63:63,C9,64:64)+100</f>
        <v>100</v>
      </c>
      <c r="I9" s="362" t="s">
        <v>3424</v>
      </c>
      <c r="J9" s="59">
        <f>SUMIF(63:63,I9,64:64)-SUMIF(63:63,C9,64:64)+100</f>
        <v>100</v>
      </c>
      <c r="K9" s="1745"/>
      <c r="L9" s="2486"/>
      <c r="M9" s="2438"/>
      <c r="N9" s="2438"/>
      <c r="O9" s="2438"/>
      <c r="P9" s="3377"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8.8">
      <c r="A10" s="363"/>
      <c r="B10" s="364" t="s">
        <v>1688</v>
      </c>
      <c r="C10" s="3130" t="s">
        <v>3559</v>
      </c>
      <c r="D10" s="119">
        <v>100</v>
      </c>
      <c r="E10" s="3130" t="s">
        <v>3559</v>
      </c>
      <c r="F10" s="364">
        <f>SUMIF(65:65,E10,66:66)-SUMIF(65:65,C10,66:66)+100</f>
        <v>100</v>
      </c>
      <c r="G10" s="3130" t="s">
        <v>3559</v>
      </c>
      <c r="H10" s="119">
        <f>SUMIF(65:65,G10,66:66)-SUMIF(65:65,C10,66:66)+100</f>
        <v>100</v>
      </c>
      <c r="I10" s="3130" t="s">
        <v>3559</v>
      </c>
      <c r="J10" s="119">
        <f>SUMIF(65:65,I10,66:66)-SUMIF(65:65,C10,66:66)+100</f>
        <v>100</v>
      </c>
      <c r="K10" s="1745"/>
      <c r="L10" s="2487"/>
      <c r="M10" s="2488"/>
      <c r="N10" s="2488"/>
      <c r="O10" s="2488"/>
      <c r="P10" s="3377"/>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377"/>
      <c r="Q11" s="530" t="str">
        <f t="shared" si="6"/>
        <v>容积率</v>
      </c>
      <c r="R11" s="664" t="s">
        <v>18</v>
      </c>
      <c r="S11" s="665">
        <f t="shared" si="0"/>
        <v>100</v>
      </c>
      <c r="T11" s="664" t="s">
        <v>18</v>
      </c>
      <c r="U11" s="665">
        <f t="shared" si="1"/>
        <v>100</v>
      </c>
      <c r="V11" s="664" t="s">
        <v>18</v>
      </c>
      <c r="W11" s="665">
        <f t="shared" si="2"/>
        <v>100</v>
      </c>
      <c r="X11" s="666"/>
      <c r="Y11" s="3333"/>
      <c r="Z11" s="50" t="str">
        <f t="shared" si="7"/>
        <v>容积率</v>
      </c>
      <c r="AA11" s="50">
        <f t="shared" si="3"/>
        <v>1</v>
      </c>
      <c r="AB11" s="50">
        <f t="shared" si="4"/>
        <v>1</v>
      </c>
      <c r="AC11" s="50">
        <f t="shared" si="5"/>
        <v>1</v>
      </c>
    </row>
    <row r="12" spans="1:29" s="102" customFormat="1" ht="15">
      <c r="A12" s="370"/>
      <c r="B12" s="447">
        <v>111</v>
      </c>
      <c r="C12" s="371" t="s">
        <v>3558</v>
      </c>
      <c r="D12" s="372">
        <v>100</v>
      </c>
      <c r="E12" s="371"/>
      <c r="F12" s="364">
        <f>SUMIF(70:70,E12,71:71)-SUMIF(70:70,C12,71:71)+100</f>
        <v>100</v>
      </c>
      <c r="G12" s="371"/>
      <c r="H12" s="119">
        <f>SUMIF(70:70,G12,71:71)-SUMIF(70:70,C12,71:71)+100</f>
        <v>100</v>
      </c>
      <c r="I12" s="371"/>
      <c r="J12" s="119">
        <f>SUMIF(70:70,I12,71:71)-SUMIF(70:70,C12,71:71)+100</f>
        <v>100</v>
      </c>
      <c r="K12" s="1747"/>
      <c r="L12" s="2486"/>
      <c r="M12" s="2438"/>
      <c r="N12" s="2438"/>
      <c r="O12" s="2438"/>
      <c r="P12" s="3377"/>
      <c r="Q12" s="530">
        <f t="shared" si="6"/>
        <v>111</v>
      </c>
      <c r="R12" s="664" t="s">
        <v>18</v>
      </c>
      <c r="S12" s="665">
        <f t="shared" si="0"/>
        <v>100</v>
      </c>
      <c r="T12" s="664" t="s">
        <v>18</v>
      </c>
      <c r="U12" s="665">
        <f t="shared" si="1"/>
        <v>100</v>
      </c>
      <c r="V12" s="664" t="s">
        <v>18</v>
      </c>
      <c r="W12" s="665">
        <f t="shared" si="2"/>
        <v>100</v>
      </c>
      <c r="X12" s="666"/>
      <c r="Y12" s="333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377"/>
      <c r="Q13" s="530">
        <f t="shared" si="6"/>
        <v>111</v>
      </c>
      <c r="R13" s="664" t="s">
        <v>18</v>
      </c>
      <c r="S13" s="665">
        <f t="shared" si="0"/>
        <v>100</v>
      </c>
      <c r="T13" s="664" t="s">
        <v>18</v>
      </c>
      <c r="U13" s="665">
        <f t="shared" si="1"/>
        <v>100</v>
      </c>
      <c r="V13" s="664" t="s">
        <v>18</v>
      </c>
      <c r="W13" s="665">
        <f t="shared" si="2"/>
        <v>100</v>
      </c>
      <c r="X13" s="666"/>
      <c r="Y13" s="3333"/>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377"/>
      <c r="Q14" s="530">
        <f t="shared" si="6"/>
        <v>111</v>
      </c>
      <c r="R14" s="664" t="s">
        <v>18</v>
      </c>
      <c r="S14" s="665">
        <f t="shared" si="0"/>
        <v>100</v>
      </c>
      <c r="T14" s="664" t="s">
        <v>18</v>
      </c>
      <c r="U14" s="665">
        <f t="shared" si="1"/>
        <v>100</v>
      </c>
      <c r="V14" s="664" t="s">
        <v>18</v>
      </c>
      <c r="W14" s="665">
        <f t="shared" si="2"/>
        <v>100</v>
      </c>
      <c r="X14" s="666"/>
      <c r="Y14" s="3333"/>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03" t="s">
        <v>1691</v>
      </c>
      <c r="Q15" s="1262" t="str">
        <f t="shared" si="6"/>
        <v>居住社区成熟度</v>
      </c>
      <c r="R15" s="667" t="s">
        <v>18</v>
      </c>
      <c r="S15" s="668">
        <f t="shared" si="0"/>
        <v>100</v>
      </c>
      <c r="T15" s="667" t="s">
        <v>18</v>
      </c>
      <c r="U15" s="668">
        <f t="shared" si="1"/>
        <v>100</v>
      </c>
      <c r="V15" s="667" t="s">
        <v>18</v>
      </c>
      <c r="W15" s="668">
        <f t="shared" si="2"/>
        <v>100</v>
      </c>
      <c r="X15" s="1264"/>
      <c r="Y15" s="3396"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0"/>
      <c r="M16" s="2485"/>
      <c r="N16" s="2485"/>
      <c r="O16" s="2485"/>
      <c r="P16" s="3404"/>
      <c r="Q16" s="1262"/>
      <c r="R16" s="667"/>
      <c r="S16" s="668"/>
      <c r="T16" s="667"/>
      <c r="U16" s="668"/>
      <c r="V16" s="667"/>
      <c r="W16" s="668"/>
      <c r="X16" s="1264"/>
      <c r="Y16" s="3397"/>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04"/>
      <c r="Q17" s="1262" t="str">
        <f>B17</f>
        <v>交通便捷度</v>
      </c>
      <c r="R17" s="667" t="s">
        <v>18</v>
      </c>
      <c r="S17" s="668">
        <f>F17</f>
        <v>100</v>
      </c>
      <c r="T17" s="667" t="s">
        <v>18</v>
      </c>
      <c r="U17" s="668">
        <f>H17</f>
        <v>100</v>
      </c>
      <c r="V17" s="667" t="s">
        <v>18</v>
      </c>
      <c r="W17" s="668">
        <f>J17</f>
        <v>100</v>
      </c>
      <c r="X17" s="1264"/>
      <c r="Y17" s="3397"/>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0"/>
      <c r="M18" s="2485"/>
      <c r="N18" s="2485"/>
      <c r="O18" s="2485"/>
      <c r="P18" s="3404"/>
      <c r="Q18" s="1262"/>
      <c r="R18" s="667"/>
      <c r="S18" s="668"/>
      <c r="T18" s="667"/>
      <c r="U18" s="668"/>
      <c r="V18" s="667"/>
      <c r="W18" s="668"/>
      <c r="X18" s="1264"/>
      <c r="Y18" s="3397"/>
      <c r="Z18" s="1263"/>
      <c r="AA18" s="1263">
        <v>1</v>
      </c>
      <c r="AB18" s="1263">
        <v>1</v>
      </c>
      <c r="AC18" s="1263">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04"/>
      <c r="Q19" s="1262" t="str">
        <f>B19</f>
        <v>公共配套设施</v>
      </c>
      <c r="R19" s="667" t="s">
        <v>18</v>
      </c>
      <c r="S19" s="668">
        <f>F19</f>
        <v>100</v>
      </c>
      <c r="T19" s="667" t="s">
        <v>18</v>
      </c>
      <c r="U19" s="668">
        <f>H19</f>
        <v>100</v>
      </c>
      <c r="V19" s="667" t="s">
        <v>18</v>
      </c>
      <c r="W19" s="668">
        <f>J19</f>
        <v>100</v>
      </c>
      <c r="X19" s="1264"/>
      <c r="Y19" s="3397"/>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0"/>
      <c r="M20" s="2485"/>
      <c r="N20" s="2485"/>
      <c r="O20" s="2485"/>
      <c r="P20" s="3404"/>
      <c r="Q20" s="1262"/>
      <c r="R20" s="667"/>
      <c r="S20" s="668"/>
      <c r="T20" s="667"/>
      <c r="U20" s="668"/>
      <c r="V20" s="667"/>
      <c r="W20" s="668"/>
      <c r="X20" s="1264"/>
      <c r="Y20" s="3397"/>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04"/>
      <c r="Q21" s="1262" t="str">
        <f>B21</f>
        <v>基础设施水平</v>
      </c>
      <c r="R21" s="667" t="s">
        <v>14</v>
      </c>
      <c r="S21" s="668">
        <f>F21</f>
        <v>100</v>
      </c>
      <c r="T21" s="667" t="s">
        <v>14</v>
      </c>
      <c r="U21" s="668">
        <f>H21</f>
        <v>100</v>
      </c>
      <c r="V21" s="667" t="s">
        <v>14</v>
      </c>
      <c r="W21" s="668">
        <f>J21</f>
        <v>100</v>
      </c>
      <c r="X21" s="1264"/>
      <c r="Y21" s="339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0"/>
      <c r="M22" s="2485"/>
      <c r="N22" s="2485"/>
      <c r="O22" s="2485"/>
      <c r="P22" s="3404"/>
      <c r="Q22" s="1262"/>
      <c r="R22" s="667"/>
      <c r="S22" s="668"/>
      <c r="T22" s="667"/>
      <c r="U22" s="668"/>
      <c r="V22" s="667"/>
      <c r="W22" s="668"/>
      <c r="X22" s="1264"/>
      <c r="Y22" s="3397"/>
      <c r="Z22" s="1263"/>
      <c r="AA22" s="1263">
        <v>1</v>
      </c>
      <c r="AB22" s="1263">
        <v>1</v>
      </c>
      <c r="AC22" s="1263">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04"/>
      <c r="Q23" s="1262" t="str">
        <f>B23</f>
        <v>自然及人文环境</v>
      </c>
      <c r="R23" s="667" t="s">
        <v>18</v>
      </c>
      <c r="S23" s="668">
        <f>F23</f>
        <v>100</v>
      </c>
      <c r="T23" s="667" t="s">
        <v>18</v>
      </c>
      <c r="U23" s="668">
        <f>H23</f>
        <v>100</v>
      </c>
      <c r="V23" s="667" t="s">
        <v>18</v>
      </c>
      <c r="W23" s="668">
        <f>J23</f>
        <v>100</v>
      </c>
      <c r="X23" s="1264"/>
      <c r="Y23" s="3397"/>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0"/>
      <c r="M24" s="2485"/>
      <c r="N24" s="2485"/>
      <c r="O24" s="2485"/>
      <c r="P24" s="3404"/>
      <c r="Q24" s="1262"/>
      <c r="R24" s="667"/>
      <c r="S24" s="668"/>
      <c r="T24" s="667"/>
      <c r="U24" s="668"/>
      <c r="V24" s="667"/>
      <c r="W24" s="668"/>
      <c r="X24" s="1264"/>
      <c r="Y24" s="3397"/>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04"/>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97"/>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0"/>
      <c r="M26" s="2485"/>
      <c r="N26" s="2485"/>
      <c r="O26" s="2485"/>
      <c r="P26" s="3404"/>
      <c r="Q26" s="1262" t="str">
        <f t="shared" si="11"/>
        <v>朝向</v>
      </c>
      <c r="R26" s="667" t="s">
        <v>18</v>
      </c>
      <c r="S26" s="668">
        <f t="shared" si="12"/>
        <v>100</v>
      </c>
      <c r="T26" s="667" t="s">
        <v>18</v>
      </c>
      <c r="U26" s="668">
        <f t="shared" si="13"/>
        <v>100</v>
      </c>
      <c r="V26" s="667" t="s">
        <v>18</v>
      </c>
      <c r="W26" s="668">
        <f t="shared" si="14"/>
        <v>100</v>
      </c>
      <c r="X26" s="1264"/>
      <c r="Y26" s="3397"/>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6"/>
      <c r="M27" s="2438"/>
      <c r="N27" s="2438"/>
      <c r="O27" s="2438"/>
      <c r="P27" s="3404"/>
      <c r="Q27" s="530">
        <f t="shared" si="11"/>
        <v>111</v>
      </c>
      <c r="R27" s="664" t="s">
        <v>18</v>
      </c>
      <c r="S27" s="665">
        <f t="shared" si="12"/>
        <v>100</v>
      </c>
      <c r="T27" s="664" t="s">
        <v>18</v>
      </c>
      <c r="U27" s="665">
        <f t="shared" si="13"/>
        <v>100</v>
      </c>
      <c r="V27" s="664" t="s">
        <v>18</v>
      </c>
      <c r="W27" s="665">
        <f t="shared" si="14"/>
        <v>100</v>
      </c>
      <c r="X27" s="666"/>
      <c r="Y27" s="3397"/>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404"/>
      <c r="Q28" s="1262">
        <f t="shared" si="11"/>
        <v>111</v>
      </c>
      <c r="R28" s="667" t="s">
        <v>18</v>
      </c>
      <c r="S28" s="668">
        <f t="shared" si="12"/>
        <v>100</v>
      </c>
      <c r="T28" s="667" t="s">
        <v>18</v>
      </c>
      <c r="U28" s="668">
        <f t="shared" si="13"/>
        <v>100</v>
      </c>
      <c r="V28" s="667" t="s">
        <v>18</v>
      </c>
      <c r="W28" s="668">
        <f t="shared" si="14"/>
        <v>100</v>
      </c>
      <c r="X28" s="1264"/>
      <c r="Y28" s="3397"/>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04"/>
      <c r="Q29" s="1262">
        <f t="shared" si="11"/>
        <v>111</v>
      </c>
      <c r="R29" s="667" t="s">
        <v>18</v>
      </c>
      <c r="S29" s="668">
        <f t="shared" si="12"/>
        <v>100</v>
      </c>
      <c r="T29" s="667" t="s">
        <v>18</v>
      </c>
      <c r="U29" s="668">
        <f t="shared" si="13"/>
        <v>100</v>
      </c>
      <c r="V29" s="667" t="s">
        <v>18</v>
      </c>
      <c r="W29" s="668">
        <f t="shared" si="14"/>
        <v>100</v>
      </c>
      <c r="X29" s="1264"/>
      <c r="Y29" s="3397"/>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04"/>
      <c r="Q30" s="1262">
        <f t="shared" si="11"/>
        <v>111</v>
      </c>
      <c r="R30" s="667" t="s">
        <v>18</v>
      </c>
      <c r="S30" s="668">
        <f t="shared" si="12"/>
        <v>100</v>
      </c>
      <c r="T30" s="667" t="s">
        <v>18</v>
      </c>
      <c r="U30" s="668">
        <f t="shared" si="13"/>
        <v>100</v>
      </c>
      <c r="V30" s="667" t="s">
        <v>18</v>
      </c>
      <c r="W30" s="668">
        <f t="shared" si="14"/>
        <v>100</v>
      </c>
      <c r="X30" s="1264"/>
      <c r="Y30" s="3397"/>
      <c r="Z30" s="1263">
        <f t="shared" si="18"/>
        <v>111</v>
      </c>
      <c r="AA30" s="1263">
        <f t="shared" si="15"/>
        <v>1</v>
      </c>
      <c r="AB30" s="1263">
        <f t="shared" si="16"/>
        <v>1</v>
      </c>
      <c r="AC30" s="1263">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04"/>
      <c r="Q31" s="1262">
        <f t="shared" si="11"/>
        <v>111</v>
      </c>
      <c r="R31" s="667" t="s">
        <v>18</v>
      </c>
      <c r="S31" s="668">
        <f t="shared" si="12"/>
        <v>100</v>
      </c>
      <c r="T31" s="667" t="s">
        <v>18</v>
      </c>
      <c r="U31" s="668">
        <f t="shared" si="13"/>
        <v>100</v>
      </c>
      <c r="V31" s="667" t="s">
        <v>18</v>
      </c>
      <c r="W31" s="668">
        <f t="shared" si="14"/>
        <v>100</v>
      </c>
      <c r="X31" s="1264"/>
      <c r="Y31" s="3397"/>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0"/>
      <c r="M32" s="2485"/>
      <c r="N32" s="2485"/>
      <c r="O32" s="2485"/>
      <c r="P32" s="3398" t="s">
        <v>1696</v>
      </c>
      <c r="Q32" s="1262" t="str">
        <f t="shared" si="11"/>
        <v>建筑类型</v>
      </c>
      <c r="R32" s="667" t="s">
        <v>18</v>
      </c>
      <c r="S32" s="668">
        <f t="shared" si="12"/>
        <v>100</v>
      </c>
      <c r="T32" s="667" t="s">
        <v>18</v>
      </c>
      <c r="U32" s="668">
        <f t="shared" si="13"/>
        <v>100</v>
      </c>
      <c r="V32" s="667" t="s">
        <v>18</v>
      </c>
      <c r="W32" s="668">
        <f t="shared" si="14"/>
        <v>100</v>
      </c>
      <c r="X32" s="1264"/>
      <c r="Y32" s="3401" t="s">
        <v>1696</v>
      </c>
      <c r="Z32" s="1263" t="str">
        <f t="shared" si="18"/>
        <v>建筑类型</v>
      </c>
      <c r="AA32" s="1263">
        <f t="shared" si="15"/>
        <v>1</v>
      </c>
      <c r="AB32" s="1263">
        <f t="shared" si="16"/>
        <v>1</v>
      </c>
      <c r="AC32" s="1263">
        <f t="shared" si="17"/>
        <v>1</v>
      </c>
    </row>
    <row r="33" spans="1:29" s="408" customFormat="1" ht="15">
      <c r="A33" s="406"/>
      <c r="B33" s="364" t="s">
        <v>1697</v>
      </c>
      <c r="C33" s="407">
        <f>'数据-汇总表'!E19</f>
        <v>105.06</v>
      </c>
      <c r="D33" s="119">
        <v>100</v>
      </c>
      <c r="E33" s="369">
        <f>住宅成交案例!G2</f>
        <v>99.75</v>
      </c>
      <c r="F33" s="364">
        <f>LOOKUP(E33,103:103,104:104)-LOOKUP(C33,103:103,104:104)+100</f>
        <v>101</v>
      </c>
      <c r="G33" s="368">
        <f>住宅成交案例!G3</f>
        <v>98.87</v>
      </c>
      <c r="H33" s="119">
        <f>LOOKUP(G33,103:103,104:104)-LOOKUP(C33,103:103,104:104)+100</f>
        <v>101</v>
      </c>
      <c r="I33" s="369">
        <f>住宅成交案例!G4</f>
        <v>134.5</v>
      </c>
      <c r="J33" s="119">
        <f>LOOKUP(I33,103:103,104:104)-LOOKUP(C33,103:103,104:104)+100</f>
        <v>99</v>
      </c>
      <c r="K33" s="1747"/>
      <c r="L33" s="2489"/>
      <c r="M33" s="2491"/>
      <c r="N33" s="2491"/>
      <c r="O33" s="2491"/>
      <c r="P33" s="3399"/>
      <c r="Q33" s="531" t="str">
        <f t="shared" si="11"/>
        <v>项目建筑规模</v>
      </c>
      <c r="R33" s="669" t="s">
        <v>18</v>
      </c>
      <c r="S33" s="670">
        <f t="shared" si="12"/>
        <v>101</v>
      </c>
      <c r="T33" s="669" t="s">
        <v>18</v>
      </c>
      <c r="U33" s="670">
        <f t="shared" si="13"/>
        <v>101</v>
      </c>
      <c r="V33" s="669" t="s">
        <v>18</v>
      </c>
      <c r="W33" s="670">
        <f t="shared" si="14"/>
        <v>99</v>
      </c>
      <c r="X33" s="671"/>
      <c r="Y33" s="3401"/>
      <c r="Z33" s="672" t="str">
        <f t="shared" si="18"/>
        <v>项目建筑规模</v>
      </c>
      <c r="AA33" s="1263">
        <f t="shared" si="15"/>
        <v>0.99009900990099009</v>
      </c>
      <c r="AB33" s="1263">
        <f t="shared" si="16"/>
        <v>0.99009900990099009</v>
      </c>
      <c r="AC33" s="1263">
        <f t="shared" si="17"/>
        <v>1.0101010101010102</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0"/>
      <c r="M34" s="2485"/>
      <c r="N34" s="2485"/>
      <c r="O34" s="2485"/>
      <c r="P34" s="3399"/>
      <c r="Q34" s="1262" t="str">
        <f t="shared" si="11"/>
        <v>建筑结构</v>
      </c>
      <c r="R34" s="667" t="s">
        <v>18</v>
      </c>
      <c r="S34" s="668">
        <f t="shared" si="12"/>
        <v>100</v>
      </c>
      <c r="T34" s="667" t="s">
        <v>18</v>
      </c>
      <c r="U34" s="668">
        <f t="shared" si="13"/>
        <v>100</v>
      </c>
      <c r="V34" s="667" t="s">
        <v>18</v>
      </c>
      <c r="W34" s="668">
        <f t="shared" si="14"/>
        <v>100</v>
      </c>
      <c r="X34" s="1264"/>
      <c r="Y34" s="3401"/>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399"/>
      <c r="Q35" s="1262" t="str">
        <f t="shared" si="11"/>
        <v>建筑品质</v>
      </c>
      <c r="R35" s="667" t="s">
        <v>18</v>
      </c>
      <c r="S35" s="668">
        <f t="shared" si="12"/>
        <v>100</v>
      </c>
      <c r="T35" s="667" t="s">
        <v>18</v>
      </c>
      <c r="U35" s="668">
        <f t="shared" si="13"/>
        <v>100</v>
      </c>
      <c r="V35" s="667" t="s">
        <v>18</v>
      </c>
      <c r="W35" s="668">
        <f t="shared" si="14"/>
        <v>100</v>
      </c>
      <c r="X35" s="1264"/>
      <c r="Y35" s="3401"/>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399"/>
      <c r="Q36" s="1262" t="str">
        <f t="shared" si="11"/>
        <v>公共部分装修</v>
      </c>
      <c r="R36" s="667" t="s">
        <v>18</v>
      </c>
      <c r="S36" s="668">
        <f t="shared" si="12"/>
        <v>100</v>
      </c>
      <c r="T36" s="667" t="s">
        <v>18</v>
      </c>
      <c r="U36" s="668">
        <f t="shared" si="13"/>
        <v>100</v>
      </c>
      <c r="V36" s="667" t="s">
        <v>18</v>
      </c>
      <c r="W36" s="668">
        <f t="shared" si="14"/>
        <v>100</v>
      </c>
      <c r="X36" s="1264"/>
      <c r="Y36" s="3401"/>
      <c r="Z36" s="1263" t="str">
        <f t="shared" si="18"/>
        <v>公共部分装修</v>
      </c>
      <c r="AA36" s="1263">
        <f t="shared" si="15"/>
        <v>1</v>
      </c>
      <c r="AB36" s="1263">
        <f t="shared" si="16"/>
        <v>1</v>
      </c>
      <c r="AC36" s="1263">
        <f t="shared" si="17"/>
        <v>1</v>
      </c>
    </row>
    <row r="37" spans="1:29" s="102" customFormat="1" ht="15">
      <c r="A37" s="410"/>
      <c r="B37" s="364" t="s">
        <v>1701</v>
      </c>
      <c r="C37" s="411">
        <f>'数据-取费表'!N6</f>
        <v>0.72</v>
      </c>
      <c r="D37" s="119">
        <v>100</v>
      </c>
      <c r="E37" s="411">
        <f>C37</f>
        <v>0.72</v>
      </c>
      <c r="F37" s="364">
        <f>LOOKUP(E37,112:112,113:113)-LOOKUP(C37,112:112,113:113)+100</f>
        <v>100</v>
      </c>
      <c r="G37" s="413">
        <f>C37</f>
        <v>0.72</v>
      </c>
      <c r="H37" s="119">
        <f>LOOKUP(G37,112:112,113:113)-LOOKUP(C37,112:112,113:113)+100</f>
        <v>100</v>
      </c>
      <c r="I37" s="412">
        <f>C37</f>
        <v>0.72</v>
      </c>
      <c r="J37" s="119">
        <f>LOOKUP(I37,112:112,113:113)-LOOKUP(C37,112:112,113:113)+100</f>
        <v>100</v>
      </c>
      <c r="K37" s="365"/>
      <c r="L37" s="2486"/>
      <c r="M37" s="2438"/>
      <c r="N37" s="2438"/>
      <c r="O37" s="2438"/>
      <c r="P37" s="3399"/>
      <c r="Q37" s="530" t="str">
        <f t="shared" si="11"/>
        <v>成新度</v>
      </c>
      <c r="R37" s="664" t="s">
        <v>18</v>
      </c>
      <c r="S37" s="665">
        <f t="shared" si="12"/>
        <v>100</v>
      </c>
      <c r="T37" s="664" t="s">
        <v>18</v>
      </c>
      <c r="U37" s="665">
        <f t="shared" si="13"/>
        <v>100</v>
      </c>
      <c r="V37" s="664" t="s">
        <v>18</v>
      </c>
      <c r="W37" s="665">
        <f t="shared" si="14"/>
        <v>100</v>
      </c>
      <c r="X37" s="666"/>
      <c r="Y37" s="3401"/>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399" t="s">
        <v>1696</v>
      </c>
      <c r="Q38" s="1262" t="str">
        <f t="shared" si="11"/>
        <v>物业管理</v>
      </c>
      <c r="R38" s="667" t="s">
        <v>18</v>
      </c>
      <c r="S38" s="668">
        <f t="shared" si="12"/>
        <v>100</v>
      </c>
      <c r="T38" s="667" t="s">
        <v>18</v>
      </c>
      <c r="U38" s="668">
        <f t="shared" si="13"/>
        <v>100</v>
      </c>
      <c r="V38" s="667" t="s">
        <v>18</v>
      </c>
      <c r="W38" s="668">
        <f t="shared" si="14"/>
        <v>100</v>
      </c>
      <c r="X38" s="1264"/>
      <c r="Y38" s="3401"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399"/>
      <c r="Q39" s="1262" t="str">
        <f t="shared" si="11"/>
        <v>市政基础设施</v>
      </c>
      <c r="R39" s="667" t="s">
        <v>18</v>
      </c>
      <c r="S39" s="668">
        <f t="shared" si="12"/>
        <v>100</v>
      </c>
      <c r="T39" s="667" t="s">
        <v>18</v>
      </c>
      <c r="U39" s="668">
        <f t="shared" si="13"/>
        <v>100</v>
      </c>
      <c r="V39" s="667" t="s">
        <v>18</v>
      </c>
      <c r="W39" s="668">
        <f t="shared" si="14"/>
        <v>100</v>
      </c>
      <c r="X39" s="1264"/>
      <c r="Y39" s="3401"/>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399"/>
      <c r="Q40" s="1262" t="str">
        <f t="shared" si="11"/>
        <v>房型</v>
      </c>
      <c r="R40" s="667" t="s">
        <v>18</v>
      </c>
      <c r="S40" s="668">
        <f t="shared" si="12"/>
        <v>100</v>
      </c>
      <c r="T40" s="667" t="s">
        <v>18</v>
      </c>
      <c r="U40" s="668">
        <f t="shared" si="13"/>
        <v>100</v>
      </c>
      <c r="V40" s="667" t="s">
        <v>18</v>
      </c>
      <c r="W40" s="668">
        <f t="shared" si="14"/>
        <v>100</v>
      </c>
      <c r="X40" s="1264"/>
      <c r="Y40" s="3401"/>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399"/>
      <c r="Q41" s="531" t="str">
        <f t="shared" si="11"/>
        <v>单套/主力户型建筑面积</v>
      </c>
      <c r="R41" s="669" t="s">
        <v>18</v>
      </c>
      <c r="S41" s="670">
        <f t="shared" si="12"/>
        <v>100</v>
      </c>
      <c r="T41" s="669" t="s">
        <v>18</v>
      </c>
      <c r="U41" s="670">
        <f t="shared" si="13"/>
        <v>100</v>
      </c>
      <c r="V41" s="669" t="s">
        <v>18</v>
      </c>
      <c r="W41" s="670">
        <f t="shared" si="14"/>
        <v>100</v>
      </c>
      <c r="X41" s="671"/>
      <c r="Y41" s="3401"/>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0"/>
      <c r="M42" s="2485"/>
      <c r="N42" s="2485"/>
      <c r="O42" s="2485"/>
      <c r="P42" s="3399"/>
      <c r="Q42" s="1262" t="str">
        <f t="shared" si="11"/>
        <v>内部装修</v>
      </c>
      <c r="R42" s="667" t="s">
        <v>18</v>
      </c>
      <c r="S42" s="668">
        <f t="shared" si="12"/>
        <v>100</v>
      </c>
      <c r="T42" s="667" t="s">
        <v>18</v>
      </c>
      <c r="U42" s="668">
        <f t="shared" si="13"/>
        <v>100</v>
      </c>
      <c r="V42" s="667" t="s">
        <v>18</v>
      </c>
      <c r="W42" s="668">
        <f t="shared" si="14"/>
        <v>100</v>
      </c>
      <c r="X42" s="1264"/>
      <c r="Y42" s="3401"/>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399"/>
      <c r="Q43" s="1262" t="str">
        <f t="shared" si="11"/>
        <v>内部装修维护情况</v>
      </c>
      <c r="R43" s="667" t="s">
        <v>18</v>
      </c>
      <c r="S43" s="668">
        <f t="shared" si="12"/>
        <v>100</v>
      </c>
      <c r="T43" s="667" t="s">
        <v>18</v>
      </c>
      <c r="U43" s="668">
        <f t="shared" si="13"/>
        <v>100</v>
      </c>
      <c r="V43" s="667" t="s">
        <v>18</v>
      </c>
      <c r="W43" s="668">
        <f t="shared" si="14"/>
        <v>100</v>
      </c>
      <c r="X43" s="1264"/>
      <c r="Y43" s="3401"/>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6"/>
      <c r="M44" s="2438"/>
      <c r="N44" s="2438"/>
      <c r="O44" s="2438"/>
      <c r="P44" s="3399"/>
      <c r="Q44" s="530">
        <f t="shared" si="11"/>
        <v>111</v>
      </c>
      <c r="R44" s="664" t="s">
        <v>18</v>
      </c>
      <c r="S44" s="665">
        <f t="shared" si="12"/>
        <v>100</v>
      </c>
      <c r="T44" s="664" t="s">
        <v>18</v>
      </c>
      <c r="U44" s="665">
        <f t="shared" si="13"/>
        <v>100</v>
      </c>
      <c r="V44" s="664" t="s">
        <v>18</v>
      </c>
      <c r="W44" s="665">
        <f t="shared" si="14"/>
        <v>100</v>
      </c>
      <c r="X44" s="666"/>
      <c r="Y44" s="340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399"/>
      <c r="Q45" s="1262">
        <f t="shared" si="11"/>
        <v>111</v>
      </c>
      <c r="R45" s="667" t="s">
        <v>18</v>
      </c>
      <c r="S45" s="668">
        <f t="shared" si="12"/>
        <v>100</v>
      </c>
      <c r="T45" s="667" t="s">
        <v>18</v>
      </c>
      <c r="U45" s="668">
        <f t="shared" si="13"/>
        <v>100</v>
      </c>
      <c r="V45" s="667" t="s">
        <v>18</v>
      </c>
      <c r="W45" s="668">
        <f t="shared" si="14"/>
        <v>100</v>
      </c>
      <c r="X45" s="1264"/>
      <c r="Y45" s="3401"/>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00"/>
      <c r="Q46" s="1262">
        <f t="shared" si="11"/>
        <v>111</v>
      </c>
      <c r="R46" s="667" t="s">
        <v>17</v>
      </c>
      <c r="S46" s="668">
        <f t="shared" si="12"/>
        <v>100</v>
      </c>
      <c r="T46" s="667" t="s">
        <v>17</v>
      </c>
      <c r="U46" s="668">
        <f t="shared" si="13"/>
        <v>100</v>
      </c>
      <c r="V46" s="667" t="s">
        <v>17</v>
      </c>
      <c r="W46" s="668">
        <f t="shared" si="14"/>
        <v>100</v>
      </c>
      <c r="X46" s="1264"/>
      <c r="Y46" s="3402"/>
      <c r="Z46" s="1263">
        <f t="shared" si="18"/>
        <v>111</v>
      </c>
      <c r="AA46" s="1263">
        <f t="shared" si="15"/>
        <v>1</v>
      </c>
      <c r="AB46" s="1263">
        <f t="shared" si="16"/>
        <v>1</v>
      </c>
      <c r="AC46" s="1263">
        <f t="shared" si="17"/>
        <v>1</v>
      </c>
    </row>
    <row r="47" spans="1:29" ht="14.4">
      <c r="A47" s="416" t="s">
        <v>1708</v>
      </c>
      <c r="B47" s="417"/>
      <c r="C47" s="1081" t="s">
        <v>16</v>
      </c>
      <c r="D47" s="418"/>
      <c r="E47" s="419">
        <f>住宅成交案例!F2</f>
        <v>50025</v>
      </c>
      <c r="F47" s="420"/>
      <c r="G47" s="421">
        <f>住宅成交案例!F3</f>
        <v>47234</v>
      </c>
      <c r="H47" s="422"/>
      <c r="I47" s="419">
        <f>住宅成交案例!F4</f>
        <v>48253</v>
      </c>
      <c r="J47" s="422"/>
      <c r="K47" s="1766"/>
      <c r="L47" s="2492"/>
      <c r="M47" s="2485"/>
      <c r="N47" s="2485"/>
      <c r="O47" s="2485"/>
      <c r="P47" s="3395" t="str">
        <f>A47</f>
        <v>成交单价（元/平方米）</v>
      </c>
      <c r="Q47" s="3395"/>
      <c r="R47" s="3390">
        <f>E47</f>
        <v>50025</v>
      </c>
      <c r="S47" s="3390"/>
      <c r="T47" s="3390">
        <f>G47</f>
        <v>47234</v>
      </c>
      <c r="U47" s="3390"/>
      <c r="V47" s="3390">
        <f>I47</f>
        <v>48253</v>
      </c>
      <c r="W47" s="3390"/>
      <c r="X47" s="385"/>
      <c r="Y47" s="673"/>
      <c r="Z47" s="385"/>
      <c r="AA47" s="385"/>
      <c r="AB47" s="385"/>
      <c r="AC47" s="385"/>
    </row>
    <row r="48" spans="1:29" ht="15" thickBot="1">
      <c r="A48" s="423" t="s">
        <v>1709</v>
      </c>
      <c r="B48" s="424"/>
      <c r="C48" s="1082">
        <f>R49</f>
        <v>48345</v>
      </c>
      <c r="D48" s="2140" t="s">
        <v>2136</v>
      </c>
      <c r="E48" s="1083">
        <f>R48</f>
        <v>49530</v>
      </c>
      <c r="F48" s="2141"/>
      <c r="G48" s="1082">
        <f>T48</f>
        <v>46766</v>
      </c>
      <c r="H48" s="2141"/>
      <c r="I48" s="1083">
        <f>V48</f>
        <v>48740</v>
      </c>
      <c r="J48" s="2141"/>
      <c r="K48" s="2142">
        <f>F48+H48+J48</f>
        <v>0</v>
      </c>
      <c r="L48" s="2492"/>
      <c r="M48" s="2485"/>
      <c r="N48" s="2485"/>
      <c r="O48" s="2485"/>
      <c r="P48" s="3395" t="str">
        <f>A48</f>
        <v>比较价值（元/平方米）</v>
      </c>
      <c r="Q48" s="3395"/>
      <c r="R48" s="3390">
        <f>IF(F1="售价",ROUND(PRODUCT(R47,AA7:AA46),0),ROUND(PRODUCT(R47,AA7:AA46),1))</f>
        <v>49530</v>
      </c>
      <c r="S48" s="3390"/>
      <c r="T48" s="3390">
        <f>IF(F1="售价",ROUND(PRODUCT(T47,AB7:AB46),0),ROUND(PRODUCT(T47,AB7:AB46),1))</f>
        <v>46766</v>
      </c>
      <c r="U48" s="3390"/>
      <c r="V48" s="3390">
        <f>IF(F1="售价",ROUND(PRODUCT(V47,AC7:AC46),0),ROUND(PRODUCT(V47,AC7:AC46),1))</f>
        <v>48740</v>
      </c>
      <c r="W48" s="3390"/>
      <c r="X48" s="385"/>
      <c r="Y48" s="385"/>
      <c r="Z48" s="385"/>
      <c r="AA48" s="385"/>
      <c r="AB48" s="385"/>
      <c r="AC48" s="385"/>
    </row>
    <row r="49" spans="1:29" ht="15" thickBot="1">
      <c r="A49" s="427" t="s">
        <v>1710</v>
      </c>
      <c r="B49" s="428"/>
      <c r="C49" s="1084">
        <f>R49</f>
        <v>48345</v>
      </c>
      <c r="D49" s="351"/>
      <c r="E49" s="351"/>
      <c r="F49" s="351"/>
      <c r="G49" s="351"/>
      <c r="H49" s="351"/>
      <c r="I49" s="351"/>
      <c r="J49" s="351"/>
      <c r="K49" s="1767"/>
      <c r="L49" s="2492"/>
      <c r="M49" s="2485"/>
      <c r="N49" s="2485"/>
      <c r="O49" s="2485"/>
      <c r="P49" s="3392" t="str">
        <f>A49</f>
        <v>估价对象XX用房的比较价值（楼面单价，元/平方米）</v>
      </c>
      <c r="Q49" s="3393"/>
      <c r="R49" s="3394">
        <f>IF(F1="售价",ROUND(IF(D48="简单平均",AVERAGE(R48:V48),R48*F48+T48*H48+V48*J48),0),ROUND(IF(D48="简单平均",AVERAGE(R48:V48),R48*F48+T48*H48+V48*J48),1))</f>
        <v>48345</v>
      </c>
      <c r="S49" s="3394"/>
      <c r="T49" s="3394"/>
      <c r="U49" s="3394"/>
      <c r="V49" s="3394"/>
      <c r="W49" s="339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9.9939430648092742E-3</v>
      </c>
      <c r="F52" s="435" t="str">
        <f>IF(OR(E52&gt;=0.3,E52&lt;=-0.3),"超过30%","")</f>
        <v/>
      </c>
      <c r="G52" s="434">
        <f>IF(G47&lt;G48,G48/G47-1,G47/G48-1)</f>
        <v>1.000727023906256E-2</v>
      </c>
      <c r="H52" s="435" t="str">
        <f>IF(OR(G52&gt;=0.3,G52&lt;=-0.3),"超过30%","")</f>
        <v/>
      </c>
      <c r="I52" s="434">
        <f>IF(I47&lt;I48,I48/I47-1,I47/I48-1)</f>
        <v>1.0092636727250026E-2</v>
      </c>
      <c r="J52" s="435" t="str">
        <f>IF(OR(I52&gt;=0.3,I52&lt;=-0.3),"超过30%","")</f>
        <v/>
      </c>
      <c r="K52" s="2497"/>
      <c r="L52" s="2493"/>
      <c r="M52" s="2485"/>
      <c r="N52" s="2485"/>
      <c r="O52" s="2485"/>
    </row>
    <row r="53" spans="1:29" ht="13.5" customHeight="1">
      <c r="A53" s="2485"/>
      <c r="B53" s="2485"/>
      <c r="C53" s="432" t="s">
        <v>1712</v>
      </c>
      <c r="D53" s="436"/>
      <c r="E53" s="434">
        <f>IF(E48&lt;G48,G48/E48-1,E48/G48-1)</f>
        <v>5.9102766967455089E-2</v>
      </c>
      <c r="F53" s="435" t="str">
        <f>IF(OR(E53&gt;=0.2,E53&lt;=-0.2),"超过20%","")</f>
        <v/>
      </c>
      <c r="G53" s="434">
        <f>IF(G48&lt;I48,I48/G48-1,G48/I48-1)</f>
        <v>4.2210152675020263E-2</v>
      </c>
      <c r="H53" s="435" t="str">
        <f>IF(OR(G53&gt;=0.2,G53&lt;=-0.2),"超过20%","")</f>
        <v/>
      </c>
      <c r="I53" s="434">
        <f>IF(I48&lt;E48,E48/I48-1,I48/E48-1)</f>
        <v>1.6208453016003377E-2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5.9088791971884769E-2</v>
      </c>
      <c r="F54" s="435" t="str">
        <f>IF(OR(E54&gt;=0.3,E54&lt;=-0.3),"超过30%","")</f>
        <v/>
      </c>
      <c r="G54" s="434">
        <f>IF(G47&lt;I47,I47/G47-1,G47/I47-1)</f>
        <v>2.157344285895757E-2</v>
      </c>
      <c r="H54" s="435" t="str">
        <f>IF(OR(G54&gt;=0.3,G54&lt;=-0.3),"超过30%","")</f>
        <v/>
      </c>
      <c r="I54" s="434">
        <f>IF(I47&lt;E47,E47/I47-1,I47/E47-1)</f>
        <v>3.6723105299152348E-2</v>
      </c>
      <c r="J54" s="435" t="str">
        <f>IF(OR(I54&gt;=0.3,I54&lt;=-0.3),"超过30%","")</f>
        <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4" t="str">
        <f>YEAR(C7)&amp;"-"&amp;MONTH(C7)</f>
        <v>2025-3</v>
      </c>
      <c r="D58" s="1103">
        <f>EDATE(C58,-1)</f>
        <v>45689</v>
      </c>
      <c r="E58" s="1103">
        <f>EDATE(D58,-1)</f>
        <v>45658</v>
      </c>
      <c r="F58" s="1103">
        <f t="shared" ref="F58:O58" si="19">EDATE(E58,-1)</f>
        <v>45627</v>
      </c>
      <c r="G58" s="1103">
        <f t="shared" si="19"/>
        <v>45597</v>
      </c>
      <c r="H58" s="1103">
        <f t="shared" si="19"/>
        <v>45566</v>
      </c>
      <c r="I58" s="1103">
        <f t="shared" si="19"/>
        <v>45536</v>
      </c>
      <c r="J58" s="1103">
        <f t="shared" si="19"/>
        <v>45505</v>
      </c>
      <c r="K58" s="1103">
        <f t="shared" si="19"/>
        <v>45474</v>
      </c>
      <c r="L58" s="1103">
        <f t="shared" si="19"/>
        <v>45444</v>
      </c>
      <c r="M58" s="1103">
        <f t="shared" si="19"/>
        <v>45413</v>
      </c>
      <c r="N58" s="1103">
        <f t="shared" si="19"/>
        <v>45383</v>
      </c>
      <c r="O58" s="1103">
        <f t="shared" si="19"/>
        <v>45352</v>
      </c>
      <c r="P58" s="1099"/>
    </row>
    <row r="59" spans="1:29" s="102" customFormat="1">
      <c r="A59" s="443"/>
      <c r="B59" s="1771"/>
      <c r="C59" s="1101">
        <v>100</v>
      </c>
      <c r="D59" s="445">
        <v>100</v>
      </c>
      <c r="E59" s="445">
        <v>100</v>
      </c>
      <c r="F59" s="445">
        <v>100</v>
      </c>
      <c r="G59" s="445">
        <v>100</v>
      </c>
      <c r="H59" s="445">
        <v>100</v>
      </c>
      <c r="I59" s="445">
        <v>100</v>
      </c>
      <c r="J59" s="445">
        <v>100</v>
      </c>
      <c r="K59" s="445">
        <v>100</v>
      </c>
      <c r="L59" s="445">
        <v>100</v>
      </c>
      <c r="M59" s="445">
        <v>100</v>
      </c>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t="str">
        <f>C9</f>
        <v>住宅</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t="s">
        <v>3560</v>
      </c>
      <c r="D65" s="513" t="s">
        <v>3561</v>
      </c>
      <c r="E65" s="513" t="s">
        <v>3562</v>
      </c>
      <c r="F65" s="513" t="s">
        <v>3563</v>
      </c>
      <c r="G65" s="513" t="s">
        <v>3564</v>
      </c>
      <c r="H65" s="513" t="s">
        <v>3565</v>
      </c>
      <c r="I65" s="513" t="s">
        <v>3566</v>
      </c>
      <c r="J65" s="513"/>
      <c r="K65" s="513"/>
      <c r="L65" s="513"/>
      <c r="M65" s="513"/>
      <c r="N65" s="880"/>
      <c r="O65" s="880"/>
      <c r="P65" s="1774"/>
      <c r="Q65" s="439"/>
    </row>
    <row r="66" spans="1:17" ht="14.4" thickBot="1">
      <c r="A66" s="367"/>
      <c r="B66" s="474"/>
      <c r="C66" s="467">
        <f t="shared" ref="C66:G66" si="20">D66-1</f>
        <v>94</v>
      </c>
      <c r="D66" s="467">
        <f t="shared" si="20"/>
        <v>95</v>
      </c>
      <c r="E66" s="467">
        <f t="shared" si="20"/>
        <v>96</v>
      </c>
      <c r="F66" s="467">
        <f t="shared" si="20"/>
        <v>97</v>
      </c>
      <c r="G66" s="467">
        <f t="shared" si="20"/>
        <v>98</v>
      </c>
      <c r="H66" s="467">
        <f>I66-1</f>
        <v>99</v>
      </c>
      <c r="I66" s="467">
        <v>100</v>
      </c>
      <c r="J66" s="467"/>
      <c r="K66" s="467"/>
      <c r="L66" s="467"/>
      <c r="M66" s="468"/>
      <c r="N66" s="880"/>
      <c r="O66" s="880"/>
      <c r="P66" s="1774"/>
      <c r="Q66" s="439"/>
    </row>
    <row r="67" spans="1:17" ht="15" thickTop="1">
      <c r="A67" s="367"/>
      <c r="B67" s="477" t="s">
        <v>1689</v>
      </c>
      <c r="C67" s="478" t="str">
        <f>C68&amp;"（含）"&amp;"-"&amp;D68</f>
        <v>0（含）-3</v>
      </c>
      <c r="D67" s="478" t="str">
        <f t="shared" ref="D67:L67" si="21">D68&amp;"（含）"&amp;"-"&amp;E68</f>
        <v>3（含）-</v>
      </c>
      <c r="E67" s="478" t="str">
        <f t="shared" si="21"/>
        <v>（含）-</v>
      </c>
      <c r="F67" s="478" t="str">
        <f t="shared" si="21"/>
        <v>（含）-</v>
      </c>
      <c r="G67" s="478" t="str">
        <f t="shared" si="21"/>
        <v>（含）-</v>
      </c>
      <c r="H67" s="478" t="str">
        <f t="shared" si="21"/>
        <v>（含）-</v>
      </c>
      <c r="I67" s="478" t="str">
        <f t="shared" si="21"/>
        <v>（含）-</v>
      </c>
      <c r="J67" s="478" t="str">
        <f t="shared" si="21"/>
        <v>（含）-</v>
      </c>
      <c r="K67" s="478" t="str">
        <f>K68&amp;"（含）"&amp;"-"&amp;L68</f>
        <v>（含）-</v>
      </c>
      <c r="L67" s="478" t="str">
        <f t="shared" si="21"/>
        <v>（含）-</v>
      </c>
      <c r="M67" s="387" t="str">
        <f>M68&amp;"（含）"&amp;"-"&amp;P68</f>
        <v>（含）-</v>
      </c>
      <c r="N67" s="880"/>
      <c r="O67" s="880"/>
      <c r="P67" s="1774"/>
      <c r="Q67" s="439"/>
    </row>
    <row r="68" spans="1:17">
      <c r="A68" s="367"/>
      <c r="B68" s="479"/>
      <c r="C68" s="480">
        <v>0</v>
      </c>
      <c r="D68" s="480">
        <v>3</v>
      </c>
      <c r="E68" s="480"/>
      <c r="F68" s="480"/>
      <c r="G68" s="480"/>
      <c r="H68" s="480"/>
      <c r="I68" s="480"/>
      <c r="J68" s="480"/>
      <c r="K68" s="481"/>
      <c r="L68" s="482"/>
      <c r="M68" s="483"/>
      <c r="N68" s="879"/>
      <c r="O68" s="879"/>
      <c r="P68" s="1774"/>
      <c r="Q68" s="439"/>
    </row>
    <row r="69" spans="1:17" ht="14.4" thickBot="1">
      <c r="A69" s="367"/>
      <c r="B69" s="466"/>
      <c r="C69" s="475">
        <v>100</v>
      </c>
      <c r="D69" s="475">
        <f t="shared" ref="D69:M69" si="22">C69-$K11</f>
        <v>100</v>
      </c>
      <c r="E69" s="475">
        <f t="shared" si="22"/>
        <v>100</v>
      </c>
      <c r="F69" s="475">
        <f t="shared" si="22"/>
        <v>100</v>
      </c>
      <c r="G69" s="475">
        <f t="shared" si="22"/>
        <v>100</v>
      </c>
      <c r="H69" s="475">
        <f t="shared" si="22"/>
        <v>100</v>
      </c>
      <c r="I69" s="475">
        <f t="shared" si="22"/>
        <v>100</v>
      </c>
      <c r="J69" s="475">
        <f t="shared" si="22"/>
        <v>100</v>
      </c>
      <c r="K69" s="475">
        <f t="shared" si="22"/>
        <v>100</v>
      </c>
      <c r="L69" s="475">
        <f t="shared" si="22"/>
        <v>100</v>
      </c>
      <c r="M69" s="476">
        <f t="shared" si="22"/>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3">D83-$K21</f>
        <v>100</v>
      </c>
      <c r="F83" s="581">
        <f t="shared" si="23"/>
        <v>100</v>
      </c>
      <c r="G83" s="581">
        <f t="shared" si="23"/>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4">$C$87-($C$86-D86)*$K$25</f>
        <v>100</v>
      </c>
      <c r="E87" s="475">
        <f t="shared" si="24"/>
        <v>100</v>
      </c>
      <c r="F87" s="475">
        <f t="shared" si="24"/>
        <v>100</v>
      </c>
      <c r="G87" s="475">
        <f t="shared" si="24"/>
        <v>100</v>
      </c>
      <c r="H87" s="475">
        <f t="shared" si="24"/>
        <v>100</v>
      </c>
      <c r="I87" s="475">
        <f t="shared" si="24"/>
        <v>100</v>
      </c>
      <c r="J87" s="475">
        <f t="shared" si="24"/>
        <v>100</v>
      </c>
      <c r="K87" s="475">
        <f t="shared" si="24"/>
        <v>100</v>
      </c>
      <c r="L87" s="475">
        <f t="shared" si="24"/>
        <v>100</v>
      </c>
      <c r="M87" s="475">
        <f t="shared" si="24"/>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5">C89-$K26</f>
        <v>100</v>
      </c>
      <c r="E89" s="475">
        <f t="shared" si="25"/>
        <v>100</v>
      </c>
      <c r="F89" s="475">
        <f t="shared" si="25"/>
        <v>100</v>
      </c>
      <c r="G89" s="475">
        <f t="shared" si="25"/>
        <v>100</v>
      </c>
      <c r="H89" s="475">
        <f t="shared" si="25"/>
        <v>100</v>
      </c>
      <c r="I89" s="475">
        <f t="shared" si="25"/>
        <v>100</v>
      </c>
      <c r="J89" s="475">
        <f t="shared" si="25"/>
        <v>100</v>
      </c>
      <c r="K89" s="475">
        <f t="shared" si="25"/>
        <v>100</v>
      </c>
      <c r="L89" s="475">
        <f t="shared" si="25"/>
        <v>100</v>
      </c>
      <c r="M89" s="475">
        <f t="shared" si="25"/>
        <v>100</v>
      </c>
      <c r="N89" s="880"/>
      <c r="O89" s="880"/>
      <c r="P89" s="1774"/>
      <c r="Q89" s="439"/>
    </row>
    <row r="90" spans="1:17" s="408" customFormat="1" ht="15" thickTop="1">
      <c r="A90" s="484"/>
      <c r="B90" s="469">
        <f>B27</f>
        <v>111</v>
      </c>
      <c r="C90" s="3168" t="s">
        <v>3498</v>
      </c>
      <c r="D90" s="3168" t="s">
        <v>3499</v>
      </c>
      <c r="E90" s="3168" t="s">
        <v>3500</v>
      </c>
      <c r="F90" s="485"/>
      <c r="G90" s="485"/>
      <c r="H90" s="486"/>
      <c r="I90" s="486"/>
      <c r="J90" s="486"/>
      <c r="K90" s="486"/>
      <c r="L90" s="487"/>
      <c r="M90" s="488"/>
      <c r="N90" s="881"/>
      <c r="O90" s="881"/>
      <c r="P90" s="1775"/>
      <c r="Q90" s="490"/>
    </row>
    <row r="91" spans="1:17" s="408" customFormat="1" ht="14.4" thickBot="1">
      <c r="A91" s="484"/>
      <c r="B91" s="474"/>
      <c r="C91" s="491">
        <v>100</v>
      </c>
      <c r="D91" s="491">
        <f>C91-2</f>
        <v>98</v>
      </c>
      <c r="E91" s="491">
        <f>D91-2</f>
        <v>96</v>
      </c>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6">C101-$K32</f>
        <v>100</v>
      </c>
      <c r="E101" s="475">
        <f t="shared" si="26"/>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80"/>
      <c r="O101" s="880"/>
      <c r="P101" s="1774"/>
      <c r="Q101" s="439"/>
    </row>
    <row r="102" spans="1:17" ht="15" thickTop="1">
      <c r="A102" s="367"/>
      <c r="B102" s="469" t="s">
        <v>1737</v>
      </c>
      <c r="C102" s="509" t="str">
        <f>C103&amp;"(含)"&amp;"-"&amp;D103</f>
        <v>0(含)-100</v>
      </c>
      <c r="D102" s="509" t="str">
        <f t="shared" ref="D102:L102" si="27">D103&amp;"(含)"&amp;"-"&amp;E103</f>
        <v>100(含)-120</v>
      </c>
      <c r="E102" s="509" t="str">
        <f t="shared" si="27"/>
        <v>120(含)-150</v>
      </c>
      <c r="F102" s="509" t="str">
        <f t="shared" si="27"/>
        <v>150(含)-</v>
      </c>
      <c r="G102" s="509" t="str">
        <f t="shared" si="27"/>
        <v>(含)-</v>
      </c>
      <c r="H102" s="509" t="str">
        <f t="shared" si="27"/>
        <v>(含)-</v>
      </c>
      <c r="I102" s="509" t="str">
        <f t="shared" si="27"/>
        <v>(含)-</v>
      </c>
      <c r="J102" s="509" t="str">
        <f t="shared" si="27"/>
        <v>(含)-</v>
      </c>
      <c r="K102" s="509" t="str">
        <f>K103&amp;"(含)"&amp;"-"&amp;L103</f>
        <v>(含)-</v>
      </c>
      <c r="L102" s="509" t="str">
        <f t="shared" si="27"/>
        <v>(含)-</v>
      </c>
      <c r="M102" s="509" t="str">
        <f>M103&amp;"(含)"&amp;"-"&amp;P103</f>
        <v>(含)-</v>
      </c>
      <c r="N102" s="878"/>
      <c r="O102" s="878"/>
      <c r="P102" s="1774"/>
      <c r="Q102" s="439"/>
    </row>
    <row r="103" spans="1:17" s="408" customFormat="1">
      <c r="A103" s="406"/>
      <c r="B103" s="523"/>
      <c r="C103" s="6">
        <v>0</v>
      </c>
      <c r="D103" s="6">
        <v>100</v>
      </c>
      <c r="E103" s="6">
        <v>120</v>
      </c>
      <c r="F103" s="6">
        <v>150</v>
      </c>
      <c r="G103" s="6"/>
      <c r="H103" s="6"/>
      <c r="I103" s="6"/>
      <c r="J103" s="524"/>
      <c r="K103" s="524"/>
      <c r="L103" s="525"/>
      <c r="M103" s="526"/>
      <c r="N103" s="881"/>
      <c r="O103" s="881"/>
      <c r="P103" s="1775"/>
      <c r="Q103" s="490"/>
    </row>
    <row r="104" spans="1:17" s="408" customFormat="1" ht="14.4" thickBot="1">
      <c r="A104" s="484"/>
      <c r="B104" s="474"/>
      <c r="C104" s="491">
        <v>100</v>
      </c>
      <c r="D104" s="467">
        <f>C104-1</f>
        <v>99</v>
      </c>
      <c r="E104" s="467">
        <f t="shared" ref="E104:F104" si="28">D104-1</f>
        <v>98</v>
      </c>
      <c r="F104" s="467">
        <f t="shared" si="28"/>
        <v>97</v>
      </c>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9">C106-$K34</f>
        <v>100</v>
      </c>
      <c r="E106" s="475">
        <f t="shared" si="29"/>
        <v>100</v>
      </c>
      <c r="F106" s="475">
        <f t="shared" si="29"/>
        <v>100</v>
      </c>
      <c r="G106" s="475">
        <f t="shared" si="29"/>
        <v>100</v>
      </c>
      <c r="H106" s="475">
        <f t="shared" si="29"/>
        <v>100</v>
      </c>
      <c r="I106" s="475">
        <f t="shared" si="29"/>
        <v>100</v>
      </c>
      <c r="J106" s="475">
        <f t="shared" si="29"/>
        <v>100</v>
      </c>
      <c r="K106" s="475">
        <f t="shared" si="29"/>
        <v>100</v>
      </c>
      <c r="L106" s="475">
        <f t="shared" si="29"/>
        <v>100</v>
      </c>
      <c r="M106" s="475">
        <f t="shared" si="29"/>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30">C108-$K35</f>
        <v>100</v>
      </c>
      <c r="E108" s="475">
        <f t="shared" si="30"/>
        <v>100</v>
      </c>
      <c r="F108" s="475">
        <f t="shared" si="30"/>
        <v>100</v>
      </c>
      <c r="G108" s="475">
        <f t="shared" si="30"/>
        <v>100</v>
      </c>
      <c r="H108" s="475">
        <f t="shared" si="30"/>
        <v>100</v>
      </c>
      <c r="I108" s="475">
        <f t="shared" si="30"/>
        <v>100</v>
      </c>
      <c r="J108" s="475">
        <f t="shared" si="30"/>
        <v>100</v>
      </c>
      <c r="K108" s="475">
        <f t="shared" si="30"/>
        <v>100</v>
      </c>
      <c r="L108" s="475">
        <f t="shared" si="30"/>
        <v>100</v>
      </c>
      <c r="M108" s="475">
        <f t="shared" si="30"/>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31">C110-$K36</f>
        <v>100</v>
      </c>
      <c r="E110" s="475">
        <f t="shared" si="31"/>
        <v>100</v>
      </c>
      <c r="F110" s="475">
        <f t="shared" si="31"/>
        <v>100</v>
      </c>
      <c r="G110" s="475">
        <f t="shared" si="31"/>
        <v>100</v>
      </c>
      <c r="H110" s="475">
        <f t="shared" si="31"/>
        <v>100</v>
      </c>
      <c r="I110" s="475">
        <f t="shared" si="31"/>
        <v>100</v>
      </c>
      <c r="J110" s="475">
        <f t="shared" si="31"/>
        <v>100</v>
      </c>
      <c r="K110" s="475">
        <f t="shared" si="31"/>
        <v>100</v>
      </c>
      <c r="L110" s="475">
        <f t="shared" si="31"/>
        <v>100</v>
      </c>
      <c r="M110" s="475">
        <f t="shared" si="31"/>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2">C115-$K38</f>
        <v>100</v>
      </c>
      <c r="E115" s="475">
        <f t="shared" si="32"/>
        <v>100</v>
      </c>
      <c r="F115" s="475">
        <f t="shared" si="32"/>
        <v>100</v>
      </c>
      <c r="G115" s="475">
        <f t="shared" si="32"/>
        <v>100</v>
      </c>
      <c r="H115" s="475">
        <f t="shared" si="32"/>
        <v>100</v>
      </c>
      <c r="I115" s="475">
        <f t="shared" si="32"/>
        <v>100</v>
      </c>
      <c r="J115" s="475">
        <f t="shared" si="32"/>
        <v>100</v>
      </c>
      <c r="K115" s="475">
        <f t="shared" si="32"/>
        <v>100</v>
      </c>
      <c r="L115" s="475">
        <f t="shared" si="32"/>
        <v>100</v>
      </c>
      <c r="M115" s="475">
        <f t="shared" si="32"/>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3">C119-$K40</f>
        <v>100</v>
      </c>
      <c r="E119" s="475">
        <f t="shared" si="33"/>
        <v>100</v>
      </c>
      <c r="F119" s="475">
        <f t="shared" si="33"/>
        <v>100</v>
      </c>
      <c r="G119" s="475">
        <f t="shared" si="33"/>
        <v>100</v>
      </c>
      <c r="H119" s="475">
        <f t="shared" si="33"/>
        <v>100</v>
      </c>
      <c r="I119" s="475">
        <f t="shared" si="33"/>
        <v>100</v>
      </c>
      <c r="J119" s="475">
        <f t="shared" si="33"/>
        <v>100</v>
      </c>
      <c r="K119" s="475">
        <f t="shared" si="33"/>
        <v>100</v>
      </c>
      <c r="L119" s="475">
        <f t="shared" si="33"/>
        <v>100</v>
      </c>
      <c r="M119" s="475">
        <f t="shared" si="33"/>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4">C123-$K42</f>
        <v>100</v>
      </c>
      <c r="E123" s="475">
        <f t="shared" si="34"/>
        <v>100</v>
      </c>
      <c r="F123" s="475">
        <f t="shared" si="34"/>
        <v>100</v>
      </c>
      <c r="G123" s="475">
        <f t="shared" si="34"/>
        <v>100</v>
      </c>
      <c r="H123" s="475">
        <f t="shared" si="34"/>
        <v>100</v>
      </c>
      <c r="I123" s="475">
        <f t="shared" si="34"/>
        <v>100</v>
      </c>
      <c r="J123" s="475">
        <f t="shared" si="34"/>
        <v>100</v>
      </c>
      <c r="K123" s="475">
        <f t="shared" si="34"/>
        <v>100</v>
      </c>
      <c r="L123" s="475">
        <f t="shared" si="34"/>
        <v>100</v>
      </c>
      <c r="M123" s="475">
        <f t="shared" si="34"/>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t="s">
        <v>3425</v>
      </c>
      <c r="C1" s="1716"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556.82820000000004</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53001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4124900</v>
      </c>
      <c r="D5" s="203" t="s">
        <v>1469</v>
      </c>
      <c r="E5" s="204" t="s">
        <v>1470</v>
      </c>
      <c r="F5" s="204" t="s">
        <v>1471</v>
      </c>
      <c r="G5" s="205"/>
    </row>
    <row r="6" spans="1:8" s="206" customFormat="1" ht="13.5" customHeight="1">
      <c r="A6" s="732" t="s">
        <v>1472</v>
      </c>
      <c r="B6" s="207" t="s">
        <v>1473</v>
      </c>
      <c r="C6" s="208">
        <f>ROUND('土地比较法-住宅、综合'!C47*'数据-汇总表'!E19,0)</f>
        <v>3986502</v>
      </c>
      <c r="D6" s="209"/>
      <c r="E6" s="210"/>
      <c r="F6" s="210"/>
      <c r="G6" s="211"/>
    </row>
    <row r="7" spans="1:8" s="206" customFormat="1" ht="13.5" customHeight="1">
      <c r="A7" s="732" t="s">
        <v>1474</v>
      </c>
      <c r="B7" s="207" t="s">
        <v>1475</v>
      </c>
      <c r="C7" s="212">
        <f>ROUND(C6*F7,0)</f>
        <v>121588</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16810</v>
      </c>
      <c r="D8" s="214"/>
      <c r="E8" s="212"/>
      <c r="F8" s="213"/>
      <c r="G8" s="1713" t="s">
        <v>3509</v>
      </c>
    </row>
    <row r="9" spans="1:8" s="206" customFormat="1" ht="13.5" customHeight="1">
      <c r="A9" s="733" t="s">
        <v>355</v>
      </c>
      <c r="B9" s="216" t="s">
        <v>1478</v>
      </c>
      <c r="C9" s="217">
        <f ca="1">ROUND(D9*E9,0)</f>
        <v>16810</v>
      </c>
      <c r="D9" s="795">
        <f ca="1">IF(B1="",'数据-汇总表'!E5,IF(INDIRECT("'数据-取费表'!c"&amp;$G$1)="住宅",INDIRECT("'数据-取费表'!k"&amp;$G$1),0))</f>
        <v>105.06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105.06</v>
      </c>
      <c r="E19" s="203">
        <f>'数据-取费表'!B31</f>
        <v>200</v>
      </c>
      <c r="F19" s="223"/>
      <c r="G19" s="1713" t="s">
        <v>3510</v>
      </c>
    </row>
    <row r="20" spans="1:7" s="206" customFormat="1" ht="13.5" customHeight="1">
      <c r="A20" s="247" t="s">
        <v>1574</v>
      </c>
      <c r="B20" s="202" t="s">
        <v>1575</v>
      </c>
      <c r="C20" s="224">
        <f ca="1">ROUND((C5+C19)*F20,0)</f>
        <v>82498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262265</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259708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2557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420740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420740</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5292071</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307301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262650</v>
      </c>
      <c r="D34" s="209"/>
      <c r="E34" s="212"/>
      <c r="F34" s="249"/>
      <c r="G34" s="211"/>
    </row>
    <row r="35" spans="1:7" ht="13.5" customHeight="1">
      <c r="A35" s="734" t="s">
        <v>351</v>
      </c>
      <c r="B35" s="207" t="s">
        <v>1527</v>
      </c>
      <c r="C35" s="212">
        <f ca="1">ROUND(C34*F35,0)</f>
        <v>13133</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5253</v>
      </c>
      <c r="D36" s="212"/>
      <c r="E36" s="212"/>
      <c r="F36" s="251">
        <f>'数据-取费表'!B34</f>
        <v>0.02</v>
      </c>
      <c r="G36" s="252" t="s">
        <v>1530</v>
      </c>
    </row>
    <row r="37" spans="1:7" s="250" customFormat="1" ht="13.5" customHeight="1">
      <c r="A37" s="734" t="s">
        <v>353</v>
      </c>
      <c r="B37" s="207" t="s">
        <v>1531</v>
      </c>
      <c r="C37" s="241">
        <f ca="1">ROUND(E37*D37,0)</f>
        <v>21012</v>
      </c>
      <c r="D37" s="209">
        <f ca="1">D19</f>
        <v>105.06</v>
      </c>
      <c r="E37" s="241">
        <f>'数据-取费表'!B35</f>
        <v>200</v>
      </c>
      <c r="F37" s="251"/>
      <c r="G37" s="253"/>
    </row>
    <row r="38" spans="1:7" ht="13.5" customHeight="1">
      <c r="A38" s="734" t="s">
        <v>354</v>
      </c>
      <c r="B38" s="207" t="s">
        <v>1533</v>
      </c>
      <c r="C38" s="212">
        <f ca="1">ROUND(C34*F38,0)</f>
        <v>5253</v>
      </c>
      <c r="D38" s="212"/>
      <c r="E38" s="212"/>
      <c r="F38" s="251">
        <f>'数据-取费表'!B36</f>
        <v>0.02</v>
      </c>
      <c r="G38" s="211" t="s">
        <v>1528</v>
      </c>
    </row>
    <row r="39" spans="1:7" s="206" customFormat="1" ht="13.5" customHeight="1">
      <c r="A39" s="247" t="s">
        <v>1534</v>
      </c>
      <c r="B39" s="202" t="s">
        <v>1535</v>
      </c>
      <c r="C39" s="224">
        <f ca="1">ROUND(C33*F20,0)</f>
        <v>6146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9717</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9526</v>
      </c>
      <c r="D42" s="230"/>
      <c r="E42" s="230"/>
      <c r="F42" s="231"/>
      <c r="G42" s="3357" t="s">
        <v>1591</v>
      </c>
    </row>
    <row r="43" spans="1:7" ht="13.5" customHeight="1">
      <c r="A43" s="734" t="s">
        <v>347</v>
      </c>
      <c r="B43" s="207" t="s">
        <v>1545</v>
      </c>
      <c r="C43" s="230">
        <f ca="1">ROUND(IF('数据-取费表'!B22&lt;=1,C39*F22*'数据-取费表'!B20/2,C39*(POWER((1+F22),'数据-取费表'!B20/2)-1)),0)</f>
        <v>191</v>
      </c>
      <c r="D43" s="230"/>
      <c r="E43" s="230"/>
      <c r="F43" s="231"/>
      <c r="G43" s="3358"/>
    </row>
    <row r="44" spans="1:7" ht="13.5" customHeight="1">
      <c r="A44" s="734" t="s">
        <v>348</v>
      </c>
      <c r="B44" s="207" t="s">
        <v>1546</v>
      </c>
      <c r="C44" s="230">
        <f ca="1">ROUND(IF('数据-取费表'!B22&lt;=1,C40*F22*'数据-取费表'!B20/2,C40*(POWER((1+F22),'数据-取费表'!B20/2)-1)),4)</f>
        <v>5.9999999999999995E-4</v>
      </c>
      <c r="D44" s="230"/>
      <c r="E44" s="230"/>
      <c r="F44" s="231"/>
      <c r="G44" s="3359"/>
    </row>
    <row r="45" spans="1:7" s="206" customFormat="1" ht="13.5" customHeight="1">
      <c r="A45" s="247" t="s">
        <v>1547</v>
      </c>
      <c r="B45" s="236" t="s">
        <v>1513</v>
      </c>
      <c r="C45" s="237">
        <f ca="1">C46</f>
        <v>31345</v>
      </c>
      <c r="D45" s="227">
        <f ca="1">C47</f>
        <v>2E-3</v>
      </c>
      <c r="E45" s="228" t="s">
        <v>1539</v>
      </c>
      <c r="F45" s="238">
        <f ca="1">F27</f>
        <v>0.1</v>
      </c>
      <c r="G45" s="239" t="s">
        <v>1548</v>
      </c>
    </row>
    <row r="46" spans="1:7" s="206" customFormat="1" ht="13.5" customHeight="1">
      <c r="A46" s="734" t="s">
        <v>346</v>
      </c>
      <c r="B46" s="240" t="s">
        <v>1549</v>
      </c>
      <c r="C46" s="241">
        <f ca="1">ROUND((C33+C39)*F27,0)</f>
        <v>31345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383626</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276211</v>
      </c>
      <c r="D51" s="224"/>
      <c r="E51" s="224"/>
      <c r="F51" s="256"/>
      <c r="G51" s="226" t="s">
        <v>1560</v>
      </c>
    </row>
    <row r="52" spans="1:7" s="200" customFormat="1" ht="16.8" thickBot="1">
      <c r="A52" s="257" t="s">
        <v>1561</v>
      </c>
      <c r="B52" s="258"/>
      <c r="C52" s="259">
        <f ca="1">C31+C51</f>
        <v>5568282</v>
      </c>
      <c r="D52" s="258"/>
      <c r="E52" s="258"/>
      <c r="F52" s="258"/>
      <c r="G52" s="260"/>
    </row>
    <row r="55" spans="1:7" ht="15">
      <c r="B55" s="262" t="s">
        <v>1562</v>
      </c>
      <c r="C55" s="263"/>
    </row>
    <row r="56" spans="1:7">
      <c r="B56" s="265" t="s">
        <v>802</v>
      </c>
      <c r="C56" s="267">
        <f ca="1">1-C57</f>
        <v>0.95</v>
      </c>
    </row>
    <row r="57" spans="1:7">
      <c r="B57" s="265" t="s">
        <v>803</v>
      </c>
      <c r="C57" s="266">
        <f ca="1">ROUND(C51/C52,3)</f>
        <v>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9"/>
      <c r="D1" s="1108"/>
      <c r="E1" s="2565"/>
      <c r="F1" s="2565"/>
      <c r="G1" s="2446"/>
      <c r="H1" s="2565"/>
      <c r="I1" s="2565"/>
      <c r="J1" s="2565"/>
      <c r="K1" s="2566">
        <f>MATCH(C1,'数据-取费表'!A6:A16,0)+5</f>
        <v>7</v>
      </c>
    </row>
    <row r="2" spans="1:33" ht="18" customHeight="1">
      <c r="A2" s="193" t="s">
        <v>1462</v>
      </c>
      <c r="B2" s="196">
        <f ca="1">C32</f>
        <v>-2</v>
      </c>
      <c r="C2" s="268" t="s">
        <v>1595</v>
      </c>
      <c r="D2" s="268"/>
      <c r="E2" s="2565"/>
      <c r="F2" s="2565"/>
      <c r="G2" s="2565"/>
      <c r="H2" s="2565"/>
      <c r="I2" s="2565"/>
      <c r="J2" s="2565"/>
      <c r="K2" s="2565"/>
    </row>
    <row r="3" spans="1:33" ht="18" customHeight="1" thickBot="1">
      <c r="A3" s="195" t="s">
        <v>1464</v>
      </c>
      <c r="B3" s="196">
        <f ca="1">ROUND(B2*10000/IF(C1="",'数据-汇总表'!E3,INDIRECT("'数据-取费表'!K"&amp;$K$1)),0)</f>
        <v>-190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0.02</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105.06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105.06</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19"/>
      <c r="H18" s="1105"/>
      <c r="I18" s="1720" t="s">
        <v>1625</v>
      </c>
      <c r="J18" s="759"/>
      <c r="K18" s="760"/>
    </row>
    <row r="19" spans="1:33" s="755" customFormat="1" ht="13.5" customHeight="1">
      <c r="A19" s="752" t="s">
        <v>360</v>
      </c>
      <c r="B19" s="753" t="s">
        <v>1626</v>
      </c>
      <c r="C19" s="21">
        <f ca="1">ROUND(D19*E19/10000,0)</f>
        <v>2</v>
      </c>
      <c r="D19" s="796">
        <f ca="1">IF(C1="",'数据-汇总表'!E5,IF(INDIRECT("'数据-取费表'!c"&amp;$K$1)="住宅",INDIRECT("'数据-取费表'!k"&amp;$K$1),0))</f>
        <v>105.06</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07" t="s">
        <v>694</v>
      </c>
      <c r="C6" s="1011">
        <f ca="1">ROUND(F6*F8*F7*(1-F9)/10000,0)</f>
        <v>0</v>
      </c>
      <c r="D6" s="147" t="s">
        <v>2107</v>
      </c>
      <c r="E6" s="294" t="s">
        <v>696</v>
      </c>
      <c r="F6" s="295">
        <f ca="1">INDIRECT("'数据-取费表'!u"&amp;$G$1)</f>
        <v>0</v>
      </c>
      <c r="G6" s="1291"/>
      <c r="H6" s="1006" t="s">
        <v>398</v>
      </c>
      <c r="I6" s="3407" t="s">
        <v>694</v>
      </c>
      <c r="J6" s="293">
        <f ca="1">ROUND(M6*M8*M7*(1-M9)/10000,0)</f>
        <v>0</v>
      </c>
      <c r="K6" s="147" t="s">
        <v>2106</v>
      </c>
      <c r="L6" s="294" t="s">
        <v>696</v>
      </c>
      <c r="M6" s="295">
        <f ca="1">INDIRECT("'数据-取费表'!z"&amp;$G$1)</f>
        <v>0</v>
      </c>
    </row>
    <row r="7" spans="1:37" ht="18" customHeight="1">
      <c r="A7" s="1010"/>
      <c r="B7" s="3408"/>
      <c r="C7" s="1012"/>
      <c r="D7" s="299"/>
      <c r="E7" s="1013" t="s">
        <v>697</v>
      </c>
      <c r="F7" s="295">
        <f ca="1">IF(INDIRECT("'数据-取费表'!ah"&amp;$G$1)="",INDIRECT("'数据-取费表'!k"&amp;$G$1),INDIRECT("'数据-取费表'!ah"&amp;$G$1))</f>
        <v>0</v>
      </c>
      <c r="G7" s="1291"/>
      <c r="H7" s="296"/>
      <c r="I7" s="3408"/>
      <c r="J7" s="298"/>
      <c r="K7" s="299"/>
      <c r="L7" s="294" t="s">
        <v>697</v>
      </c>
      <c r="M7" s="295">
        <f ca="1">F7</f>
        <v>0</v>
      </c>
    </row>
    <row r="8" spans="1:37" ht="18" customHeight="1">
      <c r="A8" s="296"/>
      <c r="B8" s="3408"/>
      <c r="C8" s="298"/>
      <c r="D8" s="299"/>
      <c r="E8" s="294" t="s">
        <v>698</v>
      </c>
      <c r="F8" s="295">
        <f ca="1">INDIRECT("'数据-取费表'!ai"&amp;$G$1)</f>
        <v>0</v>
      </c>
      <c r="G8" s="1291"/>
      <c r="H8" s="296"/>
      <c r="I8" s="3408"/>
      <c r="J8" s="298"/>
      <c r="K8" s="299"/>
      <c r="L8" s="294" t="s">
        <v>698</v>
      </c>
      <c r="M8" s="295">
        <f ca="1">INDIRECT("'数据-取费表'!ai"&amp;$G$1)</f>
        <v>0</v>
      </c>
    </row>
    <row r="9" spans="1:37" ht="18" customHeight="1">
      <c r="A9" s="296"/>
      <c r="B9" s="3409"/>
      <c r="C9" s="298"/>
      <c r="D9" s="299"/>
      <c r="E9" s="294" t="s">
        <v>699</v>
      </c>
      <c r="F9" s="304">
        <f ca="1">INDIRECT("'数据-取费表'!w"&amp;$G$1)</f>
        <v>0</v>
      </c>
      <c r="G9" s="1291"/>
      <c r="H9" s="296"/>
      <c r="I9" s="3409"/>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2115</v>
      </c>
      <c r="E10" s="305" t="s">
        <v>701</v>
      </c>
      <c r="F10" s="1053"/>
      <c r="G10" s="1291"/>
      <c r="H10" s="1006" t="s">
        <v>402</v>
      </c>
      <c r="I10" s="1273" t="s">
        <v>700</v>
      </c>
      <c r="J10" s="293">
        <f ca="1">ROUND(IF(M10="押一",J6/12*M11,IF(M10="押二",J6/12*2*M11,IF(M10="押三",J6/12*3*M11,J11*M11))),0)</f>
        <v>0</v>
      </c>
      <c r="K10" s="150" t="s">
        <v>2114</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3334</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7" t="s">
        <v>2304</v>
      </c>
      <c r="I31" s="1304"/>
      <c r="J31" s="1305"/>
      <c r="K31" s="121"/>
      <c r="L31" s="2469"/>
      <c r="M31" s="2470"/>
    </row>
    <row r="32" spans="1:37" ht="18" customHeight="1">
      <c r="A32" s="928" t="s">
        <v>397</v>
      </c>
      <c r="B32" s="294" t="s">
        <v>723</v>
      </c>
      <c r="C32" s="21">
        <f ca="1">IF(项目基本情况!B11="自然人","——",ROUND(C6*F32/(1+'数据-取费表'!C42),2))</f>
        <v>0</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7" t="s">
        <v>3334</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3</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9"/>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1" t="s">
        <v>439</v>
      </c>
      <c r="B49" s="1278" t="s">
        <v>779</v>
      </c>
      <c r="C49" s="1051">
        <f ca="1">ROUND(F49*F51*F50*(1-F52)/10000,0)</f>
        <v>0</v>
      </c>
      <c r="D49" s="992" t="s">
        <v>2108</v>
      </c>
      <c r="E49" s="1279" t="s">
        <v>780</v>
      </c>
      <c r="F49" s="997"/>
      <c r="H49" s="682"/>
      <c r="I49" s="1327" t="s">
        <v>823</v>
      </c>
      <c r="J49" s="1331"/>
      <c r="K49" s="1329" t="s">
        <v>824</v>
      </c>
      <c r="L49" s="1332"/>
      <c r="O49" s="1333" t="s">
        <v>405</v>
      </c>
      <c r="P49" s="1325" t="s">
        <v>825</v>
      </c>
      <c r="Q49" s="1326">
        <f ca="1">C29</f>
        <v>0</v>
      </c>
      <c r="R49" s="1326" t="s">
        <v>818</v>
      </c>
    </row>
    <row r="50" spans="1:18" s="1291" customFormat="1" ht="13.8"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6.6" thickBot="1">
      <c r="A53" s="1079" t="s">
        <v>440</v>
      </c>
      <c r="B53" s="1280" t="s">
        <v>700</v>
      </c>
      <c r="C53" s="308">
        <f ca="1">ROUND(IF(F53="押一",C49/12*F11,IF(F53="押二",C49/12*2*F11,IF(F53="押三",C49/12*3*F11,C54*F11))),0)</f>
        <v>0</v>
      </c>
      <c r="D53" s="150" t="s">
        <v>2114</v>
      </c>
      <c r="E53" s="305" t="s">
        <v>701</v>
      </c>
      <c r="F53" s="1053"/>
      <c r="I53" s="1343" t="s">
        <v>836</v>
      </c>
      <c r="J53" s="2005">
        <f ca="1">IF(M47="住宅",IF(D1="——",MAX(J51,L48),MAX(J51,L48-'数据-取费表'!B24)),IF(D1="——",MIN(J51,L48),MIN(J51,L48-'数据-取费表'!B24)))</f>
        <v>0</v>
      </c>
      <c r="K53" s="3405" t="s">
        <v>837</v>
      </c>
      <c r="L53" s="3406"/>
      <c r="O53" s="1324" t="s">
        <v>409</v>
      </c>
      <c r="P53" s="1325" t="s">
        <v>838</v>
      </c>
      <c r="Q53" s="1326" t="e">
        <f ca="1">Q47+Q48</f>
        <v>#DIV/0!</v>
      </c>
      <c r="R53" s="1326" t="s">
        <v>410</v>
      </c>
    </row>
    <row r="54" spans="1:18" s="1291" customFormat="1" ht="24.6"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IF(项目基本情况!B11="自然人","——",IF(D61="按租金收入计税",ROUND(C49*F61/(1+'数据-取费表'!C42),2),IF(D61="按房产原值计税",ROUND(C57*F61*0.7,2),INDIRECT("'数据-取费表'!Aj"&amp;$G$1))))</f>
        <v>0</v>
      </c>
      <c r="D61" s="1277" t="s">
        <v>3334</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IF(项目基本情况!B11="自然人","——",ROUND(F62*F63/10000,2))</f>
        <v>0</v>
      </c>
      <c r="D62" s="911" t="s">
        <v>786</v>
      </c>
      <c r="E62" s="896" t="s">
        <v>787</v>
      </c>
      <c r="F62" s="317">
        <f t="shared" si="0"/>
        <v>3</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24.6"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2"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8" thickBot="1">
      <c r="A69" s="897"/>
      <c r="B69" s="898"/>
      <c r="C69" s="298"/>
      <c r="D69" s="916" t="s">
        <v>762</v>
      </c>
      <c r="E69" s="896" t="s">
        <v>763</v>
      </c>
      <c r="F69" s="324">
        <f ca="1">F41</f>
        <v>0</v>
      </c>
      <c r="O69" s="1333" t="s">
        <v>411</v>
      </c>
      <c r="P69" s="1370" t="s">
        <v>872</v>
      </c>
      <c r="Q69" s="1326">
        <f ca="1">C39</f>
        <v>0</v>
      </c>
      <c r="R69" s="1326" t="s">
        <v>818</v>
      </c>
    </row>
    <row r="70" spans="1:18" s="1291" customFormat="1" ht="13.8" thickBot="1">
      <c r="A70" s="900"/>
      <c r="B70" s="901"/>
      <c r="C70" s="302"/>
      <c r="D70" s="912"/>
      <c r="E70" s="896" t="s">
        <v>766</v>
      </c>
      <c r="F70" s="991"/>
      <c r="O70" s="1333" t="s">
        <v>412</v>
      </c>
      <c r="P70" s="1370" t="s">
        <v>873</v>
      </c>
      <c r="Q70" s="1326">
        <f ca="1">C13</f>
        <v>0</v>
      </c>
      <c r="R70" s="1326" t="s">
        <v>818</v>
      </c>
    </row>
    <row r="71" spans="1:18" s="1291" customFormat="1" ht="13.8"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2" customHeight="1">
      <c r="A2" s="1292" t="s">
        <v>2313</v>
      </c>
      <c r="B2" s="2592" t="e">
        <f>IF(D2="——",C40,C40+E2)</f>
        <v>#DIV/0!</v>
      </c>
      <c r="C2" s="2593" t="s">
        <v>2314</v>
      </c>
      <c r="D2" s="3136" t="s">
        <v>3357</v>
      </c>
      <c r="E2" s="3137"/>
      <c r="F2" s="2595"/>
      <c r="G2" s="2596"/>
      <c r="H2" s="2597"/>
      <c r="I2" s="2598"/>
      <c r="J2" s="3410" t="s">
        <v>2315</v>
      </c>
      <c r="K2" s="3411"/>
      <c r="L2" s="2599" t="s">
        <v>2316</v>
      </c>
      <c r="M2" s="2599" t="s">
        <v>2317</v>
      </c>
      <c r="N2" s="2599" t="s">
        <v>2318</v>
      </c>
      <c r="O2" s="2599" t="s">
        <v>2319</v>
      </c>
      <c r="P2" s="2599" t="s">
        <v>2320</v>
      </c>
      <c r="Q2" s="2600" t="s">
        <v>2321</v>
      </c>
      <c r="R2" s="2601" t="s">
        <v>2322</v>
      </c>
      <c r="S2" s="2590"/>
      <c r="T2" s="2590"/>
      <c r="U2" s="2590"/>
      <c r="V2" s="2598"/>
    </row>
    <row r="3" spans="1:22" s="2602" customFormat="1" ht="13.2" customHeight="1">
      <c r="A3" s="2603" t="s">
        <v>2323</v>
      </c>
      <c r="B3" s="2604" t="e">
        <f>ROUND(B2*10000/B4,0)</f>
        <v>#DIV/0!</v>
      </c>
      <c r="C3" s="2593" t="s">
        <v>2324</v>
      </c>
      <c r="D3" s="2593"/>
      <c r="E3" s="2594"/>
      <c r="F3" s="2595"/>
      <c r="G3" s="2596"/>
      <c r="H3" s="2597"/>
      <c r="I3" s="2598"/>
      <c r="J3" s="3412" t="s">
        <v>2325</v>
      </c>
      <c r="K3" s="3413"/>
      <c r="L3" s="2605"/>
      <c r="M3" s="2605"/>
      <c r="N3" s="2605"/>
      <c r="O3" s="2605"/>
      <c r="P3" s="2605"/>
      <c r="Q3" s="2606"/>
      <c r="R3" s="2607">
        <f>SUM(L3:Q3)</f>
        <v>0</v>
      </c>
      <c r="S3" s="2590"/>
      <c r="T3" s="2590"/>
      <c r="U3" s="2590"/>
      <c r="V3" s="2598"/>
    </row>
    <row r="4" spans="1:22" s="2602" customFormat="1" ht="13.2" customHeight="1">
      <c r="A4" s="2608" t="s">
        <v>2326</v>
      </c>
      <c r="B4" s="2609"/>
      <c r="C4" s="2593"/>
      <c r="D4" s="2593"/>
      <c r="E4" s="2594"/>
      <c r="F4" s="2595"/>
      <c r="G4" s="2596"/>
      <c r="H4" s="2597"/>
      <c r="I4" s="2598"/>
      <c r="J4" s="3412" t="s">
        <v>2327</v>
      </c>
      <c r="K4" s="3413"/>
      <c r="L4" s="2610"/>
      <c r="M4" s="2610"/>
      <c r="N4" s="2610"/>
      <c r="O4" s="2610"/>
      <c r="P4" s="2610"/>
      <c r="Q4" s="2611"/>
      <c r="R4" s="2612">
        <f>SUM(L4:Q4)</f>
        <v>0</v>
      </c>
      <c r="S4" s="2590"/>
      <c r="T4" s="2590"/>
      <c r="U4" s="2590"/>
      <c r="V4" s="2598"/>
    </row>
    <row r="5" spans="1:22" s="2602" customFormat="1" ht="13.2"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2" customHeight="1" thickBot="1">
      <c r="A6" s="3414" t="s">
        <v>2331</v>
      </c>
      <c r="B6" s="3415"/>
      <c r="C6" s="3416"/>
      <c r="D6" s="2619"/>
      <c r="E6" s="2620"/>
      <c r="F6" s="2621"/>
      <c r="G6" s="2622"/>
      <c r="H6" s="2597"/>
      <c r="I6" s="2598"/>
      <c r="J6" s="3417">
        <v>1</v>
      </c>
      <c r="K6" s="3418"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2" customHeight="1">
      <c r="A7" s="2625" t="s">
        <v>2341</v>
      </c>
      <c r="B7" s="2626"/>
      <c r="C7" s="2627"/>
      <c r="D7" s="2628">
        <f>SUM(D9,D10,D11,D17,0)</f>
        <v>0</v>
      </c>
      <c r="E7" s="2629" t="e">
        <f>E9+E10+E11+E17</f>
        <v>#DIV/0!</v>
      </c>
      <c r="F7" s="2630"/>
      <c r="G7" s="2631"/>
      <c r="H7" s="2597"/>
      <c r="I7" s="2598"/>
      <c r="J7" s="3417"/>
      <c r="K7" s="3419"/>
      <c r="L7" s="2632" t="s">
        <v>2342</v>
      </c>
      <c r="M7" s="2633"/>
      <c r="N7" s="2609"/>
      <c r="O7" s="2634"/>
      <c r="P7" s="2634"/>
      <c r="Q7" s="2635">
        <v>365</v>
      </c>
      <c r="R7" s="2636">
        <f>ROUND(M7*N7*O7*P7*Q7/10000,0)</f>
        <v>0</v>
      </c>
      <c r="S7" s="2590"/>
      <c r="T7" s="2590" t="s">
        <v>2343</v>
      </c>
      <c r="U7" s="2590"/>
      <c r="V7" s="2598"/>
    </row>
    <row r="8" spans="1:22" s="2602" customFormat="1" ht="13.2" customHeight="1">
      <c r="A8" s="2637" t="s">
        <v>2344</v>
      </c>
      <c r="B8" s="3421" t="s">
        <v>2345</v>
      </c>
      <c r="C8" s="3422"/>
      <c r="D8" s="2638" t="s">
        <v>2346</v>
      </c>
      <c r="E8" s="2639" t="s">
        <v>2347</v>
      </c>
      <c r="F8" s="2640" t="s">
        <v>2348</v>
      </c>
      <c r="G8" s="2641"/>
      <c r="H8" s="2597"/>
      <c r="I8" s="2598"/>
      <c r="J8" s="3417"/>
      <c r="K8" s="3419"/>
      <c r="L8" s="2632" t="s">
        <v>2349</v>
      </c>
      <c r="M8" s="2633"/>
      <c r="N8" s="2609"/>
      <c r="O8" s="2634"/>
      <c r="P8" s="2634"/>
      <c r="Q8" s="2635">
        <v>365</v>
      </c>
      <c r="R8" s="2636">
        <f t="shared" ref="R8:R13" si="0">ROUND(M8*N8*O8*P8*Q8/10000,0)</f>
        <v>0</v>
      </c>
      <c r="S8" s="2590"/>
      <c r="T8" s="2590" t="s">
        <v>2350</v>
      </c>
      <c r="U8" s="2590"/>
      <c r="V8" s="2598"/>
    </row>
    <row r="9" spans="1:22" s="2602" customFormat="1" ht="13.2" customHeight="1">
      <c r="A9" s="2637">
        <v>1</v>
      </c>
      <c r="B9" s="3421" t="s">
        <v>2351</v>
      </c>
      <c r="C9" s="3422"/>
      <c r="D9" s="2638">
        <f>ROUND(D6*E9,0)</f>
        <v>0</v>
      </c>
      <c r="E9" s="2642"/>
      <c r="F9" s="2643" t="s">
        <v>2352</v>
      </c>
      <c r="G9" s="2622"/>
      <c r="H9" s="2597"/>
      <c r="I9" s="2598"/>
      <c r="J9" s="3417"/>
      <c r="K9" s="3419"/>
      <c r="L9" s="2632" t="s">
        <v>2353</v>
      </c>
      <c r="M9" s="2633"/>
      <c r="N9" s="2609"/>
      <c r="O9" s="2634"/>
      <c r="P9" s="2634"/>
      <c r="Q9" s="2635">
        <v>365</v>
      </c>
      <c r="R9" s="2636">
        <f t="shared" si="0"/>
        <v>0</v>
      </c>
      <c r="S9" s="2590"/>
      <c r="T9" s="2590"/>
      <c r="U9" s="2590"/>
      <c r="V9" s="2598"/>
    </row>
    <row r="10" spans="1:22" s="2602" customFormat="1" ht="13.2" customHeight="1">
      <c r="A10" s="2637">
        <v>2</v>
      </c>
      <c r="B10" s="3421" t="s">
        <v>2354</v>
      </c>
      <c r="C10" s="3422"/>
      <c r="D10" s="2638">
        <f>ROUND(D6*E10,0)</f>
        <v>0</v>
      </c>
      <c r="E10" s="2642"/>
      <c r="F10" s="2643" t="s">
        <v>2355</v>
      </c>
      <c r="G10" s="2622"/>
      <c r="H10" s="2597"/>
      <c r="I10" s="2598"/>
      <c r="J10" s="3417"/>
      <c r="K10" s="3419"/>
      <c r="L10" s="2632" t="s">
        <v>2356</v>
      </c>
      <c r="M10" s="2633"/>
      <c r="N10" s="2609"/>
      <c r="O10" s="2634"/>
      <c r="P10" s="2634"/>
      <c r="Q10" s="2635">
        <v>365</v>
      </c>
      <c r="R10" s="2636">
        <f t="shared" si="0"/>
        <v>0</v>
      </c>
      <c r="S10" s="2590"/>
      <c r="T10" s="2590"/>
      <c r="U10" s="2590"/>
      <c r="V10" s="2598"/>
    </row>
    <row r="11" spans="1:22" s="2602" customFormat="1" ht="13.2" customHeight="1">
      <c r="A11" s="2637">
        <v>3</v>
      </c>
      <c r="B11" s="3421" t="s">
        <v>2357</v>
      </c>
      <c r="C11" s="3422"/>
      <c r="D11" s="2638">
        <f>D12+D14+D15+D16</f>
        <v>0</v>
      </c>
      <c r="E11" s="2644" t="e">
        <f>D11/D6</f>
        <v>#DIV/0!</v>
      </c>
      <c r="F11" s="2640"/>
      <c r="G11" s="2641"/>
      <c r="H11" s="2597"/>
      <c r="I11" s="2598"/>
      <c r="J11" s="3417"/>
      <c r="K11" s="3419"/>
      <c r="L11" s="2632" t="s">
        <v>2358</v>
      </c>
      <c r="M11" s="2633"/>
      <c r="N11" s="2609"/>
      <c r="O11" s="2634"/>
      <c r="P11" s="2634"/>
      <c r="Q11" s="2635">
        <v>365</v>
      </c>
      <c r="R11" s="2636">
        <f t="shared" si="0"/>
        <v>0</v>
      </c>
      <c r="S11" s="2590"/>
      <c r="T11" s="2590"/>
      <c r="U11" s="2590"/>
      <c r="V11" s="2598"/>
    </row>
    <row r="12" spans="1:22" s="2602" customFormat="1" ht="13.2" customHeight="1">
      <c r="A12" s="2645" t="s">
        <v>2359</v>
      </c>
      <c r="B12" s="3423" t="s">
        <v>2360</v>
      </c>
      <c r="C12" s="3424"/>
      <c r="D12" s="2646">
        <f>ROUND(D13*1.2%*(1-30%),0)</f>
        <v>0</v>
      </c>
      <c r="E12" s="2647">
        <v>1.2E-2</v>
      </c>
      <c r="F12" s="2640" t="s">
        <v>2361</v>
      </c>
      <c r="G12" s="2641"/>
      <c r="H12" s="2597"/>
      <c r="I12" s="2598"/>
      <c r="J12" s="3417"/>
      <c r="K12" s="3419"/>
      <c r="L12" s="2632" t="s">
        <v>2362</v>
      </c>
      <c r="M12" s="2633"/>
      <c r="N12" s="2609"/>
      <c r="O12" s="2634"/>
      <c r="P12" s="2634"/>
      <c r="Q12" s="2635">
        <v>365</v>
      </c>
      <c r="R12" s="2636">
        <f t="shared" si="0"/>
        <v>0</v>
      </c>
      <c r="S12" s="2590"/>
      <c r="T12" s="2590"/>
      <c r="U12" s="2590"/>
      <c r="V12" s="2598"/>
    </row>
    <row r="13" spans="1:22" s="2602" customFormat="1" ht="13.2" customHeight="1">
      <c r="A13" s="2645"/>
      <c r="B13" s="2648"/>
      <c r="C13" s="2649" t="s">
        <v>2363</v>
      </c>
      <c r="D13" s="2650"/>
      <c r="E13" s="2651"/>
      <c r="F13" s="2640"/>
      <c r="G13" s="2641"/>
      <c r="H13" s="2597"/>
      <c r="I13" s="2598"/>
      <c r="J13" s="3417"/>
      <c r="K13" s="3419"/>
      <c r="L13" s="2632" t="s">
        <v>2364</v>
      </c>
      <c r="M13" s="2633"/>
      <c r="N13" s="2609"/>
      <c r="O13" s="2634"/>
      <c r="P13" s="2634"/>
      <c r="Q13" s="2635">
        <v>365</v>
      </c>
      <c r="R13" s="2636">
        <f t="shared" si="0"/>
        <v>0</v>
      </c>
      <c r="S13" s="2590"/>
      <c r="T13" s="2590"/>
      <c r="U13" s="2590"/>
      <c r="V13" s="2598"/>
    </row>
    <row r="14" spans="1:22" s="2602" customFormat="1" ht="13.2" customHeight="1">
      <c r="A14" s="2645" t="s">
        <v>2365</v>
      </c>
      <c r="B14" s="3423" t="s">
        <v>2366</v>
      </c>
      <c r="C14" s="3424"/>
      <c r="D14" s="2646">
        <f>ROUND(E14*B5/10000,0)</f>
        <v>0</v>
      </c>
      <c r="E14" s="2635"/>
      <c r="F14" s="2640" t="s">
        <v>2367</v>
      </c>
      <c r="G14" s="2641"/>
      <c r="H14" s="2597"/>
      <c r="I14" s="2598"/>
      <c r="J14" s="3417"/>
      <c r="K14" s="3420"/>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2369</v>
      </c>
      <c r="B15" s="3423" t="s">
        <v>2370</v>
      </c>
      <c r="C15" s="3424"/>
      <c r="D15" s="2646">
        <f>ROUND(D6*E15,0)</f>
        <v>0</v>
      </c>
      <c r="E15" s="2647">
        <v>5.5E-2</v>
      </c>
      <c r="F15" s="2640" t="s">
        <v>2371</v>
      </c>
      <c r="G15" s="2622"/>
      <c r="H15" s="2597"/>
      <c r="I15" s="2598"/>
      <c r="J15" s="3417">
        <v>2</v>
      </c>
      <c r="K15" s="3418"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2" customHeight="1">
      <c r="A16" s="2645" t="s">
        <v>2378</v>
      </c>
      <c r="B16" s="3423" t="s">
        <v>2379</v>
      </c>
      <c r="C16" s="3424"/>
      <c r="D16" s="2657">
        <f>D6*E16</f>
        <v>0</v>
      </c>
      <c r="E16" s="2658"/>
      <c r="F16" s="2643" t="s">
        <v>2380</v>
      </c>
      <c r="G16" s="2622"/>
      <c r="H16" s="2597"/>
      <c r="I16" s="2598"/>
      <c r="J16" s="3417"/>
      <c r="K16" s="3419"/>
      <c r="L16" s="2632" t="s">
        <v>2381</v>
      </c>
      <c r="M16" s="2633"/>
      <c r="N16" s="2633"/>
      <c r="O16" s="2634"/>
      <c r="P16" s="2635">
        <v>365</v>
      </c>
      <c r="Q16" s="2609"/>
      <c r="R16" s="2656">
        <f>ROUND(M16*N16*O16*P16/10000,0)</f>
        <v>0</v>
      </c>
      <c r="S16" s="2590"/>
      <c r="T16" s="2590"/>
      <c r="U16" s="2590"/>
      <c r="V16" s="2598"/>
    </row>
    <row r="17" spans="1:22" s="2602" customFormat="1" ht="13.2" customHeight="1" thickBot="1">
      <c r="A17" s="2659">
        <v>4</v>
      </c>
      <c r="B17" s="3425" t="s">
        <v>2382</v>
      </c>
      <c r="C17" s="3426"/>
      <c r="D17" s="2660">
        <f>ROUND(D6*E17,0)</f>
        <v>0</v>
      </c>
      <c r="E17" s="2661"/>
      <c r="F17" s="2662" t="s">
        <v>2383</v>
      </c>
      <c r="G17" s="2622"/>
      <c r="H17" s="2597"/>
      <c r="I17" s="2598"/>
      <c r="J17" s="3417"/>
      <c r="K17" s="3419"/>
      <c r="L17" s="2632" t="s">
        <v>2384</v>
      </c>
      <c r="M17" s="2633"/>
      <c r="N17" s="2633"/>
      <c r="O17" s="2634"/>
      <c r="P17" s="2635">
        <v>365</v>
      </c>
      <c r="Q17" s="2609"/>
      <c r="R17" s="2656">
        <f>ROUND(M17*N17*O17*P17/10000,0)</f>
        <v>0</v>
      </c>
      <c r="S17" s="2590"/>
      <c r="T17" s="2590"/>
      <c r="U17" s="2590"/>
      <c r="V17" s="2598"/>
    </row>
    <row r="18" spans="1:22" s="2602" customFormat="1" ht="13.2" customHeight="1" thickBot="1">
      <c r="A18" s="2625" t="s">
        <v>2385</v>
      </c>
      <c r="B18" s="2626"/>
      <c r="C18" s="2626"/>
      <c r="D18" s="2663">
        <f>ROUND(D6*E18,0)</f>
        <v>0</v>
      </c>
      <c r="E18" s="2664"/>
      <c r="F18" s="2665" t="s">
        <v>2386</v>
      </c>
      <c r="G18" s="2622"/>
      <c r="H18" s="2597"/>
      <c r="I18" s="2598"/>
      <c r="J18" s="3417"/>
      <c r="K18" s="3419"/>
      <c r="L18" s="2632" t="s">
        <v>2387</v>
      </c>
      <c r="M18" s="2633"/>
      <c r="N18" s="2633"/>
      <c r="O18" s="2634"/>
      <c r="P18" s="2635">
        <v>365</v>
      </c>
      <c r="Q18" s="2609"/>
      <c r="R18" s="2656">
        <f>ROUND(M18*N18*O18*P18/10000,0)</f>
        <v>0</v>
      </c>
      <c r="S18" s="2590"/>
      <c r="T18" s="2590"/>
      <c r="U18" s="2590"/>
      <c r="V18" s="2598"/>
    </row>
    <row r="19" spans="1:22" s="2602" customFormat="1" ht="13.2" customHeight="1" thickBot="1">
      <c r="A19" s="2666" t="s">
        <v>2388</v>
      </c>
      <c r="B19" s="2620"/>
      <c r="C19" s="2620"/>
      <c r="D19" s="2620"/>
      <c r="E19" s="2620"/>
      <c r="F19" s="2621"/>
      <c r="G19" s="2641"/>
      <c r="H19" s="2597"/>
      <c r="I19" s="2598"/>
      <c r="J19" s="3417"/>
      <c r="K19" s="3420"/>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17">
        <v>3</v>
      </c>
      <c r="K20" s="3418"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2" customHeight="1">
      <c r="A21" s="2625"/>
      <c r="B21" s="2626"/>
      <c r="C21" s="2671" t="s">
        <v>2397</v>
      </c>
      <c r="D21" s="2672" t="s">
        <v>2398</v>
      </c>
      <c r="E21" s="2673" t="s">
        <v>2399</v>
      </c>
      <c r="F21" s="2669"/>
      <c r="G21" s="2641"/>
      <c r="H21" s="2597"/>
      <c r="I21" s="2598"/>
      <c r="J21" s="3417"/>
      <c r="K21" s="3419"/>
      <c r="L21" s="2632" t="s">
        <v>2400</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2401</v>
      </c>
      <c r="D22" s="2676" t="s">
        <v>2402</v>
      </c>
      <c r="E22" s="2677" t="s">
        <v>2403</v>
      </c>
      <c r="F22" s="2669"/>
      <c r="G22" s="2590"/>
      <c r="H22" s="2597"/>
      <c r="I22" s="2598"/>
      <c r="J22" s="3417"/>
      <c r="K22" s="3419"/>
      <c r="L22" s="2632" t="s">
        <v>2404</v>
      </c>
      <c r="M22" s="2633"/>
      <c r="N22" s="2633"/>
      <c r="O22" s="2634"/>
      <c r="P22" s="2635">
        <v>365</v>
      </c>
      <c r="Q22" s="2609"/>
      <c r="R22" s="2674">
        <f>ROUND(M22*N22*O22*P22/10000,0)</f>
        <v>0</v>
      </c>
      <c r="S22" s="2590"/>
      <c r="T22" s="2590"/>
      <c r="U22" s="2590"/>
      <c r="V22" s="2598"/>
    </row>
    <row r="23" spans="1:22" s="2602" customFormat="1" ht="13.2" customHeight="1">
      <c r="A23" s="2678">
        <v>1</v>
      </c>
      <c r="B23" s="2679" t="s">
        <v>2405</v>
      </c>
      <c r="C23" s="2680">
        <f>D6</f>
        <v>0</v>
      </c>
      <c r="D23" s="2681">
        <f>C23*(1+D24)</f>
        <v>0</v>
      </c>
      <c r="E23" s="2682">
        <f>D23*(1+E24)</f>
        <v>0</v>
      </c>
      <c r="F23" s="2683"/>
      <c r="G23" s="2684"/>
      <c r="H23" s="2597"/>
      <c r="I23" s="2598"/>
      <c r="J23" s="3417"/>
      <c r="K23" s="3419"/>
      <c r="L23" s="2632" t="s">
        <v>2406</v>
      </c>
      <c r="M23" s="2633"/>
      <c r="N23" s="2633"/>
      <c r="O23" s="2634"/>
      <c r="P23" s="2635">
        <v>365</v>
      </c>
      <c r="Q23" s="2609"/>
      <c r="R23" s="2674">
        <f>ROUND(M23*N23*O23*P23/10000,0)</f>
        <v>0</v>
      </c>
      <c r="S23" s="2590"/>
      <c r="T23" s="2590"/>
      <c r="U23" s="2590"/>
      <c r="V23" s="2598"/>
    </row>
    <row r="24" spans="1:22" s="2602" customFormat="1" ht="13.2" customHeight="1">
      <c r="A24" s="2685"/>
      <c r="B24" s="2686" t="s">
        <v>2407</v>
      </c>
      <c r="C24" s="2687"/>
      <c r="D24" s="2688"/>
      <c r="E24" s="2689"/>
      <c r="F24" s="2690"/>
      <c r="G24" s="2684"/>
      <c r="H24" s="2597"/>
      <c r="I24" s="2598"/>
      <c r="J24" s="3417"/>
      <c r="K24" s="3420"/>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2" customHeight="1">
      <c r="A26" s="2678">
        <v>2</v>
      </c>
      <c r="B26" s="2679" t="s">
        <v>2409</v>
      </c>
      <c r="C26" s="2680">
        <f>D7</f>
        <v>0</v>
      </c>
      <c r="D26" s="2681">
        <f>D23*D27</f>
        <v>0</v>
      </c>
      <c r="E26" s="2682">
        <f>E23*E27</f>
        <v>0</v>
      </c>
      <c r="F26" s="2683"/>
      <c r="G26" s="2684"/>
      <c r="H26" s="2597"/>
      <c r="I26" s="2598"/>
      <c r="J26" s="3427">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2" customHeight="1">
      <c r="A27" s="2685"/>
      <c r="B27" s="2686" t="s">
        <v>2415</v>
      </c>
      <c r="C27" s="2703" t="e">
        <f>E7</f>
        <v>#DIV/0!</v>
      </c>
      <c r="D27" s="2688"/>
      <c r="E27" s="2689"/>
      <c r="F27" s="2690"/>
      <c r="G27" s="2684"/>
      <c r="H27" s="2704"/>
      <c r="I27" s="2696"/>
      <c r="J27" s="3428"/>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2"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2" customHeight="1">
      <c r="A32" s="2678">
        <v>4</v>
      </c>
      <c r="B32" s="2679" t="s">
        <v>2423</v>
      </c>
      <c r="C32" s="2680">
        <f>C23-C26-C29</f>
        <v>0</v>
      </c>
      <c r="D32" s="2681">
        <f>D23-D26-D29</f>
        <v>0</v>
      </c>
      <c r="E32" s="2682">
        <f>E23-E26-E29</f>
        <v>0</v>
      </c>
      <c r="F32" s="2683"/>
      <c r="G32" s="2590"/>
      <c r="H32" s="2597"/>
      <c r="I32" s="2598"/>
      <c r="J32" s="3410" t="s">
        <v>2315</v>
      </c>
      <c r="K32" s="3411"/>
      <c r="L32" s="2599" t="s">
        <v>2316</v>
      </c>
      <c r="M32" s="2599" t="s">
        <v>2317</v>
      </c>
      <c r="N32" s="2599" t="s">
        <v>2318</v>
      </c>
      <c r="O32" s="2599" t="s">
        <v>2319</v>
      </c>
      <c r="P32" s="2599" t="s">
        <v>2320</v>
      </c>
      <c r="Q32" s="2600" t="s">
        <v>2321</v>
      </c>
      <c r="R32" s="2719" t="s">
        <v>2322</v>
      </c>
      <c r="S32" s="2590"/>
      <c r="T32" s="2590"/>
      <c r="U32" s="2590"/>
      <c r="V32" s="2696"/>
    </row>
    <row r="33" spans="1:23" s="2602" customFormat="1" ht="13.2" customHeight="1">
      <c r="A33" s="2678"/>
      <c r="B33" s="2679"/>
      <c r="C33" s="2680"/>
      <c r="D33" s="2720"/>
      <c r="E33" s="2721"/>
      <c r="F33" s="2683"/>
      <c r="G33" s="2590"/>
      <c r="H33" s="2704"/>
      <c r="I33" s="2696"/>
      <c r="J33" s="3412" t="s">
        <v>2325</v>
      </c>
      <c r="K33" s="3413"/>
      <c r="L33" s="2605"/>
      <c r="M33" s="2605"/>
      <c r="N33" s="2605"/>
      <c r="O33" s="2605"/>
      <c r="P33" s="2605"/>
      <c r="Q33" s="2606"/>
      <c r="R33" s="2722">
        <f>SUM(L33:Q33)</f>
        <v>0</v>
      </c>
      <c r="S33" s="2590"/>
      <c r="T33" s="2590"/>
      <c r="U33" s="2590"/>
      <c r="V33" s="2598"/>
    </row>
    <row r="34" spans="1:23" s="2602" customFormat="1" ht="13.2" customHeight="1">
      <c r="A34" s="2678">
        <v>5</v>
      </c>
      <c r="B34" s="2679" t="s">
        <v>2424</v>
      </c>
      <c r="C34" s="2723"/>
      <c r="D34" s="2724"/>
      <c r="E34" s="2725"/>
      <c r="F34" s="2683"/>
      <c r="G34" s="2590"/>
      <c r="H34" s="2704"/>
      <c r="I34" s="2696"/>
      <c r="J34" s="3412" t="s">
        <v>2327</v>
      </c>
      <c r="K34" s="3413"/>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2" customHeight="1" thickBot="1">
      <c r="A36" s="2678">
        <v>7</v>
      </c>
      <c r="B36" s="2732" t="s">
        <v>2426</v>
      </c>
      <c r="C36" s="2733"/>
      <c r="D36" s="2734"/>
      <c r="E36" s="2735"/>
      <c r="F36" s="2736">
        <f>C36+D36+E36</f>
        <v>0</v>
      </c>
      <c r="G36" s="2590"/>
      <c r="H36" s="2597"/>
      <c r="I36" s="2598"/>
      <c r="J36" s="3417">
        <v>1</v>
      </c>
      <c r="K36" s="3418" t="s">
        <v>2427</v>
      </c>
      <c r="L36" s="2623"/>
      <c r="M36" s="2624"/>
      <c r="N36" s="2624"/>
      <c r="O36" s="2624"/>
      <c r="P36" s="2624"/>
      <c r="Q36" s="2624"/>
      <c r="R36" s="2607" t="s">
        <v>2339</v>
      </c>
      <c r="S36" s="2590"/>
      <c r="T36" s="2590" t="s">
        <v>2340</v>
      </c>
      <c r="U36" s="2590"/>
      <c r="V36" s="2598"/>
    </row>
    <row r="37" spans="1:23" s="2602" customFormat="1" ht="13.2" customHeight="1">
      <c r="A37" s="2678"/>
      <c r="B37" s="2679"/>
      <c r="C37" s="2679"/>
      <c r="D37" s="2679"/>
      <c r="E37" s="2679"/>
      <c r="F37" s="2683"/>
      <c r="G37" s="2590"/>
      <c r="H37" s="2597"/>
      <c r="I37" s="2598"/>
      <c r="J37" s="3417"/>
      <c r="K37" s="3419"/>
      <c r="L37" s="2632"/>
      <c r="M37" s="2633"/>
      <c r="N37" s="2609"/>
      <c r="O37" s="2634"/>
      <c r="P37" s="2634"/>
      <c r="Q37" s="2635"/>
      <c r="R37" s="2636"/>
      <c r="S37" s="2590"/>
      <c r="T37" s="2590" t="s">
        <v>2343</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17"/>
      <c r="K38" s="3419"/>
      <c r="L38" s="2632"/>
      <c r="M38" s="2633"/>
      <c r="N38" s="2609"/>
      <c r="O38" s="2634"/>
      <c r="P38" s="2634"/>
      <c r="Q38" s="2635"/>
      <c r="R38" s="2636"/>
      <c r="S38" s="2590"/>
      <c r="T38" s="2590" t="s">
        <v>2350</v>
      </c>
      <c r="U38" s="2590"/>
      <c r="V38" s="2598"/>
    </row>
    <row r="39" spans="1:23" s="2602" customFormat="1" ht="13.2" customHeight="1">
      <c r="A39" s="2678">
        <v>9</v>
      </c>
      <c r="B39" s="2679" t="s">
        <v>2428</v>
      </c>
      <c r="C39" s="2646" t="e">
        <f>C38</f>
        <v>#DIV/0!</v>
      </c>
      <c r="D39" s="2679">
        <f>D38/(1+D34)^C36</f>
        <v>0</v>
      </c>
      <c r="E39" s="2679">
        <f>E38/(1+E34)^(C36+D36)</f>
        <v>0</v>
      </c>
      <c r="F39" s="2683"/>
      <c r="G39" s="2598"/>
      <c r="H39" s="2597"/>
      <c r="I39" s="2598"/>
      <c r="J39" s="3417"/>
      <c r="K39" s="3419"/>
      <c r="L39" s="2632"/>
      <c r="M39" s="2633"/>
      <c r="N39" s="2609"/>
      <c r="O39" s="2634"/>
      <c r="P39" s="2634"/>
      <c r="Q39" s="2635"/>
      <c r="R39" s="2636"/>
      <c r="S39" s="2590"/>
      <c r="T39" s="2590"/>
      <c r="U39" s="2590"/>
      <c r="V39" s="2598"/>
    </row>
    <row r="40" spans="1:23" s="2602" customFormat="1" ht="13.2" customHeight="1">
      <c r="A40" s="2737">
        <v>10</v>
      </c>
      <c r="B40" s="2679" t="s">
        <v>2429</v>
      </c>
      <c r="C40" s="2738" t="e">
        <f>C39+D39+E39</f>
        <v>#DIV/0!</v>
      </c>
      <c r="D40" s="2739"/>
      <c r="E40" s="2739"/>
      <c r="F40" s="2740"/>
      <c r="G40" s="2590"/>
      <c r="H40" s="2597"/>
      <c r="I40" s="2598"/>
      <c r="J40" s="3417"/>
      <c r="K40" s="3420"/>
      <c r="L40" s="2652" t="s">
        <v>2368</v>
      </c>
      <c r="M40" s="2653"/>
      <c r="N40" s="2653"/>
      <c r="O40" s="2654"/>
      <c r="P40" s="2654"/>
      <c r="Q40" s="2655"/>
      <c r="R40" s="2601">
        <f>SUM(R37:R39)</f>
        <v>0</v>
      </c>
      <c r="S40" s="2590"/>
      <c r="T40" s="2590"/>
      <c r="U40" s="2590"/>
      <c r="V40" s="2598"/>
    </row>
    <row r="41" spans="1:23" s="2602" customFormat="1" ht="13.2"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2" customHeight="1">
      <c r="G42" s="2597"/>
      <c r="H42" s="2597"/>
      <c r="I42" s="2598"/>
      <c r="J42" s="3427">
        <v>3</v>
      </c>
      <c r="K42" s="2698" t="s">
        <v>2410</v>
      </c>
      <c r="L42" s="2699"/>
      <c r="M42" s="2700"/>
      <c r="N42" s="2701" t="s">
        <v>2411</v>
      </c>
      <c r="O42" s="2701" t="s">
        <v>2412</v>
      </c>
      <c r="P42" s="2702" t="s">
        <v>2413</v>
      </c>
      <c r="Q42" s="2702" t="s">
        <v>2414</v>
      </c>
      <c r="R42" s="2607" t="s">
        <v>2339</v>
      </c>
      <c r="S42" s="2641"/>
      <c r="T42" s="2641"/>
      <c r="U42" s="2590"/>
      <c r="V42" s="2598"/>
    </row>
    <row r="43" spans="1:23" ht="13.2" customHeight="1">
      <c r="A43" s="2602"/>
      <c r="B43" s="2602"/>
      <c r="C43" s="2602"/>
      <c r="D43" s="2602"/>
      <c r="E43" s="2602"/>
      <c r="F43" s="2602"/>
      <c r="I43" s="2585"/>
      <c r="J43" s="3428"/>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7"/>
      <c r="G1" s="459"/>
      <c r="H1" s="459"/>
      <c r="I1" s="459"/>
      <c r="J1" s="459"/>
      <c r="K1" s="459"/>
      <c r="L1" s="459"/>
      <c r="M1" s="459"/>
      <c r="N1" s="459"/>
      <c r="O1" s="459"/>
      <c r="P1" s="459"/>
      <c r="Q1" s="459"/>
      <c r="R1" s="459"/>
      <c r="S1" s="459"/>
    </row>
    <row r="2" spans="1:22" ht="15.6">
      <c r="A2" s="1727" t="s">
        <v>1462</v>
      </c>
      <c r="B2" s="811" t="e">
        <f ca="1">SUMIF(B6:B13,"&lt;&gt;#ref!",B6:B13)</f>
        <v>#DIV/0!</v>
      </c>
      <c r="C2" s="1728" t="s">
        <v>1651</v>
      </c>
      <c r="D2" s="1729" t="s">
        <v>1652</v>
      </c>
      <c r="E2" s="2391">
        <f>SUM(E6:E13)</f>
        <v>105.06</v>
      </c>
      <c r="F2" s="2477"/>
      <c r="G2" s="459"/>
      <c r="H2" s="459"/>
      <c r="I2" s="459"/>
      <c r="J2" s="459"/>
      <c r="K2" s="459"/>
      <c r="L2" s="459"/>
      <c r="M2" s="459"/>
      <c r="N2" s="459"/>
      <c r="O2" s="459"/>
      <c r="P2" s="459"/>
      <c r="Q2" s="459"/>
      <c r="R2" s="459"/>
      <c r="S2" s="459"/>
    </row>
    <row r="3" spans="1:22" ht="15.6">
      <c r="A3" s="1727" t="s">
        <v>686</v>
      </c>
      <c r="B3" s="2385" t="e">
        <f ca="1">ROUND(B2*10000/E2,0)</f>
        <v>#DIV/0!</v>
      </c>
      <c r="C3" s="1728"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29" t="s">
        <v>1654</v>
      </c>
      <c r="C5" s="3430"/>
      <c r="D5" s="2478"/>
      <c r="E5" s="1730" t="s">
        <v>1655</v>
      </c>
      <c r="F5" s="129" t="s">
        <v>1656</v>
      </c>
      <c r="G5" s="459"/>
      <c r="H5" s="459"/>
      <c r="I5" s="459"/>
      <c r="J5" s="459"/>
      <c r="K5" s="459"/>
      <c r="L5" s="459"/>
      <c r="M5" s="459"/>
      <c r="N5" s="459"/>
      <c r="O5" s="459"/>
      <c r="P5" s="459"/>
      <c r="Q5" s="459"/>
      <c r="R5" s="459"/>
      <c r="S5" s="459"/>
    </row>
    <row r="6" spans="1:22" ht="14.4">
      <c r="A6" s="2388" t="str">
        <f>'数据-取费表'!AN6</f>
        <v>收益法 (元)</v>
      </c>
      <c r="B6" s="2386" t="e">
        <f ca="1">IF(F6="是",'数据-取费表'!AO6,0)</f>
        <v>#DIV/0!</v>
      </c>
      <c r="C6" s="1728" t="s">
        <v>1651</v>
      </c>
      <c r="D6" s="2477"/>
      <c r="E6" s="2390">
        <f>IF(OR(A6=0,F6="否"),0,'数据-取费表'!K6+'数据-取费表'!S6)</f>
        <v>105.06</v>
      </c>
      <c r="F6" s="1731"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8" t="s">
        <v>1651</v>
      </c>
      <c r="D7" s="2477"/>
      <c r="E7" s="2390">
        <f>IF(OR(A7=0,F7="否"),0,'数据-取费表'!K7+'数据-取费表'!S7)</f>
        <v>0</v>
      </c>
      <c r="F7" s="1731"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8" t="s">
        <v>1651</v>
      </c>
      <c r="D8" s="2477"/>
      <c r="E8" s="2390">
        <f>IF(OR(A8=0,F8="否"),0,'数据-取费表'!K8+'数据-取费表'!S8)</f>
        <v>0</v>
      </c>
      <c r="F8" s="1731"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8" t="s">
        <v>1651</v>
      </c>
      <c r="D9" s="2477"/>
      <c r="E9" s="2390">
        <f>IF(OR(A9=0,F9="否"),0,'数据-取费表'!K9+'数据-取费表'!S9)</f>
        <v>0</v>
      </c>
      <c r="F9" s="1731"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8" t="s">
        <v>1651</v>
      </c>
      <c r="D10" s="2477"/>
      <c r="E10" s="2390">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8" t="s">
        <v>1651</v>
      </c>
      <c r="D11" s="2477"/>
      <c r="E11" s="2390">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8" t="s">
        <v>1651</v>
      </c>
      <c r="D12" s="2477"/>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105.06</v>
      </c>
      <c r="E3" s="1804"/>
      <c r="F3" s="856"/>
      <c r="G3" s="855"/>
      <c r="H3" s="855"/>
      <c r="I3" s="855"/>
      <c r="J3" s="855"/>
      <c r="K3" s="857"/>
      <c r="L3" s="2501"/>
      <c r="M3" s="2502"/>
      <c r="N3" s="2502"/>
      <c r="O3" s="2502"/>
      <c r="P3" s="1803"/>
      <c r="Q3" s="859"/>
      <c r="R3" s="859"/>
      <c r="S3" s="859"/>
      <c r="T3" s="859"/>
      <c r="U3" s="859"/>
      <c r="V3" s="859"/>
      <c r="W3" s="859"/>
      <c r="X3" s="859"/>
      <c r="Y3" s="859"/>
      <c r="Z3" s="859"/>
      <c r="AA3" s="859"/>
      <c r="AB3" s="859"/>
      <c r="AC3" s="1804"/>
    </row>
    <row r="4" spans="1:29" ht="14.4">
      <c r="A4" s="345" t="s">
        <v>1769</v>
      </c>
      <c r="B4" s="346"/>
      <c r="C4" s="3378" t="s">
        <v>1770</v>
      </c>
      <c r="D4" s="3379"/>
      <c r="E4" s="3380" t="s">
        <v>1771</v>
      </c>
      <c r="F4" s="3381"/>
      <c r="G4" s="3378" t="s">
        <v>1772</v>
      </c>
      <c r="H4" s="3379"/>
      <c r="I4" s="3378" t="s">
        <v>1773</v>
      </c>
      <c r="J4" s="3379"/>
      <c r="K4" s="537" t="s">
        <v>1774</v>
      </c>
      <c r="L4" s="2484"/>
      <c r="M4" s="2485"/>
      <c r="N4" s="2485"/>
      <c r="O4" s="2485"/>
      <c r="P4" s="3382" t="s">
        <v>1775</v>
      </c>
      <c r="Q4" s="3383"/>
      <c r="R4" s="3365" t="s">
        <v>1771</v>
      </c>
      <c r="S4" s="3366"/>
      <c r="T4" s="3365" t="s">
        <v>1772</v>
      </c>
      <c r="U4" s="3366"/>
      <c r="V4" s="3390" t="s">
        <v>1773</v>
      </c>
      <c r="W4" s="3390"/>
      <c r="X4" s="1264"/>
      <c r="Y4" s="3365" t="s">
        <v>1775</v>
      </c>
      <c r="Z4" s="3366"/>
      <c r="AA4" s="3360" t="s">
        <v>1771</v>
      </c>
      <c r="AB4" s="3390" t="s">
        <v>1772</v>
      </c>
      <c r="AC4" s="3360" t="s">
        <v>1773</v>
      </c>
    </row>
    <row r="5" spans="1:29">
      <c r="A5" s="348"/>
      <c r="B5" s="349"/>
      <c r="C5" s="3371" t="s">
        <v>1673</v>
      </c>
      <c r="D5" s="3372"/>
      <c r="E5" s="3369" t="s">
        <v>1674</v>
      </c>
      <c r="F5" s="3370"/>
      <c r="G5" s="3371" t="s">
        <v>1675</v>
      </c>
      <c r="H5" s="3372"/>
      <c r="I5" s="3371" t="s">
        <v>1676</v>
      </c>
      <c r="J5" s="3372"/>
      <c r="K5" s="537"/>
      <c r="L5" s="2484"/>
      <c r="M5" s="2485"/>
      <c r="N5" s="2485"/>
      <c r="O5" s="2485"/>
      <c r="P5" s="3384"/>
      <c r="Q5" s="3385"/>
      <c r="R5" s="3367"/>
      <c r="S5" s="3368"/>
      <c r="T5" s="3367"/>
      <c r="U5" s="3368"/>
      <c r="V5" s="3390"/>
      <c r="W5" s="3390"/>
      <c r="X5" s="1264"/>
      <c r="Y5" s="3367"/>
      <c r="Z5" s="3368"/>
      <c r="AA5" s="3361"/>
      <c r="AB5" s="3390"/>
      <c r="AC5" s="3361"/>
    </row>
    <row r="6" spans="1:29" ht="15" thickBot="1">
      <c r="A6" s="350"/>
      <c r="B6" s="351"/>
      <c r="C6" s="3373" t="s">
        <v>1677</v>
      </c>
      <c r="D6" s="3374"/>
      <c r="E6" s="3375" t="s">
        <v>1677</v>
      </c>
      <c r="F6" s="3376"/>
      <c r="G6" s="3373" t="s">
        <v>1677</v>
      </c>
      <c r="H6" s="3374"/>
      <c r="I6" s="3373" t="s">
        <v>1677</v>
      </c>
      <c r="J6" s="3374"/>
      <c r="K6" s="537" t="s">
        <v>1678</v>
      </c>
      <c r="L6" s="2484"/>
      <c r="M6" s="2485"/>
      <c r="N6" s="2485"/>
      <c r="O6" s="2485"/>
      <c r="P6" s="3386"/>
      <c r="Q6" s="3387"/>
      <c r="R6" s="3367"/>
      <c r="S6" s="3368"/>
      <c r="T6" s="3388"/>
      <c r="U6" s="3389"/>
      <c r="V6" s="3390"/>
      <c r="W6" s="3390"/>
      <c r="X6" s="1264"/>
      <c r="Y6" s="3388"/>
      <c r="Z6" s="3389"/>
      <c r="AA6" s="3362"/>
      <c r="AB6" s="3390"/>
      <c r="AC6" s="3362"/>
    </row>
    <row r="7" spans="1:29" s="102" customFormat="1" ht="15" thickBot="1">
      <c r="A7" s="352" t="s">
        <v>1679</v>
      </c>
      <c r="B7" s="353"/>
      <c r="C7" s="354">
        <f>'数据-取费表'!B2</f>
        <v>45727</v>
      </c>
      <c r="D7" s="355">
        <v>100</v>
      </c>
      <c r="E7" s="356"/>
      <c r="F7" s="357">
        <f>SUMIF(58:58,YEAR(E7)&amp;"-"&amp;MONTH(E7),59:59)</f>
        <v>0</v>
      </c>
      <c r="G7" s="356"/>
      <c r="H7" s="355">
        <f>SUMIF(58:58,YEAR(G7)&amp;"-"&amp;MONTH(G7),59:59)</f>
        <v>0</v>
      </c>
      <c r="I7" s="356"/>
      <c r="J7" s="355">
        <f>SUMIF(58:58,YEAR(I7)&amp;"-"&amp;MONTH(I7),59:59)</f>
        <v>0</v>
      </c>
      <c r="K7" s="38"/>
      <c r="L7" s="2486"/>
      <c r="M7" s="2438"/>
      <c r="N7" s="2438"/>
      <c r="O7" s="2438"/>
      <c r="P7" s="3363" t="s">
        <v>1680</v>
      </c>
      <c r="Q7" s="3391"/>
      <c r="R7" s="664" t="s">
        <v>14</v>
      </c>
      <c r="S7" s="665">
        <f t="shared" ref="S7:S15" si="0">F7</f>
        <v>0</v>
      </c>
      <c r="T7" s="664" t="s">
        <v>14</v>
      </c>
      <c r="U7" s="665">
        <f t="shared" ref="U7:U15" si="1">H7</f>
        <v>0</v>
      </c>
      <c r="V7" s="664" t="s">
        <v>14</v>
      </c>
      <c r="W7" s="665">
        <f t="shared" ref="W7:W15" si="2">J7</f>
        <v>0</v>
      </c>
      <c r="X7" s="666"/>
      <c r="Y7" s="3363" t="s">
        <v>1680</v>
      </c>
      <c r="Z7" s="3364"/>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63" t="s">
        <v>1683</v>
      </c>
      <c r="Q8" s="3364"/>
      <c r="R8" s="664" t="s">
        <v>14</v>
      </c>
      <c r="S8" s="665">
        <f t="shared" si="0"/>
        <v>100</v>
      </c>
      <c r="T8" s="664" t="s">
        <v>14</v>
      </c>
      <c r="U8" s="665">
        <f t="shared" si="1"/>
        <v>100</v>
      </c>
      <c r="V8" s="664" t="s">
        <v>14</v>
      </c>
      <c r="W8" s="665">
        <f t="shared" si="2"/>
        <v>100</v>
      </c>
      <c r="X8" s="666"/>
      <c r="Y8" s="3363" t="s">
        <v>1683</v>
      </c>
      <c r="Z8" s="3364"/>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77"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77"/>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77"/>
      <c r="Q11" s="530" t="str">
        <f t="shared" si="6"/>
        <v>容积率</v>
      </c>
      <c r="R11" s="664" t="s">
        <v>14</v>
      </c>
      <c r="S11" s="665" t="e">
        <f t="shared" si="0"/>
        <v>#N/A</v>
      </c>
      <c r="T11" s="664" t="s">
        <v>14</v>
      </c>
      <c r="U11" s="665" t="e">
        <f t="shared" si="1"/>
        <v>#N/A</v>
      </c>
      <c r="V11" s="664" t="s">
        <v>14</v>
      </c>
      <c r="W11" s="665" t="e">
        <f t="shared" si="2"/>
        <v>#N/A</v>
      </c>
      <c r="X11" s="666"/>
      <c r="Y11" s="333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77"/>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77"/>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77"/>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03" t="s">
        <v>1691</v>
      </c>
      <c r="Q15" s="1262" t="str">
        <f t="shared" si="6"/>
        <v>商业繁华度</v>
      </c>
      <c r="R15" s="667" t="s">
        <v>14</v>
      </c>
      <c r="S15" s="668">
        <f t="shared" si="0"/>
        <v>100</v>
      </c>
      <c r="T15" s="667" t="s">
        <v>14</v>
      </c>
      <c r="U15" s="668">
        <f t="shared" si="1"/>
        <v>100</v>
      </c>
      <c r="V15" s="667" t="s">
        <v>14</v>
      </c>
      <c r="W15" s="668">
        <f t="shared" si="2"/>
        <v>100</v>
      </c>
      <c r="X15" s="1264"/>
      <c r="Y15" s="3396"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404"/>
      <c r="Q16" s="1262"/>
      <c r="R16" s="667"/>
      <c r="S16" s="668"/>
      <c r="T16" s="667"/>
      <c r="U16" s="668"/>
      <c r="V16" s="667"/>
      <c r="W16" s="668"/>
      <c r="X16" s="1264"/>
      <c r="Y16" s="3397"/>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04"/>
      <c r="Q17" s="1262" t="str">
        <f>B17</f>
        <v>交通便捷度</v>
      </c>
      <c r="R17" s="667" t="s">
        <v>14</v>
      </c>
      <c r="S17" s="668">
        <f>F17</f>
        <v>100</v>
      </c>
      <c r="T17" s="667" t="s">
        <v>14</v>
      </c>
      <c r="U17" s="668">
        <f>H17</f>
        <v>100</v>
      </c>
      <c r="V17" s="667" t="s">
        <v>14</v>
      </c>
      <c r="W17" s="668">
        <f>J17</f>
        <v>100</v>
      </c>
      <c r="X17" s="1264"/>
      <c r="Y17" s="339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404"/>
      <c r="Q18" s="1262"/>
      <c r="R18" s="667"/>
      <c r="S18" s="668"/>
      <c r="T18" s="667"/>
      <c r="U18" s="668"/>
      <c r="V18" s="667"/>
      <c r="W18" s="668"/>
      <c r="X18" s="1264"/>
      <c r="Y18" s="3397"/>
      <c r="Z18" s="1263"/>
      <c r="AA18" s="1263">
        <v>1</v>
      </c>
      <c r="AB18" s="1263">
        <v>1</v>
      </c>
      <c r="AC18" s="1263">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04"/>
      <c r="Q19" s="1262" t="str">
        <f>B19</f>
        <v>公共配套设施</v>
      </c>
      <c r="R19" s="667" t="s">
        <v>14</v>
      </c>
      <c r="S19" s="668">
        <f>F19</f>
        <v>100</v>
      </c>
      <c r="T19" s="667" t="s">
        <v>14</v>
      </c>
      <c r="U19" s="668">
        <f>H19</f>
        <v>100</v>
      </c>
      <c r="V19" s="667" t="s">
        <v>14</v>
      </c>
      <c r="W19" s="668">
        <f>J19</f>
        <v>100</v>
      </c>
      <c r="X19" s="1264"/>
      <c r="Y19" s="339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404"/>
      <c r="Q20" s="1262"/>
      <c r="R20" s="667"/>
      <c r="S20" s="668"/>
      <c r="T20" s="667"/>
      <c r="U20" s="668"/>
      <c r="V20" s="667"/>
      <c r="W20" s="668"/>
      <c r="X20" s="1264"/>
      <c r="Y20" s="3397"/>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04"/>
      <c r="Q21" s="1262" t="str">
        <f>B21</f>
        <v>基础设施水平</v>
      </c>
      <c r="R21" s="667" t="s">
        <v>14</v>
      </c>
      <c r="S21" s="668">
        <f>F21</f>
        <v>100</v>
      </c>
      <c r="T21" s="667" t="s">
        <v>14</v>
      </c>
      <c r="U21" s="668">
        <f>H21</f>
        <v>100</v>
      </c>
      <c r="V21" s="667" t="s">
        <v>14</v>
      </c>
      <c r="W21" s="668">
        <f>J21</f>
        <v>100</v>
      </c>
      <c r="X21" s="1264"/>
      <c r="Y21" s="339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404"/>
      <c r="Q22" s="1262"/>
      <c r="R22" s="667"/>
      <c r="S22" s="668"/>
      <c r="T22" s="667"/>
      <c r="U22" s="668"/>
      <c r="V22" s="667"/>
      <c r="W22" s="668"/>
      <c r="X22" s="1264"/>
      <c r="Y22" s="3397"/>
      <c r="Z22" s="1263"/>
      <c r="AA22" s="1263">
        <v>1</v>
      </c>
      <c r="AB22" s="1263">
        <v>1</v>
      </c>
      <c r="AC22" s="1263">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04"/>
      <c r="Q23" s="1262" t="str">
        <f>B23</f>
        <v>自然及人文环境</v>
      </c>
      <c r="R23" s="667" t="s">
        <v>14</v>
      </c>
      <c r="S23" s="668">
        <f>F23</f>
        <v>100</v>
      </c>
      <c r="T23" s="667" t="s">
        <v>14</v>
      </c>
      <c r="U23" s="668">
        <f>H23</f>
        <v>100</v>
      </c>
      <c r="V23" s="667" t="s">
        <v>14</v>
      </c>
      <c r="W23" s="668">
        <f>J23</f>
        <v>100</v>
      </c>
      <c r="X23" s="1264"/>
      <c r="Y23" s="3397"/>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404"/>
      <c r="Q24" s="1262"/>
      <c r="R24" s="667"/>
      <c r="S24" s="668"/>
      <c r="T24" s="667"/>
      <c r="U24" s="668"/>
      <c r="V24" s="667"/>
      <c r="W24" s="668"/>
      <c r="X24" s="1264"/>
      <c r="Y24" s="3397"/>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04"/>
      <c r="Q25" s="1262" t="str">
        <f t="shared" ref="Q25:Q46" si="11">B25</f>
        <v>临街状况</v>
      </c>
      <c r="R25" s="667" t="s">
        <v>14</v>
      </c>
      <c r="S25" s="668">
        <f>F25</f>
        <v>100</v>
      </c>
      <c r="T25" s="667" t="s">
        <v>14</v>
      </c>
      <c r="U25" s="668">
        <f>H25</f>
        <v>100</v>
      </c>
      <c r="V25" s="667" t="s">
        <v>14</v>
      </c>
      <c r="W25" s="668">
        <f>J25</f>
        <v>100</v>
      </c>
      <c r="X25" s="1264"/>
      <c r="Y25" s="3397"/>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04"/>
      <c r="Q26" s="1262" t="str">
        <f t="shared" si="11"/>
        <v>平面位置/可视性</v>
      </c>
      <c r="R26" s="667" t="s">
        <v>14</v>
      </c>
      <c r="S26" s="668">
        <f>F26</f>
        <v>100</v>
      </c>
      <c r="T26" s="667" t="s">
        <v>14</v>
      </c>
      <c r="U26" s="668">
        <f>H26</f>
        <v>100</v>
      </c>
      <c r="V26" s="667" t="s">
        <v>14</v>
      </c>
      <c r="W26" s="668">
        <f>J26</f>
        <v>100</v>
      </c>
      <c r="X26" s="1264"/>
      <c r="Y26" s="3397"/>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6"/>
      <c r="M27" s="2438"/>
      <c r="N27" s="2438"/>
      <c r="O27" s="2438"/>
      <c r="P27" s="3404"/>
      <c r="Q27" s="530" t="str">
        <f t="shared" si="11"/>
        <v>人流量</v>
      </c>
      <c r="R27" s="664" t="s">
        <v>14</v>
      </c>
      <c r="S27" s="665">
        <f>F27</f>
        <v>100</v>
      </c>
      <c r="T27" s="664" t="s">
        <v>14</v>
      </c>
      <c r="U27" s="665">
        <f>H27</f>
        <v>100</v>
      </c>
      <c r="V27" s="664" t="s">
        <v>14</v>
      </c>
      <c r="W27" s="665">
        <f>J27</f>
        <v>100</v>
      </c>
      <c r="X27" s="666"/>
      <c r="Y27" s="3397"/>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04"/>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97"/>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04"/>
      <c r="Q29" s="1262">
        <f t="shared" si="11"/>
        <v>111</v>
      </c>
      <c r="R29" s="667" t="s">
        <v>14</v>
      </c>
      <c r="S29" s="668">
        <f t="shared" si="12"/>
        <v>100</v>
      </c>
      <c r="T29" s="667" t="s">
        <v>14</v>
      </c>
      <c r="U29" s="668">
        <f t="shared" si="13"/>
        <v>100</v>
      </c>
      <c r="V29" s="667" t="s">
        <v>14</v>
      </c>
      <c r="W29" s="668">
        <f t="shared" si="14"/>
        <v>100</v>
      </c>
      <c r="X29" s="1264"/>
      <c r="Y29" s="3397"/>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04"/>
      <c r="Q30" s="1262">
        <f t="shared" si="11"/>
        <v>111</v>
      </c>
      <c r="R30" s="667" t="s">
        <v>14</v>
      </c>
      <c r="S30" s="668">
        <f t="shared" si="12"/>
        <v>100</v>
      </c>
      <c r="T30" s="667" t="s">
        <v>14</v>
      </c>
      <c r="U30" s="668">
        <f t="shared" si="13"/>
        <v>100</v>
      </c>
      <c r="V30" s="667" t="s">
        <v>14</v>
      </c>
      <c r="W30" s="668">
        <f t="shared" si="14"/>
        <v>100</v>
      </c>
      <c r="X30" s="1264"/>
      <c r="Y30" s="3397"/>
      <c r="Z30" s="1263">
        <f t="shared" si="15"/>
        <v>111</v>
      </c>
      <c r="AA30" s="1263">
        <f t="shared" si="3"/>
        <v>1</v>
      </c>
      <c r="AB30" s="1263">
        <f t="shared" si="4"/>
        <v>1</v>
      </c>
      <c r="AC30" s="1263">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04"/>
      <c r="Q31" s="1262">
        <f t="shared" si="11"/>
        <v>111</v>
      </c>
      <c r="R31" s="667" t="s">
        <v>14</v>
      </c>
      <c r="S31" s="668">
        <f t="shared" si="12"/>
        <v>100</v>
      </c>
      <c r="T31" s="667" t="s">
        <v>14</v>
      </c>
      <c r="U31" s="668">
        <f t="shared" si="13"/>
        <v>100</v>
      </c>
      <c r="V31" s="667" t="s">
        <v>14</v>
      </c>
      <c r="W31" s="668">
        <f t="shared" si="14"/>
        <v>100</v>
      </c>
      <c r="X31" s="1264"/>
      <c r="Y31" s="3397"/>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398" t="s">
        <v>1696</v>
      </c>
      <c r="Q32" s="1262" t="str">
        <f t="shared" si="11"/>
        <v>商业类型</v>
      </c>
      <c r="R32" s="667" t="s">
        <v>14</v>
      </c>
      <c r="S32" s="668">
        <f t="shared" si="12"/>
        <v>100</v>
      </c>
      <c r="T32" s="667" t="s">
        <v>14</v>
      </c>
      <c r="U32" s="668">
        <f t="shared" si="13"/>
        <v>100</v>
      </c>
      <c r="V32" s="667" t="s">
        <v>14</v>
      </c>
      <c r="W32" s="668">
        <f t="shared" si="14"/>
        <v>100</v>
      </c>
      <c r="X32" s="1264"/>
      <c r="Y32" s="3401"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99"/>
      <c r="Q33" s="531" t="str">
        <f t="shared" si="11"/>
        <v>项目建筑规模</v>
      </c>
      <c r="R33" s="669" t="s">
        <v>14</v>
      </c>
      <c r="S33" s="670" t="e">
        <f t="shared" si="12"/>
        <v>#N/A</v>
      </c>
      <c r="T33" s="669" t="s">
        <v>14</v>
      </c>
      <c r="U33" s="670" t="e">
        <f t="shared" si="13"/>
        <v>#N/A</v>
      </c>
      <c r="V33" s="669" t="s">
        <v>14</v>
      </c>
      <c r="W33" s="670" t="e">
        <f t="shared" si="14"/>
        <v>#N/A</v>
      </c>
      <c r="X33" s="671"/>
      <c r="Y33" s="3401"/>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99"/>
      <c r="Q34" s="1262" t="str">
        <f t="shared" si="11"/>
        <v>建筑结构</v>
      </c>
      <c r="R34" s="667" t="s">
        <v>14</v>
      </c>
      <c r="S34" s="668">
        <f t="shared" si="12"/>
        <v>100</v>
      </c>
      <c r="T34" s="667" t="s">
        <v>14</v>
      </c>
      <c r="U34" s="668">
        <f t="shared" si="13"/>
        <v>100</v>
      </c>
      <c r="V34" s="667" t="s">
        <v>14</v>
      </c>
      <c r="W34" s="668">
        <f t="shared" si="14"/>
        <v>100</v>
      </c>
      <c r="X34" s="1264"/>
      <c r="Y34" s="3401"/>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399"/>
      <c r="Q35" s="1262" t="str">
        <f t="shared" si="11"/>
        <v>公共部分装修</v>
      </c>
      <c r="R35" s="667" t="s">
        <v>14</v>
      </c>
      <c r="S35" s="668">
        <f t="shared" si="12"/>
        <v>100</v>
      </c>
      <c r="T35" s="667" t="s">
        <v>14</v>
      </c>
      <c r="U35" s="668">
        <f t="shared" si="13"/>
        <v>100</v>
      </c>
      <c r="V35" s="667" t="s">
        <v>14</v>
      </c>
      <c r="W35" s="668">
        <f t="shared" si="14"/>
        <v>100</v>
      </c>
      <c r="X35" s="1264"/>
      <c r="Y35" s="3401"/>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99"/>
      <c r="Q36" s="1262" t="str">
        <f t="shared" si="11"/>
        <v>成新度</v>
      </c>
      <c r="R36" s="667" t="s">
        <v>14</v>
      </c>
      <c r="S36" s="668" t="e">
        <f t="shared" si="12"/>
        <v>#N/A</v>
      </c>
      <c r="T36" s="667" t="s">
        <v>14</v>
      </c>
      <c r="U36" s="668" t="e">
        <f t="shared" si="13"/>
        <v>#N/A</v>
      </c>
      <c r="V36" s="667" t="s">
        <v>14</v>
      </c>
      <c r="W36" s="668" t="e">
        <f t="shared" si="14"/>
        <v>#N/A</v>
      </c>
      <c r="X36" s="1264"/>
      <c r="Y36" s="3401"/>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8"/>
      <c r="N37" s="2438"/>
      <c r="O37" s="2438"/>
      <c r="P37" s="3399"/>
      <c r="Q37" s="530" t="str">
        <f t="shared" si="11"/>
        <v>市政基础设施</v>
      </c>
      <c r="R37" s="664" t="s">
        <v>14</v>
      </c>
      <c r="S37" s="665">
        <f t="shared" si="12"/>
        <v>100</v>
      </c>
      <c r="T37" s="664" t="s">
        <v>14</v>
      </c>
      <c r="U37" s="665">
        <f t="shared" si="13"/>
        <v>100</v>
      </c>
      <c r="V37" s="664" t="s">
        <v>14</v>
      </c>
      <c r="W37" s="665">
        <f t="shared" si="14"/>
        <v>100</v>
      </c>
      <c r="X37" s="666"/>
      <c r="Y37" s="340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399" t="s">
        <v>1696</v>
      </c>
      <c r="Q38" s="1262" t="str">
        <f t="shared" si="11"/>
        <v>业态</v>
      </c>
      <c r="R38" s="667" t="s">
        <v>14</v>
      </c>
      <c r="S38" s="668">
        <f t="shared" si="12"/>
        <v>100</v>
      </c>
      <c r="T38" s="667" t="s">
        <v>14</v>
      </c>
      <c r="U38" s="668">
        <f t="shared" si="13"/>
        <v>100</v>
      </c>
      <c r="V38" s="667" t="s">
        <v>14</v>
      </c>
      <c r="W38" s="668">
        <f t="shared" si="14"/>
        <v>100</v>
      </c>
      <c r="X38" s="1264"/>
      <c r="Y38" s="3401"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399"/>
      <c r="Q39" s="1262" t="str">
        <f t="shared" si="11"/>
        <v>层高</v>
      </c>
      <c r="R39" s="667" t="s">
        <v>14</v>
      </c>
      <c r="S39" s="668">
        <f t="shared" si="12"/>
        <v>100</v>
      </c>
      <c r="T39" s="667" t="s">
        <v>14</v>
      </c>
      <c r="U39" s="668">
        <f t="shared" si="13"/>
        <v>100</v>
      </c>
      <c r="V39" s="667" t="s">
        <v>14</v>
      </c>
      <c r="W39" s="668">
        <f t="shared" si="14"/>
        <v>100</v>
      </c>
      <c r="X39" s="1264"/>
      <c r="Y39" s="3401"/>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99"/>
      <c r="Q40" s="1262" t="str">
        <f t="shared" si="11"/>
        <v>单套建筑面积</v>
      </c>
      <c r="R40" s="667" t="s">
        <v>14</v>
      </c>
      <c r="S40" s="668">
        <f t="shared" si="12"/>
        <v>100</v>
      </c>
      <c r="T40" s="667" t="s">
        <v>14</v>
      </c>
      <c r="U40" s="668">
        <f t="shared" si="13"/>
        <v>100</v>
      </c>
      <c r="V40" s="667" t="s">
        <v>14</v>
      </c>
      <c r="W40" s="668">
        <f t="shared" si="14"/>
        <v>100</v>
      </c>
      <c r="X40" s="1264"/>
      <c r="Y40" s="3401"/>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99"/>
      <c r="Q41" s="531" t="str">
        <f t="shared" si="11"/>
        <v>进深比</v>
      </c>
      <c r="R41" s="669" t="s">
        <v>14</v>
      </c>
      <c r="S41" s="670">
        <f t="shared" si="12"/>
        <v>100</v>
      </c>
      <c r="T41" s="669" t="s">
        <v>14</v>
      </c>
      <c r="U41" s="670">
        <f t="shared" si="13"/>
        <v>100</v>
      </c>
      <c r="V41" s="669" t="s">
        <v>14</v>
      </c>
      <c r="W41" s="670">
        <f t="shared" si="14"/>
        <v>100</v>
      </c>
      <c r="X41" s="671"/>
      <c r="Y41" s="3401"/>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399"/>
      <c r="Q42" s="1262" t="str">
        <f t="shared" si="11"/>
        <v>内部装修</v>
      </c>
      <c r="R42" s="667" t="s">
        <v>14</v>
      </c>
      <c r="S42" s="668">
        <f t="shared" si="12"/>
        <v>100</v>
      </c>
      <c r="T42" s="667" t="s">
        <v>14</v>
      </c>
      <c r="U42" s="668">
        <f t="shared" si="13"/>
        <v>100</v>
      </c>
      <c r="V42" s="667" t="s">
        <v>14</v>
      </c>
      <c r="W42" s="668">
        <f t="shared" si="14"/>
        <v>100</v>
      </c>
      <c r="X42" s="1264"/>
      <c r="Y42" s="3401"/>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399"/>
      <c r="Q43" s="1262" t="str">
        <f t="shared" si="11"/>
        <v>内部装修维护情况</v>
      </c>
      <c r="R43" s="667" t="s">
        <v>14</v>
      </c>
      <c r="S43" s="668">
        <f t="shared" si="12"/>
        <v>100</v>
      </c>
      <c r="T43" s="667" t="s">
        <v>14</v>
      </c>
      <c r="U43" s="668">
        <f t="shared" si="13"/>
        <v>100</v>
      </c>
      <c r="V43" s="667" t="s">
        <v>14</v>
      </c>
      <c r="W43" s="668">
        <f t="shared" si="14"/>
        <v>100</v>
      </c>
      <c r="X43" s="1264"/>
      <c r="Y43" s="3401"/>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99"/>
      <c r="Q44" s="530">
        <f t="shared" si="11"/>
        <v>111</v>
      </c>
      <c r="R44" s="664" t="s">
        <v>14</v>
      </c>
      <c r="S44" s="665">
        <f t="shared" si="12"/>
        <v>100</v>
      </c>
      <c r="T44" s="664" t="s">
        <v>14</v>
      </c>
      <c r="U44" s="665">
        <f t="shared" si="13"/>
        <v>100</v>
      </c>
      <c r="V44" s="664" t="s">
        <v>14</v>
      </c>
      <c r="W44" s="665">
        <f t="shared" si="14"/>
        <v>100</v>
      </c>
      <c r="X44" s="666"/>
      <c r="Y44" s="340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99"/>
      <c r="Q45" s="1262">
        <f t="shared" si="11"/>
        <v>111</v>
      </c>
      <c r="R45" s="667" t="s">
        <v>14</v>
      </c>
      <c r="S45" s="668">
        <f t="shared" si="12"/>
        <v>100</v>
      </c>
      <c r="T45" s="667" t="s">
        <v>14</v>
      </c>
      <c r="U45" s="668">
        <f t="shared" si="13"/>
        <v>100</v>
      </c>
      <c r="V45" s="667" t="s">
        <v>14</v>
      </c>
      <c r="W45" s="668">
        <f t="shared" si="14"/>
        <v>100</v>
      </c>
      <c r="X45" s="1264"/>
      <c r="Y45" s="3401"/>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0"/>
      <c r="Q46" s="1262">
        <f t="shared" si="11"/>
        <v>111</v>
      </c>
      <c r="R46" s="667" t="s">
        <v>14</v>
      </c>
      <c r="S46" s="668">
        <f t="shared" si="12"/>
        <v>100</v>
      </c>
      <c r="T46" s="667" t="s">
        <v>14</v>
      </c>
      <c r="U46" s="668">
        <f t="shared" si="13"/>
        <v>100</v>
      </c>
      <c r="V46" s="667" t="s">
        <v>14</v>
      </c>
      <c r="W46" s="668">
        <f t="shared" si="14"/>
        <v>100</v>
      </c>
      <c r="X46" s="1264"/>
      <c r="Y46" s="3402"/>
      <c r="Z46" s="1263">
        <f t="shared" si="15"/>
        <v>111</v>
      </c>
      <c r="AA46" s="1263">
        <f t="shared" si="3"/>
        <v>1</v>
      </c>
      <c r="AB46" s="1263">
        <f t="shared" si="4"/>
        <v>1</v>
      </c>
      <c r="AC46" s="1263">
        <f t="shared" si="5"/>
        <v>1</v>
      </c>
    </row>
    <row r="47" spans="1:29" ht="14.4">
      <c r="A47" s="416" t="s">
        <v>1708</v>
      </c>
      <c r="B47" s="417"/>
      <c r="C47" s="1081" t="s">
        <v>0</v>
      </c>
      <c r="D47" s="418"/>
      <c r="E47" s="419"/>
      <c r="F47" s="420"/>
      <c r="G47" s="421"/>
      <c r="H47" s="422"/>
      <c r="I47" s="419"/>
      <c r="J47" s="422"/>
      <c r="K47" s="674"/>
      <c r="L47" s="2492"/>
      <c r="M47" s="2485"/>
      <c r="N47" s="2485"/>
      <c r="O47" s="2485"/>
      <c r="P47" s="3395" t="str">
        <f>A47</f>
        <v>成交单价（元/平方米）</v>
      </c>
      <c r="Q47" s="3395"/>
      <c r="R47" s="3390">
        <f>E47</f>
        <v>0</v>
      </c>
      <c r="S47" s="3390"/>
      <c r="T47" s="3390">
        <f>G47</f>
        <v>0</v>
      </c>
      <c r="U47" s="3390"/>
      <c r="V47" s="3390">
        <f>I47</f>
        <v>0</v>
      </c>
      <c r="W47" s="3390"/>
      <c r="X47" s="385"/>
      <c r="Y47" s="673"/>
      <c r="Z47" s="385"/>
      <c r="AA47" s="385"/>
      <c r="AB47" s="385"/>
      <c r="AC47" s="385"/>
    </row>
    <row r="48" spans="1:29" ht="15" thickBot="1">
      <c r="A48" s="423" t="s">
        <v>1793</v>
      </c>
      <c r="B48" s="424"/>
      <c r="C48" s="1082" t="e">
        <f>R49</f>
        <v>#DIV/0!</v>
      </c>
      <c r="D48" s="2140" t="s">
        <v>2136</v>
      </c>
      <c r="E48" s="1083" t="e">
        <f>R48</f>
        <v>#DIV/0!</v>
      </c>
      <c r="F48" s="2141"/>
      <c r="G48" s="1082" t="e">
        <f>T48</f>
        <v>#DIV/0!</v>
      </c>
      <c r="H48" s="2141"/>
      <c r="I48" s="1083" t="e">
        <f>V48</f>
        <v>#DIV/0!</v>
      </c>
      <c r="J48" s="2141"/>
      <c r="K48" s="2143">
        <f>F48+H48+J48</f>
        <v>0</v>
      </c>
      <c r="L48" s="2492"/>
      <c r="M48" s="2485"/>
      <c r="N48" s="2485"/>
      <c r="O48" s="2485"/>
      <c r="P48" s="3395" t="str">
        <f>A48</f>
        <v>比较价值（元/平方米）</v>
      </c>
      <c r="Q48" s="3395"/>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2" t="str">
        <f>YEAR(C7)&amp;"-"&amp;MONTH(C7)</f>
        <v>2025-3</v>
      </c>
      <c r="D58" s="1103">
        <f>EDATE(C58,-1)</f>
        <v>45689</v>
      </c>
      <c r="E58" s="1103">
        <f t="shared" ref="E58:N58" si="16">EDATE(D58,-1)</f>
        <v>45658</v>
      </c>
      <c r="F58" s="1103">
        <f t="shared" si="16"/>
        <v>45627</v>
      </c>
      <c r="G58" s="1103">
        <f t="shared" si="16"/>
        <v>45597</v>
      </c>
      <c r="H58" s="1103">
        <f t="shared" si="16"/>
        <v>45566</v>
      </c>
      <c r="I58" s="1103">
        <f t="shared" si="16"/>
        <v>45536</v>
      </c>
      <c r="J58" s="1103">
        <f t="shared" si="16"/>
        <v>45505</v>
      </c>
      <c r="K58" s="1103">
        <f t="shared" si="16"/>
        <v>45474</v>
      </c>
      <c r="L58" s="1103">
        <f t="shared" si="16"/>
        <v>45444</v>
      </c>
      <c r="M58" s="1103">
        <f t="shared" si="16"/>
        <v>45413</v>
      </c>
      <c r="N58" s="1103">
        <f t="shared" si="16"/>
        <v>45383</v>
      </c>
      <c r="O58" s="1103">
        <f>EDATE(N58,-1)</f>
        <v>45352</v>
      </c>
      <c r="P58" s="2507"/>
      <c r="Q58" s="2508"/>
      <c r="R58" s="2508"/>
      <c r="S58" s="2508"/>
      <c r="T58" s="2508"/>
      <c r="U58" s="2508"/>
      <c r="V58" s="2508"/>
      <c r="W58" s="2508"/>
      <c r="X58" s="2508"/>
      <c r="Y58" s="2508"/>
      <c r="Z58" s="2508"/>
      <c r="AA58" s="2508"/>
      <c r="AB58" s="2508"/>
      <c r="AC58" s="2508"/>
    </row>
    <row r="59" spans="1:29" s="102" customFormat="1">
      <c r="A59" s="443"/>
      <c r="B59" s="444"/>
      <c r="C59" s="1101">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79"/>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105.06</v>
      </c>
      <c r="E3" s="1804"/>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78" t="s">
        <v>1770</v>
      </c>
      <c r="D4" s="3379"/>
      <c r="E4" s="3380" t="s">
        <v>1771</v>
      </c>
      <c r="F4" s="3381"/>
      <c r="G4" s="3378" t="s">
        <v>1772</v>
      </c>
      <c r="H4" s="3379"/>
      <c r="I4" s="3378" t="s">
        <v>1773</v>
      </c>
      <c r="J4" s="3379"/>
      <c r="K4" s="537" t="s">
        <v>1774</v>
      </c>
      <c r="L4" s="2484"/>
      <c r="M4" s="2485"/>
      <c r="N4" s="2485"/>
      <c r="O4" s="2485"/>
      <c r="P4" s="3437" t="s">
        <v>1775</v>
      </c>
      <c r="Q4" s="3438"/>
      <c r="R4" s="3432" t="s">
        <v>1771</v>
      </c>
      <c r="S4" s="3433"/>
      <c r="T4" s="3432" t="s">
        <v>1772</v>
      </c>
      <c r="U4" s="3433"/>
      <c r="V4" s="3441" t="s">
        <v>1773</v>
      </c>
      <c r="W4" s="3441"/>
      <c r="X4" s="1808"/>
      <c r="Y4" s="3432" t="s">
        <v>1775</v>
      </c>
      <c r="Z4" s="3433"/>
      <c r="AA4" s="3431" t="s">
        <v>1771</v>
      </c>
      <c r="AB4" s="3431" t="s">
        <v>1772</v>
      </c>
      <c r="AC4" s="3434" t="s">
        <v>1773</v>
      </c>
    </row>
    <row r="5" spans="1:29">
      <c r="A5" s="348"/>
      <c r="B5" s="349"/>
      <c r="C5" s="3371" t="s">
        <v>1673</v>
      </c>
      <c r="D5" s="3372"/>
      <c r="E5" s="3369" t="s">
        <v>1674</v>
      </c>
      <c r="F5" s="3370"/>
      <c r="G5" s="3371" t="s">
        <v>1675</v>
      </c>
      <c r="H5" s="3372"/>
      <c r="I5" s="3371" t="s">
        <v>1676</v>
      </c>
      <c r="J5" s="3372"/>
      <c r="K5" s="537"/>
      <c r="L5" s="2484"/>
      <c r="M5" s="2485"/>
      <c r="N5" s="2485"/>
      <c r="O5" s="2485"/>
      <c r="P5" s="3439"/>
      <c r="Q5" s="3385"/>
      <c r="R5" s="3367"/>
      <c r="S5" s="3368"/>
      <c r="T5" s="3367"/>
      <c r="U5" s="3368"/>
      <c r="V5" s="3390"/>
      <c r="W5" s="3390"/>
      <c r="X5" s="1264"/>
      <c r="Y5" s="3367"/>
      <c r="Z5" s="3368"/>
      <c r="AA5" s="3361"/>
      <c r="AB5" s="3361"/>
      <c r="AC5" s="3435"/>
    </row>
    <row r="6" spans="1:29" ht="15" thickBot="1">
      <c r="A6" s="350"/>
      <c r="B6" s="351"/>
      <c r="C6" s="3373" t="s">
        <v>1677</v>
      </c>
      <c r="D6" s="3374"/>
      <c r="E6" s="3375" t="s">
        <v>1677</v>
      </c>
      <c r="F6" s="3376"/>
      <c r="G6" s="3373" t="s">
        <v>1677</v>
      </c>
      <c r="H6" s="3374"/>
      <c r="I6" s="3373" t="s">
        <v>1677</v>
      </c>
      <c r="J6" s="3374"/>
      <c r="K6" s="537" t="s">
        <v>1678</v>
      </c>
      <c r="L6" s="2484"/>
      <c r="M6" s="2485"/>
      <c r="N6" s="2485"/>
      <c r="O6" s="2485"/>
      <c r="P6" s="3440"/>
      <c r="Q6" s="3387"/>
      <c r="R6" s="3367"/>
      <c r="S6" s="3368"/>
      <c r="T6" s="3388"/>
      <c r="U6" s="3389"/>
      <c r="V6" s="3390"/>
      <c r="W6" s="3390"/>
      <c r="X6" s="1264"/>
      <c r="Y6" s="3388"/>
      <c r="Z6" s="3389"/>
      <c r="AA6" s="3362"/>
      <c r="AB6" s="3362"/>
      <c r="AC6" s="3436"/>
    </row>
    <row r="7" spans="1:29" s="102" customFormat="1" ht="15" thickBot="1">
      <c r="A7" s="352" t="s">
        <v>1679</v>
      </c>
      <c r="B7" s="353"/>
      <c r="C7" s="354">
        <f>'数据-取费表'!B2</f>
        <v>45727</v>
      </c>
      <c r="D7" s="355">
        <v>100</v>
      </c>
      <c r="E7" s="356"/>
      <c r="F7" s="357">
        <f>SUMIF(59:59,YEAR(E7)&amp;"-"&amp;MONTH(E7),60:60)</f>
        <v>0</v>
      </c>
      <c r="G7" s="356"/>
      <c r="H7" s="355">
        <f>SUMIF(59:59,YEAR(G7)&amp;"-"&amp;MONTH(G7),60:60)</f>
        <v>0</v>
      </c>
      <c r="I7" s="356"/>
      <c r="J7" s="355">
        <f>SUMIF(59:59,YEAR(I7)&amp;"-"&amp;MONTH(I7),60:60)</f>
        <v>0</v>
      </c>
      <c r="K7" s="38"/>
      <c r="L7" s="2486"/>
      <c r="M7" s="2438"/>
      <c r="N7" s="2438"/>
      <c r="O7" s="2438"/>
      <c r="P7" s="3442" t="s">
        <v>1680</v>
      </c>
      <c r="Q7" s="3391"/>
      <c r="R7" s="664" t="s">
        <v>14</v>
      </c>
      <c r="S7" s="665">
        <f t="shared" ref="S7:S15" si="0">F7</f>
        <v>0</v>
      </c>
      <c r="T7" s="664" t="s">
        <v>14</v>
      </c>
      <c r="U7" s="665">
        <f t="shared" ref="U7:U15" si="1">H7</f>
        <v>0</v>
      </c>
      <c r="V7" s="664" t="s">
        <v>14</v>
      </c>
      <c r="W7" s="665">
        <f t="shared" ref="W7:W15" si="2">J7</f>
        <v>0</v>
      </c>
      <c r="X7" s="666"/>
      <c r="Y7" s="3363" t="s">
        <v>1680</v>
      </c>
      <c r="Z7" s="3364"/>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42" t="s">
        <v>1683</v>
      </c>
      <c r="Q8" s="3364"/>
      <c r="R8" s="664" t="s">
        <v>14</v>
      </c>
      <c r="S8" s="665">
        <f t="shared" si="0"/>
        <v>100</v>
      </c>
      <c r="T8" s="664" t="s">
        <v>14</v>
      </c>
      <c r="U8" s="665">
        <f t="shared" si="1"/>
        <v>100</v>
      </c>
      <c r="V8" s="664" t="s">
        <v>14</v>
      </c>
      <c r="W8" s="665">
        <f t="shared" si="2"/>
        <v>100</v>
      </c>
      <c r="X8" s="666"/>
      <c r="Y8" s="3363" t="s">
        <v>1683</v>
      </c>
      <c r="Z8" s="3364"/>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77"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77"/>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77"/>
      <c r="Q11" s="530" t="str">
        <f t="shared" si="6"/>
        <v>容积率</v>
      </c>
      <c r="R11" s="664" t="s">
        <v>14</v>
      </c>
      <c r="S11" s="665">
        <f t="shared" si="0"/>
        <v>100</v>
      </c>
      <c r="T11" s="664" t="s">
        <v>14</v>
      </c>
      <c r="U11" s="665">
        <f t="shared" si="1"/>
        <v>100</v>
      </c>
      <c r="V11" s="664" t="s">
        <v>14</v>
      </c>
      <c r="W11" s="665">
        <f t="shared" si="2"/>
        <v>100</v>
      </c>
      <c r="X11" s="666"/>
      <c r="Y11" s="333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8"/>
      <c r="N12" s="2438"/>
      <c r="O12" s="2438"/>
      <c r="P12" s="3377"/>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377"/>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377"/>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03" t="s">
        <v>1691</v>
      </c>
      <c r="Q15" s="1262" t="str">
        <f t="shared" si="6"/>
        <v>办公集聚程度</v>
      </c>
      <c r="R15" s="667" t="s">
        <v>14</v>
      </c>
      <c r="S15" s="668">
        <f t="shared" si="0"/>
        <v>100</v>
      </c>
      <c r="T15" s="667" t="s">
        <v>14</v>
      </c>
      <c r="U15" s="668">
        <f t="shared" si="1"/>
        <v>100</v>
      </c>
      <c r="V15" s="667" t="s">
        <v>14</v>
      </c>
      <c r="W15" s="668">
        <f t="shared" si="2"/>
        <v>100</v>
      </c>
      <c r="X15" s="1264"/>
      <c r="Y15" s="3396"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0"/>
      <c r="M16" s="2485"/>
      <c r="N16" s="2485"/>
      <c r="O16" s="2485"/>
      <c r="P16" s="3404"/>
      <c r="Q16" s="1262"/>
      <c r="R16" s="667"/>
      <c r="S16" s="668"/>
      <c r="T16" s="667"/>
      <c r="U16" s="668"/>
      <c r="V16" s="667"/>
      <c r="W16" s="668"/>
      <c r="X16" s="1264"/>
      <c r="Y16" s="3397"/>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04"/>
      <c r="Q17" s="1262" t="str">
        <f>B17</f>
        <v>交通便捷度</v>
      </c>
      <c r="R17" s="667" t="s">
        <v>14</v>
      </c>
      <c r="S17" s="668">
        <f>F17</f>
        <v>100</v>
      </c>
      <c r="T17" s="667" t="s">
        <v>14</v>
      </c>
      <c r="U17" s="668">
        <f>H17</f>
        <v>100</v>
      </c>
      <c r="V17" s="667" t="s">
        <v>14</v>
      </c>
      <c r="W17" s="668">
        <f>J17</f>
        <v>100</v>
      </c>
      <c r="X17" s="1264"/>
      <c r="Y17" s="3397"/>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0"/>
      <c r="M18" s="2485"/>
      <c r="N18" s="2485"/>
      <c r="O18" s="2485"/>
      <c r="P18" s="3404"/>
      <c r="Q18" s="1262"/>
      <c r="R18" s="667"/>
      <c r="S18" s="668"/>
      <c r="T18" s="667"/>
      <c r="U18" s="668"/>
      <c r="V18" s="667"/>
      <c r="W18" s="668"/>
      <c r="X18" s="1264"/>
      <c r="Y18" s="3397"/>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04"/>
      <c r="Q19" s="1262" t="str">
        <f>B19</f>
        <v>公共配套设施</v>
      </c>
      <c r="R19" s="667" t="s">
        <v>14</v>
      </c>
      <c r="S19" s="668">
        <f>F19</f>
        <v>100</v>
      </c>
      <c r="T19" s="667" t="s">
        <v>14</v>
      </c>
      <c r="U19" s="668">
        <f>H19</f>
        <v>100</v>
      </c>
      <c r="V19" s="667" t="s">
        <v>14</v>
      </c>
      <c r="W19" s="668">
        <f>J19</f>
        <v>100</v>
      </c>
      <c r="X19" s="1264"/>
      <c r="Y19" s="3397"/>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0"/>
      <c r="M20" s="2485"/>
      <c r="N20" s="2485"/>
      <c r="O20" s="2485"/>
      <c r="P20" s="3404"/>
      <c r="Q20" s="1262"/>
      <c r="R20" s="667"/>
      <c r="S20" s="668"/>
      <c r="T20" s="667"/>
      <c r="U20" s="668"/>
      <c r="V20" s="667"/>
      <c r="W20" s="668"/>
      <c r="X20" s="1264"/>
      <c r="Y20" s="3397"/>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04"/>
      <c r="Q21" s="1262" t="str">
        <f>B21</f>
        <v>基础设施水平</v>
      </c>
      <c r="R21" s="667" t="s">
        <v>14</v>
      </c>
      <c r="S21" s="668">
        <f>F21</f>
        <v>100</v>
      </c>
      <c r="T21" s="667" t="s">
        <v>14</v>
      </c>
      <c r="U21" s="668">
        <f>H21</f>
        <v>100</v>
      </c>
      <c r="V21" s="667" t="s">
        <v>14</v>
      </c>
      <c r="W21" s="668">
        <f>J21</f>
        <v>100</v>
      </c>
      <c r="X21" s="1264"/>
      <c r="Y21" s="3397"/>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0"/>
      <c r="M22" s="2485"/>
      <c r="N22" s="2485"/>
      <c r="O22" s="2485"/>
      <c r="P22" s="3404"/>
      <c r="Q22" s="1262"/>
      <c r="R22" s="667"/>
      <c r="S22" s="668"/>
      <c r="T22" s="667"/>
      <c r="U22" s="668"/>
      <c r="V22" s="667"/>
      <c r="W22" s="668"/>
      <c r="X22" s="1264"/>
      <c r="Y22" s="3397"/>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04"/>
      <c r="Q23" s="1262" t="str">
        <f>B23</f>
        <v>环境质量</v>
      </c>
      <c r="R23" s="667" t="s">
        <v>14</v>
      </c>
      <c r="S23" s="668">
        <f>F23</f>
        <v>100</v>
      </c>
      <c r="T23" s="667" t="s">
        <v>14</v>
      </c>
      <c r="U23" s="668">
        <f>H23</f>
        <v>100</v>
      </c>
      <c r="V23" s="667" t="s">
        <v>14</v>
      </c>
      <c r="W23" s="668">
        <f>J23</f>
        <v>100</v>
      </c>
      <c r="X23" s="1264"/>
      <c r="Y23" s="3397"/>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0"/>
      <c r="M24" s="2485"/>
      <c r="N24" s="2485"/>
      <c r="O24" s="2485"/>
      <c r="P24" s="3404"/>
      <c r="Q24" s="1262"/>
      <c r="R24" s="667"/>
      <c r="S24" s="668"/>
      <c r="T24" s="667"/>
      <c r="U24" s="668"/>
      <c r="V24" s="667"/>
      <c r="W24" s="668"/>
      <c r="X24" s="1264"/>
      <c r="Y24" s="3397"/>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04"/>
      <c r="Q25" s="1262" t="str">
        <f>B25</f>
        <v>毗邻道路的类型与等级</v>
      </c>
      <c r="R25" s="667" t="s">
        <v>14</v>
      </c>
      <c r="S25" s="668">
        <f>F25</f>
        <v>100</v>
      </c>
      <c r="T25" s="667" t="s">
        <v>14</v>
      </c>
      <c r="U25" s="668">
        <f>H25</f>
        <v>100</v>
      </c>
      <c r="V25" s="667" t="s">
        <v>14</v>
      </c>
      <c r="W25" s="668">
        <f>J25</f>
        <v>100</v>
      </c>
      <c r="X25" s="1264"/>
      <c r="Y25" s="3397"/>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0"/>
      <c r="M26" s="2485"/>
      <c r="N26" s="2485"/>
      <c r="O26" s="2485"/>
      <c r="P26" s="3404"/>
      <c r="Q26" s="1262"/>
      <c r="R26" s="667"/>
      <c r="S26" s="668"/>
      <c r="T26" s="667"/>
      <c r="U26" s="668"/>
      <c r="V26" s="667"/>
      <c r="W26" s="668"/>
      <c r="X26" s="1264"/>
      <c r="Y26" s="3397"/>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04"/>
      <c r="Q27" s="1262" t="str">
        <f t="shared" ref="Q27:Q47" si="11">B27</f>
        <v>楼层</v>
      </c>
      <c r="R27" s="667" t="s">
        <v>14</v>
      </c>
      <c r="S27" s="668">
        <f>F27</f>
        <v>100</v>
      </c>
      <c r="T27" s="667" t="s">
        <v>14</v>
      </c>
      <c r="U27" s="668">
        <f>H27</f>
        <v>100</v>
      </c>
      <c r="V27" s="667" t="s">
        <v>14</v>
      </c>
      <c r="W27" s="668">
        <f>J27</f>
        <v>100</v>
      </c>
      <c r="X27" s="1264"/>
      <c r="Y27" s="3397"/>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8"/>
      <c r="N28" s="2438"/>
      <c r="O28" s="2438"/>
      <c r="P28" s="3404"/>
      <c r="Q28" s="530" t="str">
        <f t="shared" si="11"/>
        <v>朝向</v>
      </c>
      <c r="R28" s="664" t="s">
        <v>14</v>
      </c>
      <c r="S28" s="665">
        <f>F28</f>
        <v>100</v>
      </c>
      <c r="T28" s="664" t="s">
        <v>14</v>
      </c>
      <c r="U28" s="665">
        <f>H28</f>
        <v>100</v>
      </c>
      <c r="V28" s="664" t="s">
        <v>14</v>
      </c>
      <c r="W28" s="665">
        <f>J28</f>
        <v>100</v>
      </c>
      <c r="X28" s="666"/>
      <c r="Y28" s="3397"/>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404"/>
      <c r="Q29" s="1262">
        <f t="shared" si="11"/>
        <v>111</v>
      </c>
      <c r="R29" s="667" t="s">
        <v>14</v>
      </c>
      <c r="S29" s="668">
        <f t="shared" ref="S29:S47" si="12">F29</f>
        <v>100</v>
      </c>
      <c r="T29" s="667" t="s">
        <v>14</v>
      </c>
      <c r="U29" s="668">
        <f t="shared" ref="U29:U47" si="13">H29</f>
        <v>100</v>
      </c>
      <c r="V29" s="667" t="s">
        <v>14</v>
      </c>
      <c r="W29" s="668">
        <f t="shared" ref="W29:W47" si="14">J29</f>
        <v>100</v>
      </c>
      <c r="X29" s="1264"/>
      <c r="Y29" s="3397"/>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404"/>
      <c r="Q30" s="1262">
        <f t="shared" si="11"/>
        <v>111</v>
      </c>
      <c r="R30" s="667" t="s">
        <v>14</v>
      </c>
      <c r="S30" s="668">
        <f t="shared" si="12"/>
        <v>100</v>
      </c>
      <c r="T30" s="667" t="s">
        <v>14</v>
      </c>
      <c r="U30" s="668">
        <f t="shared" si="13"/>
        <v>100</v>
      </c>
      <c r="V30" s="667" t="s">
        <v>14</v>
      </c>
      <c r="W30" s="668">
        <f t="shared" si="14"/>
        <v>100</v>
      </c>
      <c r="X30" s="1264"/>
      <c r="Y30" s="3397"/>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404"/>
      <c r="Q31" s="1262">
        <f t="shared" si="11"/>
        <v>111</v>
      </c>
      <c r="R31" s="667" t="s">
        <v>14</v>
      </c>
      <c r="S31" s="668">
        <f t="shared" si="12"/>
        <v>100</v>
      </c>
      <c r="T31" s="667" t="s">
        <v>14</v>
      </c>
      <c r="U31" s="668">
        <f t="shared" si="13"/>
        <v>100</v>
      </c>
      <c r="V31" s="667" t="s">
        <v>14</v>
      </c>
      <c r="W31" s="668">
        <f t="shared" si="14"/>
        <v>100</v>
      </c>
      <c r="X31" s="1264"/>
      <c r="Y31" s="3397"/>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404"/>
      <c r="Q32" s="1262">
        <f t="shared" si="11"/>
        <v>111</v>
      </c>
      <c r="R32" s="667" t="s">
        <v>14</v>
      </c>
      <c r="S32" s="668">
        <f t="shared" si="12"/>
        <v>100</v>
      </c>
      <c r="T32" s="667" t="s">
        <v>14</v>
      </c>
      <c r="U32" s="668">
        <f t="shared" si="13"/>
        <v>100</v>
      </c>
      <c r="V32" s="667" t="s">
        <v>14</v>
      </c>
      <c r="W32" s="668">
        <f t="shared" si="14"/>
        <v>100</v>
      </c>
      <c r="X32" s="1264"/>
      <c r="Y32" s="3397"/>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398" t="s">
        <v>1696</v>
      </c>
      <c r="Q33" s="1262" t="str">
        <f t="shared" si="11"/>
        <v>建筑类型</v>
      </c>
      <c r="R33" s="667" t="s">
        <v>14</v>
      </c>
      <c r="S33" s="668">
        <f t="shared" si="12"/>
        <v>100</v>
      </c>
      <c r="T33" s="667" t="s">
        <v>14</v>
      </c>
      <c r="U33" s="668">
        <f t="shared" si="13"/>
        <v>100</v>
      </c>
      <c r="V33" s="667" t="s">
        <v>14</v>
      </c>
      <c r="W33" s="668">
        <f t="shared" si="14"/>
        <v>100</v>
      </c>
      <c r="X33" s="1264"/>
      <c r="Y33" s="3401"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99"/>
      <c r="Q34" s="531" t="str">
        <f t="shared" si="11"/>
        <v>项目建筑规模</v>
      </c>
      <c r="R34" s="669" t="s">
        <v>14</v>
      </c>
      <c r="S34" s="670" t="e">
        <f t="shared" si="12"/>
        <v>#N/A</v>
      </c>
      <c r="T34" s="669" t="s">
        <v>14</v>
      </c>
      <c r="U34" s="670" t="e">
        <f t="shared" si="13"/>
        <v>#N/A</v>
      </c>
      <c r="V34" s="669" t="s">
        <v>14</v>
      </c>
      <c r="W34" s="670" t="e">
        <f t="shared" si="14"/>
        <v>#N/A</v>
      </c>
      <c r="X34" s="671"/>
      <c r="Y34" s="3401"/>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99"/>
      <c r="Q35" s="1262" t="str">
        <f t="shared" si="11"/>
        <v>建筑结构</v>
      </c>
      <c r="R35" s="667" t="s">
        <v>14</v>
      </c>
      <c r="S35" s="668">
        <f t="shared" si="12"/>
        <v>100</v>
      </c>
      <c r="T35" s="667" t="s">
        <v>14</v>
      </c>
      <c r="U35" s="668">
        <f t="shared" si="13"/>
        <v>100</v>
      </c>
      <c r="V35" s="667" t="s">
        <v>14</v>
      </c>
      <c r="W35" s="668">
        <f t="shared" si="14"/>
        <v>100</v>
      </c>
      <c r="X35" s="1264"/>
      <c r="Y35" s="3401"/>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99"/>
      <c r="Q36" s="1262" t="str">
        <f t="shared" si="11"/>
        <v>公共部分装修</v>
      </c>
      <c r="R36" s="667" t="s">
        <v>14</v>
      </c>
      <c r="S36" s="668">
        <f t="shared" si="12"/>
        <v>100</v>
      </c>
      <c r="T36" s="667" t="s">
        <v>14</v>
      </c>
      <c r="U36" s="668">
        <f t="shared" si="13"/>
        <v>100</v>
      </c>
      <c r="V36" s="667" t="s">
        <v>14</v>
      </c>
      <c r="W36" s="668">
        <f t="shared" si="14"/>
        <v>100</v>
      </c>
      <c r="X36" s="1264"/>
      <c r="Y36" s="3401"/>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99"/>
      <c r="Q37" s="1262" t="str">
        <f t="shared" si="11"/>
        <v>成新度</v>
      </c>
      <c r="R37" s="667" t="s">
        <v>14</v>
      </c>
      <c r="S37" s="668" t="e">
        <f t="shared" si="12"/>
        <v>#N/A</v>
      </c>
      <c r="T37" s="667" t="s">
        <v>14</v>
      </c>
      <c r="U37" s="668" t="e">
        <f t="shared" si="13"/>
        <v>#N/A</v>
      </c>
      <c r="V37" s="667" t="s">
        <v>14</v>
      </c>
      <c r="W37" s="668" t="e">
        <f t="shared" si="14"/>
        <v>#N/A</v>
      </c>
      <c r="X37" s="1264"/>
      <c r="Y37" s="3401"/>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99"/>
      <c r="Q38" s="530" t="str">
        <f t="shared" si="11"/>
        <v>写字楼等级</v>
      </c>
      <c r="R38" s="664" t="s">
        <v>14</v>
      </c>
      <c r="S38" s="665">
        <f t="shared" si="12"/>
        <v>100</v>
      </c>
      <c r="T38" s="664" t="s">
        <v>14</v>
      </c>
      <c r="U38" s="665">
        <f t="shared" si="13"/>
        <v>100</v>
      </c>
      <c r="V38" s="664" t="s">
        <v>14</v>
      </c>
      <c r="W38" s="665">
        <f t="shared" si="14"/>
        <v>100</v>
      </c>
      <c r="X38" s="666"/>
      <c r="Y38" s="340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99" t="s">
        <v>1696</v>
      </c>
      <c r="Q39" s="1262" t="str">
        <f t="shared" si="11"/>
        <v>物业管理</v>
      </c>
      <c r="R39" s="667" t="s">
        <v>14</v>
      </c>
      <c r="S39" s="668">
        <f t="shared" si="12"/>
        <v>100</v>
      </c>
      <c r="T39" s="667" t="s">
        <v>14</v>
      </c>
      <c r="U39" s="668">
        <f t="shared" si="13"/>
        <v>100</v>
      </c>
      <c r="V39" s="667" t="s">
        <v>14</v>
      </c>
      <c r="W39" s="668">
        <f t="shared" si="14"/>
        <v>100</v>
      </c>
      <c r="X39" s="1264"/>
      <c r="Y39" s="3401"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99"/>
      <c r="Q40" s="1262" t="str">
        <f t="shared" si="11"/>
        <v>市政基础设施</v>
      </c>
      <c r="R40" s="667" t="s">
        <v>14</v>
      </c>
      <c r="S40" s="668">
        <f t="shared" si="12"/>
        <v>100</v>
      </c>
      <c r="T40" s="667" t="s">
        <v>14</v>
      </c>
      <c r="U40" s="668">
        <f t="shared" si="13"/>
        <v>100</v>
      </c>
      <c r="V40" s="667" t="s">
        <v>14</v>
      </c>
      <c r="W40" s="668">
        <f t="shared" si="14"/>
        <v>100</v>
      </c>
      <c r="X40" s="1264"/>
      <c r="Y40" s="3401"/>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99"/>
      <c r="Q41" s="1262" t="str">
        <f t="shared" si="11"/>
        <v>层高</v>
      </c>
      <c r="R41" s="667" t="s">
        <v>14</v>
      </c>
      <c r="S41" s="668">
        <f t="shared" si="12"/>
        <v>100</v>
      </c>
      <c r="T41" s="667" t="s">
        <v>14</v>
      </c>
      <c r="U41" s="668">
        <f t="shared" si="13"/>
        <v>100</v>
      </c>
      <c r="V41" s="667" t="s">
        <v>14</v>
      </c>
      <c r="W41" s="668">
        <f t="shared" si="14"/>
        <v>100</v>
      </c>
      <c r="X41" s="1264"/>
      <c r="Y41" s="3401"/>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99"/>
      <c r="Q42" s="531" t="str">
        <f t="shared" si="11"/>
        <v>单套建筑面积</v>
      </c>
      <c r="R42" s="669" t="s">
        <v>14</v>
      </c>
      <c r="S42" s="670">
        <f t="shared" si="12"/>
        <v>100</v>
      </c>
      <c r="T42" s="669" t="s">
        <v>14</v>
      </c>
      <c r="U42" s="670">
        <f t="shared" si="13"/>
        <v>100</v>
      </c>
      <c r="V42" s="669" t="s">
        <v>14</v>
      </c>
      <c r="W42" s="670">
        <f t="shared" si="14"/>
        <v>100</v>
      </c>
      <c r="X42" s="671"/>
      <c r="Y42" s="3401"/>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99"/>
      <c r="Q43" s="1262" t="str">
        <f t="shared" si="11"/>
        <v>内部装修</v>
      </c>
      <c r="R43" s="667" t="s">
        <v>14</v>
      </c>
      <c r="S43" s="668">
        <f t="shared" si="12"/>
        <v>100</v>
      </c>
      <c r="T43" s="667" t="s">
        <v>14</v>
      </c>
      <c r="U43" s="668">
        <f t="shared" si="13"/>
        <v>100</v>
      </c>
      <c r="V43" s="667" t="s">
        <v>14</v>
      </c>
      <c r="W43" s="668">
        <f t="shared" si="14"/>
        <v>100</v>
      </c>
      <c r="X43" s="1264"/>
      <c r="Y43" s="3401"/>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399"/>
      <c r="Q44" s="1262" t="str">
        <f t="shared" si="11"/>
        <v>内部装修维护情况</v>
      </c>
      <c r="R44" s="667" t="s">
        <v>14</v>
      </c>
      <c r="S44" s="668">
        <f t="shared" si="12"/>
        <v>100</v>
      </c>
      <c r="T44" s="667" t="s">
        <v>14</v>
      </c>
      <c r="U44" s="668">
        <f t="shared" si="13"/>
        <v>100</v>
      </c>
      <c r="V44" s="667" t="s">
        <v>14</v>
      </c>
      <c r="W44" s="668">
        <f t="shared" si="14"/>
        <v>100</v>
      </c>
      <c r="X44" s="1264"/>
      <c r="Y44" s="3401"/>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99"/>
      <c r="Q45" s="530">
        <f t="shared" si="11"/>
        <v>111</v>
      </c>
      <c r="R45" s="664" t="s">
        <v>14</v>
      </c>
      <c r="S45" s="665">
        <f t="shared" si="12"/>
        <v>100</v>
      </c>
      <c r="T45" s="664" t="s">
        <v>14</v>
      </c>
      <c r="U45" s="665">
        <f t="shared" si="13"/>
        <v>100</v>
      </c>
      <c r="V45" s="664" t="s">
        <v>14</v>
      </c>
      <c r="W45" s="665">
        <f t="shared" si="14"/>
        <v>100</v>
      </c>
      <c r="X45" s="666"/>
      <c r="Y45" s="340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99"/>
      <c r="Q46" s="1262">
        <f t="shared" si="11"/>
        <v>111</v>
      </c>
      <c r="R46" s="667" t="s">
        <v>14</v>
      </c>
      <c r="S46" s="668">
        <f t="shared" si="12"/>
        <v>100</v>
      </c>
      <c r="T46" s="667" t="s">
        <v>14</v>
      </c>
      <c r="U46" s="668">
        <f t="shared" si="13"/>
        <v>100</v>
      </c>
      <c r="V46" s="667" t="s">
        <v>14</v>
      </c>
      <c r="W46" s="668">
        <f t="shared" si="14"/>
        <v>100</v>
      </c>
      <c r="X46" s="1264"/>
      <c r="Y46" s="3401"/>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0"/>
      <c r="Q47" s="1262">
        <f t="shared" si="11"/>
        <v>111</v>
      </c>
      <c r="R47" s="667" t="s">
        <v>14</v>
      </c>
      <c r="S47" s="668">
        <f t="shared" si="12"/>
        <v>100</v>
      </c>
      <c r="T47" s="667" t="s">
        <v>14</v>
      </c>
      <c r="U47" s="668">
        <f t="shared" si="13"/>
        <v>100</v>
      </c>
      <c r="V47" s="667" t="s">
        <v>14</v>
      </c>
      <c r="W47" s="668">
        <f t="shared" si="14"/>
        <v>100</v>
      </c>
      <c r="X47" s="1264"/>
      <c r="Y47" s="3402"/>
      <c r="Z47" s="1263">
        <f t="shared" si="15"/>
        <v>111</v>
      </c>
      <c r="AA47" s="1263">
        <f t="shared" si="3"/>
        <v>1</v>
      </c>
      <c r="AB47" s="1263">
        <f t="shared" si="4"/>
        <v>1</v>
      </c>
      <c r="AC47" s="1811">
        <f t="shared" si="5"/>
        <v>1</v>
      </c>
    </row>
    <row r="48" spans="1:29" ht="14.4">
      <c r="A48" s="416" t="s">
        <v>1708</v>
      </c>
      <c r="B48" s="417"/>
      <c r="C48" s="1081" t="s">
        <v>0</v>
      </c>
      <c r="D48" s="418"/>
      <c r="E48" s="419"/>
      <c r="F48" s="420"/>
      <c r="G48" s="421"/>
      <c r="H48" s="422"/>
      <c r="I48" s="419"/>
      <c r="J48" s="422"/>
      <c r="K48" s="674"/>
      <c r="L48" s="2492"/>
      <c r="M48" s="2485"/>
      <c r="N48" s="2485"/>
      <c r="O48" s="2485"/>
      <c r="P48" s="3377" t="str">
        <f>A48</f>
        <v>成交单价（元/平方米）</v>
      </c>
      <c r="Q48" s="3395"/>
      <c r="R48" s="3390">
        <f>E48</f>
        <v>0</v>
      </c>
      <c r="S48" s="3390"/>
      <c r="T48" s="3390">
        <f>G48</f>
        <v>0</v>
      </c>
      <c r="U48" s="3390"/>
      <c r="V48" s="3390">
        <f>I48</f>
        <v>0</v>
      </c>
      <c r="W48" s="3390"/>
      <c r="X48" s="385"/>
      <c r="Y48" s="673"/>
      <c r="Z48" s="385"/>
      <c r="AA48" s="385"/>
      <c r="AB48" s="385"/>
      <c r="AC48" s="555"/>
    </row>
    <row r="49" spans="1:29" ht="15" thickBot="1">
      <c r="A49" s="423" t="s">
        <v>1793</v>
      </c>
      <c r="B49" s="424"/>
      <c r="C49" s="1082" t="e">
        <f>R50</f>
        <v>#DIV/0!</v>
      </c>
      <c r="D49" s="2140" t="s">
        <v>2136</v>
      </c>
      <c r="E49" s="1083" t="e">
        <f>R49</f>
        <v>#DIV/0!</v>
      </c>
      <c r="F49" s="2141"/>
      <c r="G49" s="1082" t="e">
        <f>T49</f>
        <v>#DIV/0!</v>
      </c>
      <c r="H49" s="2141"/>
      <c r="I49" s="1083" t="e">
        <f>V49</f>
        <v>#DIV/0!</v>
      </c>
      <c r="J49" s="2141"/>
      <c r="K49" s="2143">
        <f>F49+H49+J49</f>
        <v>0</v>
      </c>
      <c r="L49" s="2492"/>
      <c r="M49" s="2485"/>
      <c r="N49" s="2485"/>
      <c r="O49" s="2485"/>
      <c r="P49" s="3377" t="str">
        <f>A49</f>
        <v>比较价值（元/平方米）</v>
      </c>
      <c r="Q49" s="3395"/>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43" t="str">
        <f>A50</f>
        <v>估价对象XX用房的比较价值（楼面单价，元/平方米）</v>
      </c>
      <c r="Q50" s="3444"/>
      <c r="R50" s="3445" t="e">
        <f>IF(F1="售价",ROUND(IF(D49="简单平均",AVERAGE(R49:V49),R49*F49+T49*H49+V49*J49),0),ROUND(IF(D49="简单平均",AVERAGE(R49:V49),R49*F49+T49*H49+V49*J49),1))</f>
        <v>#DIV/0!</v>
      </c>
      <c r="S50" s="3445"/>
      <c r="T50" s="3445"/>
      <c r="U50" s="3445"/>
      <c r="V50" s="3445"/>
      <c r="W50" s="3445"/>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2" t="str">
        <f>YEAR(C7)&amp;"-"&amp;MONTH(C7)</f>
        <v>2025-3</v>
      </c>
      <c r="D59" s="1103">
        <f>EDATE(C59,-1)</f>
        <v>45689</v>
      </c>
      <c r="E59" s="1103">
        <f>EDATE(D59,-1)</f>
        <v>45658</v>
      </c>
      <c r="F59" s="1103">
        <f t="shared" ref="F59:O59" si="16">EDATE(E59,-1)</f>
        <v>45627</v>
      </c>
      <c r="G59" s="1103">
        <f t="shared" si="16"/>
        <v>45597</v>
      </c>
      <c r="H59" s="1103">
        <f t="shared" si="16"/>
        <v>45566</v>
      </c>
      <c r="I59" s="1103">
        <f t="shared" si="16"/>
        <v>45536</v>
      </c>
      <c r="J59" s="1103">
        <f t="shared" si="16"/>
        <v>45505</v>
      </c>
      <c r="K59" s="1103">
        <f t="shared" si="16"/>
        <v>45474</v>
      </c>
      <c r="L59" s="1103">
        <f t="shared" si="16"/>
        <v>45444</v>
      </c>
      <c r="M59" s="1103">
        <f t="shared" si="16"/>
        <v>45413</v>
      </c>
      <c r="N59" s="1103">
        <f t="shared" si="16"/>
        <v>45383</v>
      </c>
      <c r="O59" s="1103">
        <f t="shared" si="16"/>
        <v>45352</v>
      </c>
      <c r="P59" s="2525"/>
      <c r="Q59" s="2508"/>
      <c r="R59" s="2508"/>
      <c r="S59" s="2508"/>
      <c r="T59" s="2508"/>
      <c r="U59" s="2508"/>
      <c r="V59" s="2508"/>
      <c r="W59" s="2508"/>
      <c r="X59" s="2508"/>
      <c r="Y59" s="2508"/>
      <c r="Z59" s="2508"/>
      <c r="AA59" s="2508"/>
      <c r="AB59" s="2508"/>
      <c r="AC59" s="2508"/>
    </row>
    <row r="60" spans="1:29" s="102" customFormat="1">
      <c r="A60" s="443"/>
      <c r="B60" s="444"/>
      <c r="C60" s="1101">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79"/>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105.06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8" t="s">
        <v>1770</v>
      </c>
      <c r="D4" s="3379"/>
      <c r="E4" s="3380" t="s">
        <v>1771</v>
      </c>
      <c r="F4" s="3381"/>
      <c r="G4" s="3378" t="s">
        <v>1772</v>
      </c>
      <c r="H4" s="3379"/>
      <c r="I4" s="3378" t="s">
        <v>1773</v>
      </c>
      <c r="J4" s="3379"/>
      <c r="K4" s="537" t="s">
        <v>1774</v>
      </c>
      <c r="L4" s="860"/>
      <c r="M4" s="861"/>
      <c r="N4" s="861"/>
      <c r="O4" s="861"/>
      <c r="P4" s="3382" t="s">
        <v>1775</v>
      </c>
      <c r="Q4" s="3383"/>
      <c r="R4" s="3365" t="s">
        <v>1771</v>
      </c>
      <c r="S4" s="3366"/>
      <c r="T4" s="3365" t="s">
        <v>1772</v>
      </c>
      <c r="U4" s="3366"/>
      <c r="V4" s="3390" t="s">
        <v>1773</v>
      </c>
      <c r="W4" s="3390"/>
      <c r="X4" s="1264"/>
      <c r="Y4" s="3365" t="s">
        <v>1775</v>
      </c>
      <c r="Z4" s="3366"/>
      <c r="AA4" s="3360" t="s">
        <v>1771</v>
      </c>
      <c r="AB4" s="3361" t="s">
        <v>1772</v>
      </c>
      <c r="AC4" s="3360" t="s">
        <v>1773</v>
      </c>
    </row>
    <row r="5" spans="1:29">
      <c r="A5" s="348"/>
      <c r="B5" s="349"/>
      <c r="C5" s="3371" t="s">
        <v>1673</v>
      </c>
      <c r="D5" s="3372"/>
      <c r="E5" s="3369" t="s">
        <v>1674</v>
      </c>
      <c r="F5" s="3370"/>
      <c r="G5" s="3371" t="s">
        <v>1675</v>
      </c>
      <c r="H5" s="3372"/>
      <c r="I5" s="3371" t="s">
        <v>1676</v>
      </c>
      <c r="J5" s="3372"/>
      <c r="K5" s="537"/>
      <c r="L5" s="860"/>
      <c r="M5" s="861"/>
      <c r="N5" s="861"/>
      <c r="O5" s="861"/>
      <c r="P5" s="3384"/>
      <c r="Q5" s="3385"/>
      <c r="R5" s="3367"/>
      <c r="S5" s="3368"/>
      <c r="T5" s="3367"/>
      <c r="U5" s="3368"/>
      <c r="V5" s="3390"/>
      <c r="W5" s="3390"/>
      <c r="X5" s="1264"/>
      <c r="Y5" s="3367"/>
      <c r="Z5" s="3368"/>
      <c r="AA5" s="3361"/>
      <c r="AB5" s="3361"/>
      <c r="AC5" s="3361"/>
    </row>
    <row r="6" spans="1:29" ht="15" thickBot="1">
      <c r="A6" s="350"/>
      <c r="B6" s="351"/>
      <c r="C6" s="3373" t="s">
        <v>1677</v>
      </c>
      <c r="D6" s="3374"/>
      <c r="E6" s="3375" t="s">
        <v>1677</v>
      </c>
      <c r="F6" s="3376"/>
      <c r="G6" s="3373" t="s">
        <v>1677</v>
      </c>
      <c r="H6" s="3374"/>
      <c r="I6" s="3373" t="s">
        <v>1677</v>
      </c>
      <c r="J6" s="3374"/>
      <c r="K6" s="537" t="s">
        <v>1678</v>
      </c>
      <c r="L6" s="860"/>
      <c r="M6" s="861"/>
      <c r="N6" s="861"/>
      <c r="O6" s="861"/>
      <c r="P6" s="3386"/>
      <c r="Q6" s="3387"/>
      <c r="R6" s="3367"/>
      <c r="S6" s="3368"/>
      <c r="T6" s="3388"/>
      <c r="U6" s="3389"/>
      <c r="V6" s="3390"/>
      <c r="W6" s="3390"/>
      <c r="X6" s="1264"/>
      <c r="Y6" s="3388"/>
      <c r="Z6" s="3389"/>
      <c r="AA6" s="3362"/>
      <c r="AB6" s="3362"/>
      <c r="AC6" s="3362"/>
    </row>
    <row r="7" spans="1:29" s="102" customFormat="1" ht="15" thickBot="1">
      <c r="A7" s="352" t="s">
        <v>1679</v>
      </c>
      <c r="B7" s="353"/>
      <c r="C7" s="354">
        <f>'数据-取费表'!B2</f>
        <v>45727</v>
      </c>
      <c r="D7" s="355">
        <v>100</v>
      </c>
      <c r="E7" s="356"/>
      <c r="F7" s="357">
        <f>SUMIF(52:52,YEAR(E7)&amp;"-"&amp;MONTH(E7),53:53)</f>
        <v>0</v>
      </c>
      <c r="G7" s="356"/>
      <c r="H7" s="355">
        <f>SUMIF(52:52,YEAR(G7)&amp;"-"&amp;MONTH(G7),53:53)</f>
        <v>0</v>
      </c>
      <c r="I7" s="356"/>
      <c r="J7" s="355">
        <f>SUMIF(52:52,YEAR(I7)&amp;"-"&amp;MONTH(I7),53:53)</f>
        <v>0</v>
      </c>
      <c r="K7" s="38"/>
      <c r="L7" s="862"/>
      <c r="M7" s="863"/>
      <c r="N7" s="863"/>
      <c r="O7" s="863"/>
      <c r="P7" s="3363" t="s">
        <v>1680</v>
      </c>
      <c r="Q7" s="3391"/>
      <c r="R7" s="664" t="s">
        <v>14</v>
      </c>
      <c r="S7" s="665">
        <f t="shared" ref="S7:S15" si="0">F7</f>
        <v>0</v>
      </c>
      <c r="T7" s="664" t="s">
        <v>14</v>
      </c>
      <c r="U7" s="665">
        <f t="shared" ref="U7:U15" si="1">H7</f>
        <v>0</v>
      </c>
      <c r="V7" s="664" t="s">
        <v>14</v>
      </c>
      <c r="W7" s="665">
        <f t="shared" ref="W7:W15" si="2">J7</f>
        <v>0</v>
      </c>
      <c r="X7" s="666"/>
      <c r="Y7" s="3363" t="s">
        <v>1680</v>
      </c>
      <c r="Z7" s="336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3" t="s">
        <v>1683</v>
      </c>
      <c r="Q8" s="3364"/>
      <c r="R8" s="664" t="s">
        <v>14</v>
      </c>
      <c r="S8" s="665">
        <f t="shared" si="0"/>
        <v>100</v>
      </c>
      <c r="T8" s="664" t="s">
        <v>14</v>
      </c>
      <c r="U8" s="665">
        <f t="shared" si="1"/>
        <v>100</v>
      </c>
      <c r="V8" s="664" t="s">
        <v>14</v>
      </c>
      <c r="W8" s="665">
        <f t="shared" si="2"/>
        <v>100</v>
      </c>
      <c r="X8" s="666"/>
      <c r="Y8" s="3363" t="s">
        <v>1683</v>
      </c>
      <c r="Z8" s="336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5"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95"/>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5"/>
      <c r="Q11" s="530" t="str">
        <f t="shared" si="6"/>
        <v>容积率</v>
      </c>
      <c r="R11" s="664" t="s">
        <v>14</v>
      </c>
      <c r="S11" s="665">
        <f t="shared" si="0"/>
        <v>100</v>
      </c>
      <c r="T11" s="664" t="s">
        <v>14</v>
      </c>
      <c r="U11" s="665">
        <f t="shared" si="1"/>
        <v>100</v>
      </c>
      <c r="V11" s="664" t="s">
        <v>14</v>
      </c>
      <c r="W11" s="665">
        <f t="shared" si="2"/>
        <v>100</v>
      </c>
      <c r="X11" s="666"/>
      <c r="Y11" s="333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95"/>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95"/>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95"/>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6" t="s">
        <v>1691</v>
      </c>
      <c r="Q15" s="1262" t="str">
        <f t="shared" si="6"/>
        <v>产业集聚程度</v>
      </c>
      <c r="R15" s="667" t="s">
        <v>14</v>
      </c>
      <c r="S15" s="668">
        <f t="shared" si="0"/>
        <v>100</v>
      </c>
      <c r="T15" s="667" t="s">
        <v>14</v>
      </c>
      <c r="U15" s="668">
        <f t="shared" si="1"/>
        <v>100</v>
      </c>
      <c r="V15" s="667" t="s">
        <v>14</v>
      </c>
      <c r="W15" s="668">
        <f t="shared" si="2"/>
        <v>100</v>
      </c>
      <c r="X15" s="1264"/>
      <c r="Y15" s="339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97"/>
      <c r="Q16" s="1262"/>
      <c r="R16" s="667"/>
      <c r="S16" s="668"/>
      <c r="T16" s="667"/>
      <c r="U16" s="668"/>
      <c r="V16" s="667"/>
      <c r="W16" s="668"/>
      <c r="X16" s="1264"/>
      <c r="Y16" s="3397"/>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7"/>
      <c r="Q17" s="1262" t="str">
        <f>B17</f>
        <v>交通便捷度</v>
      </c>
      <c r="R17" s="667" t="s">
        <v>14</v>
      </c>
      <c r="S17" s="668">
        <f>F17</f>
        <v>100</v>
      </c>
      <c r="T17" s="667" t="s">
        <v>14</v>
      </c>
      <c r="U17" s="668">
        <f>H17</f>
        <v>100</v>
      </c>
      <c r="V17" s="667" t="s">
        <v>14</v>
      </c>
      <c r="W17" s="668">
        <f>J17</f>
        <v>100</v>
      </c>
      <c r="X17" s="1264"/>
      <c r="Y17" s="339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97"/>
      <c r="Q18" s="1262"/>
      <c r="R18" s="667"/>
      <c r="S18" s="668"/>
      <c r="T18" s="667"/>
      <c r="U18" s="668"/>
      <c r="V18" s="667"/>
      <c r="W18" s="668"/>
      <c r="X18" s="1264"/>
      <c r="Y18" s="3397"/>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7"/>
      <c r="Q19" s="1262" t="str">
        <f>B19</f>
        <v>公共配套设施</v>
      </c>
      <c r="R19" s="667" t="s">
        <v>14</v>
      </c>
      <c r="S19" s="668">
        <f>F19</f>
        <v>100</v>
      </c>
      <c r="T19" s="667" t="s">
        <v>14</v>
      </c>
      <c r="U19" s="668">
        <f>H19</f>
        <v>100</v>
      </c>
      <c r="V19" s="667" t="s">
        <v>14</v>
      </c>
      <c r="W19" s="668">
        <f>J19</f>
        <v>100</v>
      </c>
      <c r="X19" s="1264"/>
      <c r="Y19" s="339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97"/>
      <c r="Q20" s="1262"/>
      <c r="R20" s="667"/>
      <c r="S20" s="668"/>
      <c r="T20" s="667"/>
      <c r="U20" s="668"/>
      <c r="V20" s="667"/>
      <c r="W20" s="668"/>
      <c r="X20" s="1264"/>
      <c r="Y20" s="3397"/>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7"/>
      <c r="Q21" s="1262" t="str">
        <f>B21</f>
        <v>基础设施水平</v>
      </c>
      <c r="R21" s="667" t="s">
        <v>14</v>
      </c>
      <c r="S21" s="668">
        <f>F21</f>
        <v>100</v>
      </c>
      <c r="T21" s="667" t="s">
        <v>14</v>
      </c>
      <c r="U21" s="668">
        <f>H21</f>
        <v>100</v>
      </c>
      <c r="V21" s="667" t="s">
        <v>14</v>
      </c>
      <c r="W21" s="668">
        <f>J21</f>
        <v>100</v>
      </c>
      <c r="X21" s="1264"/>
      <c r="Y21" s="339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97"/>
      <c r="Q22" s="1262"/>
      <c r="R22" s="667"/>
      <c r="S22" s="668"/>
      <c r="T22" s="667"/>
      <c r="U22" s="668"/>
      <c r="V22" s="667"/>
      <c r="W22" s="668"/>
      <c r="X22" s="1264"/>
      <c r="Y22" s="3397"/>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7"/>
      <c r="Q23" s="1262" t="str">
        <f>B23</f>
        <v>环境质量</v>
      </c>
      <c r="R23" s="667" t="s">
        <v>14</v>
      </c>
      <c r="S23" s="668">
        <f>F23</f>
        <v>100</v>
      </c>
      <c r="T23" s="667" t="s">
        <v>14</v>
      </c>
      <c r="U23" s="668">
        <f>H23</f>
        <v>100</v>
      </c>
      <c r="V23" s="667" t="s">
        <v>14</v>
      </c>
      <c r="W23" s="668">
        <f>J23</f>
        <v>100</v>
      </c>
      <c r="X23" s="1264"/>
      <c r="Y23" s="3397"/>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97"/>
      <c r="Q24" s="1262"/>
      <c r="R24" s="667"/>
      <c r="S24" s="668"/>
      <c r="T24" s="667"/>
      <c r="U24" s="668"/>
      <c r="V24" s="667"/>
      <c r="W24" s="668"/>
      <c r="X24" s="1264"/>
      <c r="Y24" s="3397"/>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7"/>
      <c r="Q25" s="1262">
        <f>B25</f>
        <v>111</v>
      </c>
      <c r="R25" s="667" t="s">
        <v>14</v>
      </c>
      <c r="S25" s="668">
        <f>F25</f>
        <v>100</v>
      </c>
      <c r="T25" s="667" t="s">
        <v>14</v>
      </c>
      <c r="U25" s="668">
        <f>H25</f>
        <v>100</v>
      </c>
      <c r="V25" s="667" t="s">
        <v>14</v>
      </c>
      <c r="W25" s="668">
        <f>J25</f>
        <v>100</v>
      </c>
      <c r="X25" s="1264"/>
      <c r="Y25" s="3397"/>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7"/>
      <c r="Q26" s="1262">
        <f t="shared" ref="Q26:Q40" si="11">B26</f>
        <v>111</v>
      </c>
      <c r="R26" s="667" t="s">
        <v>14</v>
      </c>
      <c r="S26" s="668">
        <f>F26</f>
        <v>100</v>
      </c>
      <c r="T26" s="667" t="s">
        <v>14</v>
      </c>
      <c r="U26" s="668">
        <f>H26</f>
        <v>100</v>
      </c>
      <c r="V26" s="667" t="s">
        <v>14</v>
      </c>
      <c r="W26" s="668">
        <f>J26</f>
        <v>100</v>
      </c>
      <c r="X26" s="1264"/>
      <c r="Y26" s="3397"/>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7"/>
      <c r="Q27" s="530">
        <f t="shared" si="11"/>
        <v>111</v>
      </c>
      <c r="R27" s="664" t="s">
        <v>14</v>
      </c>
      <c r="S27" s="665">
        <f>F27</f>
        <v>100</v>
      </c>
      <c r="T27" s="664" t="s">
        <v>14</v>
      </c>
      <c r="U27" s="665">
        <f>H27</f>
        <v>100</v>
      </c>
      <c r="V27" s="664" t="s">
        <v>14</v>
      </c>
      <c r="W27" s="665">
        <f>J27</f>
        <v>100</v>
      </c>
      <c r="X27" s="666"/>
      <c r="Y27" s="3397"/>
      <c r="Z27" s="50">
        <f>Q27</f>
        <v>111</v>
      </c>
      <c r="AA27" s="1263">
        <f>D27/F27</f>
        <v>1</v>
      </c>
      <c r="AB27" s="1263">
        <f>D27/H27</f>
        <v>1</v>
      </c>
      <c r="AC27" s="1263">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7"/>
      <c r="Q28" s="1262">
        <f t="shared" si="11"/>
        <v>111</v>
      </c>
      <c r="R28" s="667" t="s">
        <v>14</v>
      </c>
      <c r="S28" s="668">
        <f t="shared" ref="S28:S40" si="12">F28</f>
        <v>100</v>
      </c>
      <c r="T28" s="667" t="s">
        <v>14</v>
      </c>
      <c r="U28" s="668">
        <f t="shared" ref="U28:U40" si="13">H28</f>
        <v>100</v>
      </c>
      <c r="V28" s="667" t="s">
        <v>14</v>
      </c>
      <c r="W28" s="668">
        <f t="shared" ref="W28:W40" si="14">J28</f>
        <v>100</v>
      </c>
      <c r="X28" s="1264"/>
      <c r="Y28" s="3397"/>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6" t="s">
        <v>1696</v>
      </c>
      <c r="Q29" s="1262" t="str">
        <f t="shared" si="11"/>
        <v>建筑类型</v>
      </c>
      <c r="R29" s="667" t="s">
        <v>14</v>
      </c>
      <c r="S29" s="668">
        <f t="shared" si="12"/>
        <v>100</v>
      </c>
      <c r="T29" s="667" t="s">
        <v>14</v>
      </c>
      <c r="U29" s="668">
        <f t="shared" si="13"/>
        <v>100</v>
      </c>
      <c r="V29" s="667" t="s">
        <v>14</v>
      </c>
      <c r="W29" s="668">
        <f t="shared" si="14"/>
        <v>100</v>
      </c>
      <c r="X29" s="1264"/>
      <c r="Y29" s="340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1"/>
      <c r="Q30" s="531" t="str">
        <f t="shared" si="11"/>
        <v>项目建筑规模</v>
      </c>
      <c r="R30" s="669" t="s">
        <v>14</v>
      </c>
      <c r="S30" s="670" t="e">
        <f t="shared" si="12"/>
        <v>#N/A</v>
      </c>
      <c r="T30" s="669" t="s">
        <v>14</v>
      </c>
      <c r="U30" s="670" t="e">
        <f t="shared" si="13"/>
        <v>#N/A</v>
      </c>
      <c r="V30" s="669" t="s">
        <v>14</v>
      </c>
      <c r="W30" s="670" t="e">
        <f t="shared" si="14"/>
        <v>#N/A</v>
      </c>
      <c r="X30" s="671"/>
      <c r="Y30" s="3401"/>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1"/>
      <c r="Q31" s="1262" t="str">
        <f t="shared" si="11"/>
        <v>建筑结构</v>
      </c>
      <c r="R31" s="667" t="s">
        <v>14</v>
      </c>
      <c r="S31" s="668">
        <f t="shared" si="12"/>
        <v>100</v>
      </c>
      <c r="T31" s="667" t="s">
        <v>14</v>
      </c>
      <c r="U31" s="668">
        <f t="shared" si="13"/>
        <v>100</v>
      </c>
      <c r="V31" s="667" t="s">
        <v>14</v>
      </c>
      <c r="W31" s="668">
        <f t="shared" si="14"/>
        <v>100</v>
      </c>
      <c r="X31" s="1264"/>
      <c r="Y31" s="340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1"/>
      <c r="Q32" s="1262" t="str">
        <f t="shared" si="11"/>
        <v>公共部分装修</v>
      </c>
      <c r="R32" s="667" t="s">
        <v>14</v>
      </c>
      <c r="S32" s="668">
        <f t="shared" si="12"/>
        <v>100</v>
      </c>
      <c r="T32" s="667" t="s">
        <v>14</v>
      </c>
      <c r="U32" s="668">
        <f t="shared" si="13"/>
        <v>100</v>
      </c>
      <c r="V32" s="667" t="s">
        <v>14</v>
      </c>
      <c r="W32" s="668">
        <f t="shared" si="14"/>
        <v>100</v>
      </c>
      <c r="X32" s="1264"/>
      <c r="Y32" s="340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1"/>
      <c r="Q33" s="1262" t="str">
        <f t="shared" si="11"/>
        <v>成新度</v>
      </c>
      <c r="R33" s="667" t="s">
        <v>14</v>
      </c>
      <c r="S33" s="668" t="e">
        <f t="shared" si="12"/>
        <v>#N/A</v>
      </c>
      <c r="T33" s="667" t="s">
        <v>14</v>
      </c>
      <c r="U33" s="668" t="e">
        <f t="shared" si="13"/>
        <v>#N/A</v>
      </c>
      <c r="V33" s="667" t="s">
        <v>14</v>
      </c>
      <c r="W33" s="668" t="e">
        <f t="shared" si="14"/>
        <v>#N/A</v>
      </c>
      <c r="X33" s="1264"/>
      <c r="Y33" s="340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1"/>
      <c r="Q34" s="530" t="str">
        <f t="shared" si="11"/>
        <v>物业管理</v>
      </c>
      <c r="R34" s="664" t="s">
        <v>14</v>
      </c>
      <c r="S34" s="665">
        <f t="shared" si="12"/>
        <v>100</v>
      </c>
      <c r="T34" s="664" t="s">
        <v>14</v>
      </c>
      <c r="U34" s="665">
        <f t="shared" si="13"/>
        <v>100</v>
      </c>
      <c r="V34" s="664" t="s">
        <v>14</v>
      </c>
      <c r="W34" s="665">
        <f t="shared" si="14"/>
        <v>100</v>
      </c>
      <c r="X34" s="666"/>
      <c r="Y34" s="340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1" t="s">
        <v>1696</v>
      </c>
      <c r="Q35" s="1262" t="str">
        <f t="shared" si="11"/>
        <v>市政基础设施</v>
      </c>
      <c r="R35" s="667" t="s">
        <v>14</v>
      </c>
      <c r="S35" s="668">
        <f t="shared" si="12"/>
        <v>100</v>
      </c>
      <c r="T35" s="667" t="s">
        <v>14</v>
      </c>
      <c r="U35" s="668">
        <f t="shared" si="13"/>
        <v>100</v>
      </c>
      <c r="V35" s="667" t="s">
        <v>14</v>
      </c>
      <c r="W35" s="668">
        <f t="shared" si="14"/>
        <v>100</v>
      </c>
      <c r="X35" s="1264"/>
      <c r="Y35" s="340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1"/>
      <c r="Q36" s="1262" t="str">
        <f t="shared" si="11"/>
        <v>内部装修</v>
      </c>
      <c r="R36" s="667" t="s">
        <v>14</v>
      </c>
      <c r="S36" s="668">
        <f t="shared" si="12"/>
        <v>100</v>
      </c>
      <c r="T36" s="667" t="s">
        <v>14</v>
      </c>
      <c r="U36" s="668">
        <f t="shared" si="13"/>
        <v>100</v>
      </c>
      <c r="V36" s="667" t="s">
        <v>14</v>
      </c>
      <c r="W36" s="668">
        <f t="shared" si="14"/>
        <v>100</v>
      </c>
      <c r="X36" s="1264"/>
      <c r="Y36" s="340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1"/>
      <c r="Q37" s="1262" t="str">
        <f t="shared" si="11"/>
        <v>内部装修状况</v>
      </c>
      <c r="R37" s="667" t="s">
        <v>14</v>
      </c>
      <c r="S37" s="668">
        <f t="shared" si="12"/>
        <v>100</v>
      </c>
      <c r="T37" s="667" t="s">
        <v>14</v>
      </c>
      <c r="U37" s="668">
        <f t="shared" si="13"/>
        <v>100</v>
      </c>
      <c r="V37" s="667" t="s">
        <v>14</v>
      </c>
      <c r="W37" s="668">
        <f t="shared" si="14"/>
        <v>100</v>
      </c>
      <c r="X37" s="1264"/>
      <c r="Y37" s="3401"/>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1"/>
      <c r="Q38" s="531">
        <f t="shared" si="11"/>
        <v>111</v>
      </c>
      <c r="R38" s="669" t="s">
        <v>14</v>
      </c>
      <c r="S38" s="670">
        <f t="shared" si="12"/>
        <v>100</v>
      </c>
      <c r="T38" s="669" t="s">
        <v>14</v>
      </c>
      <c r="U38" s="670">
        <f t="shared" si="13"/>
        <v>100</v>
      </c>
      <c r="V38" s="669" t="s">
        <v>14</v>
      </c>
      <c r="W38" s="670">
        <f t="shared" si="14"/>
        <v>100</v>
      </c>
      <c r="X38" s="671"/>
      <c r="Y38" s="3401"/>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1"/>
      <c r="Q39" s="1262">
        <f t="shared" si="11"/>
        <v>111</v>
      </c>
      <c r="R39" s="667" t="s">
        <v>14</v>
      </c>
      <c r="S39" s="668">
        <f t="shared" si="12"/>
        <v>100</v>
      </c>
      <c r="T39" s="667" t="s">
        <v>14</v>
      </c>
      <c r="U39" s="668">
        <f t="shared" si="13"/>
        <v>100</v>
      </c>
      <c r="V39" s="667" t="s">
        <v>14</v>
      </c>
      <c r="W39" s="668">
        <f t="shared" si="14"/>
        <v>100</v>
      </c>
      <c r="X39" s="1264"/>
      <c r="Y39" s="3401"/>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2"/>
      <c r="Q40" s="1262">
        <f t="shared" si="11"/>
        <v>111</v>
      </c>
      <c r="R40" s="667" t="s">
        <v>14</v>
      </c>
      <c r="S40" s="668">
        <f t="shared" si="12"/>
        <v>100</v>
      </c>
      <c r="T40" s="667" t="s">
        <v>14</v>
      </c>
      <c r="U40" s="668">
        <f t="shared" si="13"/>
        <v>100</v>
      </c>
      <c r="V40" s="667" t="s">
        <v>14</v>
      </c>
      <c r="W40" s="668">
        <f t="shared" si="14"/>
        <v>100</v>
      </c>
      <c r="X40" s="1264"/>
      <c r="Y40" s="3402"/>
      <c r="Z40" s="1263">
        <f t="shared" si="15"/>
        <v>111</v>
      </c>
      <c r="AA40" s="1263">
        <f t="shared" si="3"/>
        <v>1</v>
      </c>
      <c r="AB40" s="1263">
        <f t="shared" si="4"/>
        <v>1</v>
      </c>
      <c r="AC40" s="1263">
        <f t="shared" si="5"/>
        <v>1</v>
      </c>
    </row>
    <row r="41" spans="1:29" ht="14.4">
      <c r="A41" s="416" t="s">
        <v>1708</v>
      </c>
      <c r="B41" s="417"/>
      <c r="C41" s="1081" t="s">
        <v>0</v>
      </c>
      <c r="D41" s="418"/>
      <c r="E41" s="419"/>
      <c r="F41" s="420"/>
      <c r="G41" s="421"/>
      <c r="H41" s="422"/>
      <c r="I41" s="419"/>
      <c r="J41" s="422"/>
      <c r="K41" s="674"/>
      <c r="L41" s="873"/>
      <c r="M41" s="861"/>
      <c r="N41" s="861"/>
      <c r="O41" s="861"/>
      <c r="P41" s="3395" t="str">
        <f>A41</f>
        <v>成交单价（元/平方米）</v>
      </c>
      <c r="Q41" s="3395"/>
      <c r="R41" s="3390">
        <f>E41</f>
        <v>0</v>
      </c>
      <c r="S41" s="3390"/>
      <c r="T41" s="3390">
        <f>G41</f>
        <v>0</v>
      </c>
      <c r="U41" s="3390"/>
      <c r="V41" s="3390">
        <f>I41</f>
        <v>0</v>
      </c>
      <c r="W41" s="3390"/>
      <c r="X41" s="385"/>
      <c r="Y41" s="673"/>
      <c r="Z41" s="385"/>
      <c r="AA41" s="385"/>
      <c r="AB41" s="385"/>
      <c r="AC41" s="385"/>
    </row>
    <row r="42" spans="1:29" ht="15" thickBot="1">
      <c r="A42" s="423" t="s">
        <v>1793</v>
      </c>
      <c r="B42" s="424"/>
      <c r="C42" s="1082" t="e">
        <f>R43</f>
        <v>#DIV/0!</v>
      </c>
      <c r="D42" s="2140" t="s">
        <v>2136</v>
      </c>
      <c r="E42" s="1083" t="e">
        <f>R42</f>
        <v>#DIV/0!</v>
      </c>
      <c r="F42" s="2141"/>
      <c r="G42" s="1082" t="e">
        <f>T42</f>
        <v>#DIV/0!</v>
      </c>
      <c r="H42" s="2141"/>
      <c r="I42" s="1083" t="e">
        <f>V42</f>
        <v>#DIV/0!</v>
      </c>
      <c r="J42" s="2141"/>
      <c r="K42" s="2143">
        <f>F42+H42+J42</f>
        <v>0</v>
      </c>
      <c r="L42" s="873"/>
      <c r="M42" s="861"/>
      <c r="N42" s="861"/>
      <c r="O42" s="861"/>
      <c r="P42" s="3395" t="str">
        <f>A42</f>
        <v>比较价值（元/平方米）</v>
      </c>
      <c r="Q42" s="3395"/>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2" t="str">
        <f>A43</f>
        <v>估价对象XX用房的比较价值（楼面单价，元/平方米）</v>
      </c>
      <c r="Q43" s="3393"/>
      <c r="R43" s="3394" t="e">
        <f>IF(F1="售价",ROUND(IF(D42="简单平均",AVERAGE(R42:V42),R42*F42+T42*H42+V42*J42),0),ROUND(IF(D42="简单平均",AVERAGE(R42:V42),R42*F42+T42*H42+V42*J42),1))</f>
        <v>#DIV/0!</v>
      </c>
      <c r="S43" s="3394"/>
      <c r="T43" s="3394"/>
      <c r="U43" s="3394"/>
      <c r="V43" s="3394"/>
      <c r="W43" s="339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2" t="str">
        <f>YEAR(C7)&amp;"-"&amp;MONTH(C7)</f>
        <v>2025-3</v>
      </c>
      <c r="D52" s="1103">
        <f>EDATE(C52,-1)</f>
        <v>45689</v>
      </c>
      <c r="E52" s="1103">
        <f t="shared" ref="E52:O52" si="16">EDATE(D52,-1)</f>
        <v>45658</v>
      </c>
      <c r="F52" s="1103">
        <f t="shared" si="16"/>
        <v>45627</v>
      </c>
      <c r="G52" s="1103">
        <f t="shared" si="16"/>
        <v>45597</v>
      </c>
      <c r="H52" s="1103">
        <f t="shared" si="16"/>
        <v>45566</v>
      </c>
      <c r="I52" s="1103">
        <f t="shared" si="16"/>
        <v>45536</v>
      </c>
      <c r="J52" s="1103">
        <f t="shared" si="16"/>
        <v>45505</v>
      </c>
      <c r="K52" s="1103">
        <f t="shared" si="16"/>
        <v>45474</v>
      </c>
      <c r="L52" s="1103">
        <f t="shared" si="16"/>
        <v>45444</v>
      </c>
      <c r="M52" s="1103">
        <f t="shared" si="16"/>
        <v>45413</v>
      </c>
      <c r="N52" s="1103">
        <f t="shared" si="16"/>
        <v>45383</v>
      </c>
      <c r="O52" s="1103">
        <f t="shared" si="16"/>
        <v>45352</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3331</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78" t="s">
        <v>1770</v>
      </c>
      <c r="D4" s="3379"/>
      <c r="E4" s="3380" t="s">
        <v>1771</v>
      </c>
      <c r="F4" s="3381"/>
      <c r="G4" s="3378" t="s">
        <v>1772</v>
      </c>
      <c r="H4" s="3379"/>
      <c r="I4" s="3378" t="s">
        <v>1773</v>
      </c>
      <c r="J4" s="3379"/>
      <c r="K4" s="537" t="s">
        <v>1774</v>
      </c>
      <c r="L4" s="2484"/>
      <c r="M4" s="2485"/>
      <c r="N4" s="2485"/>
      <c r="O4" s="2485"/>
      <c r="P4" s="3382" t="s">
        <v>1775</v>
      </c>
      <c r="Q4" s="3383"/>
      <c r="R4" s="3365" t="s">
        <v>1771</v>
      </c>
      <c r="S4" s="3366"/>
      <c r="T4" s="3365" t="s">
        <v>1772</v>
      </c>
      <c r="U4" s="3366"/>
      <c r="V4" s="3390" t="s">
        <v>1773</v>
      </c>
      <c r="W4" s="3390"/>
      <c r="X4" s="1264"/>
      <c r="Y4" s="3365" t="s">
        <v>1775</v>
      </c>
      <c r="Z4" s="3366"/>
      <c r="AA4" s="3360" t="s">
        <v>1771</v>
      </c>
      <c r="AB4" s="3361" t="s">
        <v>1772</v>
      </c>
      <c r="AC4" s="3360" t="s">
        <v>1773</v>
      </c>
    </row>
    <row r="5" spans="1:29">
      <c r="A5" s="348"/>
      <c r="B5" s="349"/>
      <c r="C5" s="3371" t="s">
        <v>1673</v>
      </c>
      <c r="D5" s="3372"/>
      <c r="E5" s="3369" t="s">
        <v>1674</v>
      </c>
      <c r="F5" s="3370"/>
      <c r="G5" s="3371" t="s">
        <v>1675</v>
      </c>
      <c r="H5" s="3372"/>
      <c r="I5" s="3371" t="s">
        <v>1676</v>
      </c>
      <c r="J5" s="3372"/>
      <c r="K5" s="537"/>
      <c r="L5" s="2484"/>
      <c r="M5" s="2485"/>
      <c r="N5" s="2485"/>
      <c r="O5" s="2485"/>
      <c r="P5" s="3384"/>
      <c r="Q5" s="3385"/>
      <c r="R5" s="3367"/>
      <c r="S5" s="3368"/>
      <c r="T5" s="3367"/>
      <c r="U5" s="3368"/>
      <c r="V5" s="3390"/>
      <c r="W5" s="3390"/>
      <c r="X5" s="1264"/>
      <c r="Y5" s="3367"/>
      <c r="Z5" s="3368"/>
      <c r="AA5" s="3361"/>
      <c r="AB5" s="3361"/>
      <c r="AC5" s="3361"/>
    </row>
    <row r="6" spans="1:29" ht="15" thickBot="1">
      <c r="A6" s="350"/>
      <c r="B6" s="351"/>
      <c r="C6" s="3373" t="s">
        <v>1677</v>
      </c>
      <c r="D6" s="3374"/>
      <c r="E6" s="3375" t="s">
        <v>1677</v>
      </c>
      <c r="F6" s="3376"/>
      <c r="G6" s="3373" t="s">
        <v>1677</v>
      </c>
      <c r="H6" s="3374"/>
      <c r="I6" s="3373" t="s">
        <v>1677</v>
      </c>
      <c r="J6" s="3374"/>
      <c r="K6" s="537" t="s">
        <v>1678</v>
      </c>
      <c r="L6" s="2484"/>
      <c r="M6" s="2485"/>
      <c r="N6" s="2485"/>
      <c r="O6" s="2485"/>
      <c r="P6" s="3386"/>
      <c r="Q6" s="3387"/>
      <c r="R6" s="3367"/>
      <c r="S6" s="3368"/>
      <c r="T6" s="3388"/>
      <c r="U6" s="3389"/>
      <c r="V6" s="3390"/>
      <c r="W6" s="3390"/>
      <c r="X6" s="1264"/>
      <c r="Y6" s="3388"/>
      <c r="Z6" s="3389"/>
      <c r="AA6" s="3362"/>
      <c r="AB6" s="3362"/>
      <c r="AC6" s="3362"/>
    </row>
    <row r="7" spans="1:29" s="102" customFormat="1" ht="15" thickBot="1">
      <c r="A7" s="352" t="s">
        <v>1679</v>
      </c>
      <c r="B7" s="353"/>
      <c r="C7" s="354">
        <f>'数据-取费表'!B2</f>
        <v>45727</v>
      </c>
      <c r="D7" s="355">
        <v>100</v>
      </c>
      <c r="E7" s="356"/>
      <c r="F7" s="357">
        <f>SUMIF(48:48,YEAR(E7)&amp;"-"&amp;MONTH(E7),49:49)</f>
        <v>0</v>
      </c>
      <c r="G7" s="356"/>
      <c r="H7" s="355">
        <f>SUMIF(48:48,YEAR(G7)&amp;"-"&amp;MONTH(G7),49:49)</f>
        <v>0</v>
      </c>
      <c r="I7" s="356"/>
      <c r="J7" s="355">
        <f>SUMIF(48:48,YEAR(I7)&amp;"-"&amp;MONTH(I7),49:49)</f>
        <v>0</v>
      </c>
      <c r="K7" s="38"/>
      <c r="L7" s="2486"/>
      <c r="M7" s="2438"/>
      <c r="N7" s="2438"/>
      <c r="O7" s="2438"/>
      <c r="P7" s="3363" t="s">
        <v>1680</v>
      </c>
      <c r="Q7" s="3391"/>
      <c r="R7" s="664" t="s">
        <v>14</v>
      </c>
      <c r="S7" s="665">
        <f t="shared" ref="S7:S14" si="0">F7</f>
        <v>0</v>
      </c>
      <c r="T7" s="664" t="s">
        <v>14</v>
      </c>
      <c r="U7" s="665">
        <f t="shared" ref="U7:U14" si="1">H7</f>
        <v>0</v>
      </c>
      <c r="V7" s="664" t="s">
        <v>14</v>
      </c>
      <c r="W7" s="665">
        <f t="shared" ref="W7:W14" si="2">J7</f>
        <v>0</v>
      </c>
      <c r="X7" s="666"/>
      <c r="Y7" s="3363" t="s">
        <v>1680</v>
      </c>
      <c r="Z7" s="336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63" t="s">
        <v>1683</v>
      </c>
      <c r="Q8" s="3364"/>
      <c r="R8" s="664" t="s">
        <v>14</v>
      </c>
      <c r="S8" s="665">
        <f t="shared" si="0"/>
        <v>100</v>
      </c>
      <c r="T8" s="664" t="s">
        <v>14</v>
      </c>
      <c r="U8" s="665">
        <f t="shared" si="1"/>
        <v>100</v>
      </c>
      <c r="V8" s="664" t="s">
        <v>14</v>
      </c>
      <c r="W8" s="665">
        <f t="shared" si="2"/>
        <v>100</v>
      </c>
      <c r="X8" s="666"/>
      <c r="Y8" s="3363" t="s">
        <v>1683</v>
      </c>
      <c r="Z8" s="336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95" t="s">
        <v>1686</v>
      </c>
      <c r="Q9" s="530" t="str">
        <f t="shared" ref="Q9:Q14" si="6">B9</f>
        <v>用途</v>
      </c>
      <c r="R9" s="664" t="s">
        <v>14</v>
      </c>
      <c r="S9" s="665">
        <f t="shared" si="0"/>
        <v>100</v>
      </c>
      <c r="T9" s="664" t="s">
        <v>14</v>
      </c>
      <c r="U9" s="665">
        <f t="shared" si="1"/>
        <v>100</v>
      </c>
      <c r="V9" s="664" t="s">
        <v>14</v>
      </c>
      <c r="W9" s="665">
        <f t="shared" si="2"/>
        <v>100</v>
      </c>
      <c r="X9" s="666"/>
      <c r="Y9" s="3333"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95"/>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95"/>
      <c r="Q11" s="530">
        <f t="shared" si="6"/>
        <v>111</v>
      </c>
      <c r="R11" s="664" t="s">
        <v>14</v>
      </c>
      <c r="S11" s="665">
        <f t="shared" si="0"/>
        <v>100</v>
      </c>
      <c r="T11" s="664" t="s">
        <v>14</v>
      </c>
      <c r="U11" s="665">
        <f t="shared" si="1"/>
        <v>100</v>
      </c>
      <c r="V11" s="664" t="s">
        <v>14</v>
      </c>
      <c r="W11" s="665">
        <f t="shared" si="2"/>
        <v>100</v>
      </c>
      <c r="X11" s="666"/>
      <c r="Y11" s="333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95"/>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95"/>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96" t="s">
        <v>1691</v>
      </c>
      <c r="Q14" s="1262" t="str">
        <f t="shared" si="6"/>
        <v>交通便捷度</v>
      </c>
      <c r="R14" s="667" t="s">
        <v>14</v>
      </c>
      <c r="S14" s="668">
        <f t="shared" si="0"/>
        <v>100</v>
      </c>
      <c r="T14" s="667" t="s">
        <v>14</v>
      </c>
      <c r="U14" s="668">
        <f t="shared" si="1"/>
        <v>100</v>
      </c>
      <c r="V14" s="667" t="s">
        <v>14</v>
      </c>
      <c r="W14" s="668">
        <f t="shared" si="2"/>
        <v>100</v>
      </c>
      <c r="X14" s="1264"/>
      <c r="Y14" s="3396"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397"/>
      <c r="Q15" s="1262"/>
      <c r="R15" s="667"/>
      <c r="S15" s="668"/>
      <c r="T15" s="667"/>
      <c r="U15" s="668"/>
      <c r="V15" s="667"/>
      <c r="W15" s="668"/>
      <c r="X15" s="1264"/>
      <c r="Y15" s="3397"/>
      <c r="Z15" s="1263"/>
      <c r="AA15" s="1263">
        <v>1</v>
      </c>
      <c r="AB15" s="1263">
        <v>1</v>
      </c>
      <c r="AC15" s="1263">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97"/>
      <c r="Q16" s="1262" t="str">
        <f>B16</f>
        <v>公共配套设施</v>
      </c>
      <c r="R16" s="667" t="s">
        <v>14</v>
      </c>
      <c r="S16" s="668">
        <f>F16</f>
        <v>100</v>
      </c>
      <c r="T16" s="667" t="s">
        <v>14</v>
      </c>
      <c r="U16" s="668">
        <f>H16</f>
        <v>100</v>
      </c>
      <c r="V16" s="667" t="s">
        <v>14</v>
      </c>
      <c r="W16" s="668">
        <f>J16</f>
        <v>100</v>
      </c>
      <c r="X16" s="1264"/>
      <c r="Y16" s="3397"/>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397"/>
      <c r="Q17" s="1262"/>
      <c r="R17" s="667"/>
      <c r="S17" s="668"/>
      <c r="T17" s="667"/>
      <c r="U17" s="668"/>
      <c r="V17" s="667"/>
      <c r="W17" s="668"/>
      <c r="X17" s="1264"/>
      <c r="Y17" s="3397"/>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97"/>
      <c r="Q18" s="1262" t="str">
        <f>B18</f>
        <v>基础设施水平</v>
      </c>
      <c r="R18" s="667" t="s">
        <v>14</v>
      </c>
      <c r="S18" s="668">
        <f>F18</f>
        <v>100</v>
      </c>
      <c r="T18" s="667" t="s">
        <v>14</v>
      </c>
      <c r="U18" s="668">
        <f>H18</f>
        <v>100</v>
      </c>
      <c r="V18" s="667" t="s">
        <v>14</v>
      </c>
      <c r="W18" s="668">
        <f>J18</f>
        <v>100</v>
      </c>
      <c r="X18" s="1264"/>
      <c r="Y18" s="3397"/>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397"/>
      <c r="Q19" s="1262"/>
      <c r="R19" s="667"/>
      <c r="S19" s="668"/>
      <c r="T19" s="667"/>
      <c r="U19" s="668"/>
      <c r="V19" s="667"/>
      <c r="W19" s="668"/>
      <c r="X19" s="1264"/>
      <c r="Y19" s="3397"/>
      <c r="Z19" s="1263"/>
      <c r="AA19" s="1263">
        <v>1</v>
      </c>
      <c r="AB19" s="1263">
        <v>1</v>
      </c>
      <c r="AC19" s="1263">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97"/>
      <c r="Q20" s="1262" t="str">
        <f>B20</f>
        <v>自然及人文环境</v>
      </c>
      <c r="R20" s="667" t="s">
        <v>14</v>
      </c>
      <c r="S20" s="668">
        <f>F20</f>
        <v>100</v>
      </c>
      <c r="T20" s="667" t="s">
        <v>14</v>
      </c>
      <c r="U20" s="668">
        <f>H20</f>
        <v>100</v>
      </c>
      <c r="V20" s="667" t="s">
        <v>14</v>
      </c>
      <c r="W20" s="668">
        <f>J20</f>
        <v>100</v>
      </c>
      <c r="X20" s="1264"/>
      <c r="Y20" s="339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397"/>
      <c r="Q21" s="1262"/>
      <c r="R21" s="667"/>
      <c r="S21" s="668"/>
      <c r="T21" s="667"/>
      <c r="U21" s="668"/>
      <c r="V21" s="667"/>
      <c r="W21" s="668"/>
      <c r="X21" s="1264"/>
      <c r="Y21" s="3397"/>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97"/>
      <c r="Q22" s="1262" t="str">
        <f>B22</f>
        <v>楼层</v>
      </c>
      <c r="R22" s="667" t="s">
        <v>14</v>
      </c>
      <c r="S22" s="668">
        <f>F22</f>
        <v>100</v>
      </c>
      <c r="T22" s="667" t="s">
        <v>14</v>
      </c>
      <c r="U22" s="668">
        <f>H22</f>
        <v>100</v>
      </c>
      <c r="V22" s="667" t="s">
        <v>14</v>
      </c>
      <c r="W22" s="668">
        <f>J22</f>
        <v>100</v>
      </c>
      <c r="X22" s="1264"/>
      <c r="Y22" s="339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97"/>
      <c r="Q23" s="1262">
        <f>B23</f>
        <v>111</v>
      </c>
      <c r="R23" s="667" t="s">
        <v>14</v>
      </c>
      <c r="S23" s="668">
        <f>F23</f>
        <v>100</v>
      </c>
      <c r="T23" s="667" t="s">
        <v>14</v>
      </c>
      <c r="U23" s="668">
        <f>H23</f>
        <v>100</v>
      </c>
      <c r="V23" s="667" t="s">
        <v>14</v>
      </c>
      <c r="W23" s="668">
        <f>J23</f>
        <v>100</v>
      </c>
      <c r="X23" s="1264"/>
      <c r="Y23" s="339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97"/>
      <c r="Q24" s="1262">
        <f t="shared" ref="Q24:Q36" si="11">B24</f>
        <v>111</v>
      </c>
      <c r="R24" s="667" t="s">
        <v>14</v>
      </c>
      <c r="S24" s="668">
        <f>F24</f>
        <v>100</v>
      </c>
      <c r="T24" s="667" t="s">
        <v>14</v>
      </c>
      <c r="U24" s="668">
        <f>H24</f>
        <v>100</v>
      </c>
      <c r="V24" s="667" t="s">
        <v>14</v>
      </c>
      <c r="W24" s="668">
        <f>J24</f>
        <v>100</v>
      </c>
      <c r="X24" s="1264"/>
      <c r="Y24" s="3397"/>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97"/>
      <c r="Q25" s="530">
        <f t="shared" si="11"/>
        <v>111</v>
      </c>
      <c r="R25" s="664" t="s">
        <v>14</v>
      </c>
      <c r="S25" s="665">
        <f>F25</f>
        <v>100</v>
      </c>
      <c r="T25" s="664" t="s">
        <v>14</v>
      </c>
      <c r="U25" s="665">
        <f>H25</f>
        <v>100</v>
      </c>
      <c r="V25" s="664" t="s">
        <v>14</v>
      </c>
      <c r="W25" s="665">
        <f>J25</f>
        <v>100</v>
      </c>
      <c r="X25" s="666"/>
      <c r="Y25" s="3397"/>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6"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01"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1"/>
      <c r="Q27" s="531" t="str">
        <f t="shared" si="11"/>
        <v>项目停车位配比</v>
      </c>
      <c r="R27" s="669" t="s">
        <v>14</v>
      </c>
      <c r="S27" s="670">
        <f t="shared" si="12"/>
        <v>100</v>
      </c>
      <c r="T27" s="669" t="s">
        <v>14</v>
      </c>
      <c r="U27" s="670">
        <f t="shared" si="13"/>
        <v>100</v>
      </c>
      <c r="V27" s="669" t="s">
        <v>14</v>
      </c>
      <c r="W27" s="670">
        <f t="shared" si="14"/>
        <v>100</v>
      </c>
      <c r="X27" s="671"/>
      <c r="Y27" s="3401"/>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1"/>
      <c r="Q28" s="1262" t="str">
        <f t="shared" si="11"/>
        <v>公共部分装修</v>
      </c>
      <c r="R28" s="667" t="s">
        <v>14</v>
      </c>
      <c r="S28" s="668">
        <f t="shared" si="12"/>
        <v>100</v>
      </c>
      <c r="T28" s="667" t="s">
        <v>14</v>
      </c>
      <c r="U28" s="668">
        <f t="shared" si="13"/>
        <v>100</v>
      </c>
      <c r="V28" s="667" t="s">
        <v>14</v>
      </c>
      <c r="W28" s="668">
        <f t="shared" si="14"/>
        <v>100</v>
      </c>
      <c r="X28" s="1264"/>
      <c r="Y28" s="3401"/>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1"/>
      <c r="Q29" s="1262" t="str">
        <f t="shared" si="11"/>
        <v>成新率</v>
      </c>
      <c r="R29" s="667" t="s">
        <v>14</v>
      </c>
      <c r="S29" s="668" t="e">
        <f t="shared" si="12"/>
        <v>#N/A</v>
      </c>
      <c r="T29" s="667" t="s">
        <v>14</v>
      </c>
      <c r="U29" s="668" t="e">
        <f t="shared" si="13"/>
        <v>#N/A</v>
      </c>
      <c r="V29" s="667" t="s">
        <v>14</v>
      </c>
      <c r="W29" s="668" t="e">
        <f t="shared" si="14"/>
        <v>#N/A</v>
      </c>
      <c r="X29" s="1264"/>
      <c r="Y29" s="3401"/>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1"/>
      <c r="Q30" s="1262" t="str">
        <f t="shared" si="11"/>
        <v>物业等级</v>
      </c>
      <c r="R30" s="667" t="s">
        <v>14</v>
      </c>
      <c r="S30" s="668">
        <f t="shared" si="12"/>
        <v>100</v>
      </c>
      <c r="T30" s="667" t="s">
        <v>14</v>
      </c>
      <c r="U30" s="668">
        <f t="shared" si="13"/>
        <v>100</v>
      </c>
      <c r="V30" s="667" t="s">
        <v>14</v>
      </c>
      <c r="W30" s="668">
        <f t="shared" si="14"/>
        <v>100</v>
      </c>
      <c r="X30" s="1264"/>
      <c r="Y30" s="3401"/>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01"/>
      <c r="Q31" s="530" t="str">
        <f t="shared" si="11"/>
        <v>停车位面积</v>
      </c>
      <c r="R31" s="664" t="s">
        <v>14</v>
      </c>
      <c r="S31" s="665" t="e">
        <f t="shared" si="12"/>
        <v>#N/A</v>
      </c>
      <c r="T31" s="664" t="s">
        <v>14</v>
      </c>
      <c r="U31" s="665" t="e">
        <f t="shared" si="13"/>
        <v>#N/A</v>
      </c>
      <c r="V31" s="664" t="s">
        <v>14</v>
      </c>
      <c r="W31" s="665" t="e">
        <f t="shared" si="14"/>
        <v>#N/A</v>
      </c>
      <c r="X31" s="666"/>
      <c r="Y31" s="340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1" t="s">
        <v>1696</v>
      </c>
      <c r="Q32" s="1262" t="str">
        <f t="shared" si="11"/>
        <v>车位类型</v>
      </c>
      <c r="R32" s="667" t="s">
        <v>14</v>
      </c>
      <c r="S32" s="668">
        <f t="shared" si="12"/>
        <v>100</v>
      </c>
      <c r="T32" s="667" t="s">
        <v>14</v>
      </c>
      <c r="U32" s="668">
        <f t="shared" si="13"/>
        <v>100</v>
      </c>
      <c r="V32" s="667" t="s">
        <v>14</v>
      </c>
      <c r="W32" s="668">
        <f t="shared" si="14"/>
        <v>100</v>
      </c>
      <c r="X32" s="1264"/>
      <c r="Y32" s="3401"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1"/>
      <c r="Q33" s="1262" t="str">
        <f t="shared" si="11"/>
        <v>是否直接入户</v>
      </c>
      <c r="R33" s="667" t="s">
        <v>14</v>
      </c>
      <c r="S33" s="668">
        <f t="shared" si="12"/>
        <v>100</v>
      </c>
      <c r="T33" s="667" t="s">
        <v>14</v>
      </c>
      <c r="U33" s="668">
        <f t="shared" si="13"/>
        <v>100</v>
      </c>
      <c r="V33" s="667" t="s">
        <v>14</v>
      </c>
      <c r="W33" s="668">
        <f t="shared" si="14"/>
        <v>100</v>
      </c>
      <c r="X33" s="1264"/>
      <c r="Y33" s="3401"/>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1"/>
      <c r="Q34" s="1262">
        <f t="shared" si="11"/>
        <v>111</v>
      </c>
      <c r="R34" s="667" t="s">
        <v>14</v>
      </c>
      <c r="S34" s="668">
        <f t="shared" si="12"/>
        <v>100</v>
      </c>
      <c r="T34" s="667" t="s">
        <v>14</v>
      </c>
      <c r="U34" s="668">
        <f t="shared" si="13"/>
        <v>100</v>
      </c>
      <c r="V34" s="667" t="s">
        <v>14</v>
      </c>
      <c r="W34" s="668">
        <f t="shared" si="14"/>
        <v>100</v>
      </c>
      <c r="X34" s="1264"/>
      <c r="Y34" s="340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1"/>
      <c r="Q35" s="531">
        <f t="shared" si="11"/>
        <v>111</v>
      </c>
      <c r="R35" s="669" t="s">
        <v>14</v>
      </c>
      <c r="S35" s="670">
        <f t="shared" si="12"/>
        <v>100</v>
      </c>
      <c r="T35" s="669" t="s">
        <v>14</v>
      </c>
      <c r="U35" s="670">
        <f t="shared" si="13"/>
        <v>100</v>
      </c>
      <c r="V35" s="669" t="s">
        <v>14</v>
      </c>
      <c r="W35" s="670">
        <f t="shared" si="14"/>
        <v>100</v>
      </c>
      <c r="X35" s="671"/>
      <c r="Y35" s="3401"/>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1"/>
      <c r="Q36" s="1262">
        <f t="shared" si="11"/>
        <v>111</v>
      </c>
      <c r="R36" s="667" t="s">
        <v>14</v>
      </c>
      <c r="S36" s="668">
        <f t="shared" si="12"/>
        <v>100</v>
      </c>
      <c r="T36" s="667" t="s">
        <v>14</v>
      </c>
      <c r="U36" s="668">
        <f t="shared" si="13"/>
        <v>100</v>
      </c>
      <c r="V36" s="667" t="s">
        <v>14</v>
      </c>
      <c r="W36" s="668">
        <f t="shared" si="14"/>
        <v>100</v>
      </c>
      <c r="X36" s="1264"/>
      <c r="Y36" s="3401"/>
      <c r="Z36" s="1263">
        <f t="shared" si="15"/>
        <v>111</v>
      </c>
      <c r="AA36" s="1263">
        <f t="shared" si="3"/>
        <v>1</v>
      </c>
      <c r="AB36" s="1263">
        <f t="shared" si="4"/>
        <v>1</v>
      </c>
      <c r="AC36" s="1263">
        <f t="shared" si="5"/>
        <v>1</v>
      </c>
    </row>
    <row r="37" spans="1:29" ht="14.4">
      <c r="A37" s="416" t="s">
        <v>1844</v>
      </c>
      <c r="B37" s="1820" t="s">
        <v>3352</v>
      </c>
      <c r="C37" s="1081" t="s">
        <v>0</v>
      </c>
      <c r="D37" s="418"/>
      <c r="E37" s="419"/>
      <c r="F37" s="420"/>
      <c r="G37" s="421"/>
      <c r="H37" s="422"/>
      <c r="I37" s="419"/>
      <c r="J37" s="422"/>
      <c r="K37" s="545"/>
      <c r="L37" s="2492"/>
      <c r="M37" s="2485"/>
      <c r="N37" s="2485"/>
      <c r="O37" s="2485"/>
      <c r="P37" s="3395" t="str">
        <f>A37</f>
        <v>成交单价</v>
      </c>
      <c r="Q37" s="3395"/>
      <c r="R37" s="3390">
        <f>E37</f>
        <v>0</v>
      </c>
      <c r="S37" s="3390"/>
      <c r="T37" s="3390">
        <f>G37</f>
        <v>0</v>
      </c>
      <c r="U37" s="3390"/>
      <c r="V37" s="3390">
        <f>I37</f>
        <v>0</v>
      </c>
      <c r="W37" s="3390"/>
      <c r="X37" s="385"/>
      <c r="Y37" s="673"/>
      <c r="Z37" s="385"/>
      <c r="AA37" s="385"/>
      <c r="AB37" s="385"/>
      <c r="AC37" s="385"/>
    </row>
    <row r="38" spans="1:29" ht="15" thickBot="1">
      <c r="A38" s="423" t="s">
        <v>1845</v>
      </c>
      <c r="B38" s="424" t="str">
        <f>B37</f>
        <v>元/平方米</v>
      </c>
      <c r="C38" s="1082" t="e">
        <f>R39</f>
        <v>#DIV/0!</v>
      </c>
      <c r="D38" s="2140" t="s">
        <v>2136</v>
      </c>
      <c r="E38" s="1083" t="e">
        <f>R38</f>
        <v>#DIV/0!</v>
      </c>
      <c r="F38" s="2141"/>
      <c r="G38" s="1082" t="e">
        <f>T38</f>
        <v>#DIV/0!</v>
      </c>
      <c r="H38" s="2141"/>
      <c r="I38" s="1083" t="e">
        <f>V38</f>
        <v>#DIV/0!</v>
      </c>
      <c r="J38" s="2141"/>
      <c r="K38" s="2143">
        <f>F38+H38+J38</f>
        <v>0</v>
      </c>
      <c r="L38" s="2492"/>
      <c r="M38" s="2485"/>
      <c r="N38" s="2485"/>
      <c r="O38" s="2485"/>
      <c r="P38" s="3395" t="str">
        <f>A38</f>
        <v>比较价值（元/平方米）</v>
      </c>
      <c r="Q38" s="3395"/>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92" t="str">
        <f>A39</f>
        <v>估价对象XX用房的比较价值（楼面单价，元/平方米）</v>
      </c>
      <c r="Q39" s="3393"/>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2" t="str">
        <f>YEAR(C7)&amp;"-"&amp;MONTH(C7)</f>
        <v>2025-3</v>
      </c>
      <c r="D48" s="1103">
        <f>EDATE(C48,-1)</f>
        <v>45689</v>
      </c>
      <c r="E48" s="1103">
        <f t="shared" ref="E48:O48" si="16">EDATE(D48,-1)</f>
        <v>45658</v>
      </c>
      <c r="F48" s="1103">
        <f t="shared" si="16"/>
        <v>45627</v>
      </c>
      <c r="G48" s="1103">
        <f t="shared" si="16"/>
        <v>45597</v>
      </c>
      <c r="H48" s="1103">
        <f t="shared" si="16"/>
        <v>45566</v>
      </c>
      <c r="I48" s="1103">
        <f t="shared" si="16"/>
        <v>45536</v>
      </c>
      <c r="J48" s="1103">
        <f t="shared" si="16"/>
        <v>45505</v>
      </c>
      <c r="K48" s="1103">
        <f t="shared" si="16"/>
        <v>45474</v>
      </c>
      <c r="L48" s="1103">
        <f t="shared" si="16"/>
        <v>45444</v>
      </c>
      <c r="M48" s="1103">
        <f t="shared" si="16"/>
        <v>45413</v>
      </c>
      <c r="N48" s="1103">
        <f t="shared" si="16"/>
        <v>45383</v>
      </c>
      <c r="O48" s="1103">
        <f t="shared" si="16"/>
        <v>45352</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受贵公司委托，我公司对北京市石景山区八宝山南路重兴园6号楼房地产抵押价值进行了预评估。</v>
      </c>
    </row>
    <row r="5" spans="1:1" ht="17.399999999999999">
      <c r="A5" s="1382" t="s">
        <v>899</v>
      </c>
    </row>
    <row r="6" spans="1:1" ht="17.399999999999999">
      <c r="A6" s="1383" t="s">
        <v>900</v>
      </c>
    </row>
    <row r="7" spans="1:1" ht="69.59999999999999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八宝山南路重兴园6号楼房地产，为北京进取者软件技术有限公司所有。根据《国有土地使用证》[]，估价对象（分摊）出让国有建设用地使用权面积为0平方米，建筑面积为105.06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八宝山南路重兴园6号楼房地产,属北京进取者软件技术有限公司开发建设的，该项目尚在开发建设中。根据《国有土地使用证》[]，估价对象（分摊）出让国有建设用地使用权面积为0平方米，规划建筑面积为105.06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石景山区八宝山南路重兴园6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2025年3月11日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本次评估采用的主估价方法为比较法和成本法。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3332</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8" t="s">
        <v>1770</v>
      </c>
      <c r="D4" s="3379"/>
      <c r="E4" s="3380" t="s">
        <v>1771</v>
      </c>
      <c r="F4" s="3381"/>
      <c r="G4" s="3378" t="s">
        <v>1772</v>
      </c>
      <c r="H4" s="3379"/>
      <c r="I4" s="3378" t="s">
        <v>1773</v>
      </c>
      <c r="J4" s="3379"/>
      <c r="K4" s="537" t="s">
        <v>1774</v>
      </c>
      <c r="L4" s="2484"/>
      <c r="M4" s="2485"/>
      <c r="N4" s="2485"/>
      <c r="O4" s="2485"/>
      <c r="P4" s="3382" t="s">
        <v>1775</v>
      </c>
      <c r="Q4" s="3383"/>
      <c r="R4" s="3365" t="s">
        <v>1771</v>
      </c>
      <c r="S4" s="3366"/>
      <c r="T4" s="3365" t="s">
        <v>1772</v>
      </c>
      <c r="U4" s="3366"/>
      <c r="V4" s="3390" t="s">
        <v>1773</v>
      </c>
      <c r="W4" s="3390"/>
      <c r="X4" s="1264"/>
      <c r="Y4" s="3365" t="s">
        <v>1775</v>
      </c>
      <c r="Z4" s="3366"/>
      <c r="AA4" s="3360" t="s">
        <v>1771</v>
      </c>
      <c r="AB4" s="3361" t="s">
        <v>1772</v>
      </c>
      <c r="AC4" s="3360" t="s">
        <v>1773</v>
      </c>
    </row>
    <row r="5" spans="1:29">
      <c r="A5" s="348"/>
      <c r="B5" s="349"/>
      <c r="C5" s="3371" t="s">
        <v>1673</v>
      </c>
      <c r="D5" s="3372"/>
      <c r="E5" s="3369" t="s">
        <v>1674</v>
      </c>
      <c r="F5" s="3370"/>
      <c r="G5" s="3371" t="s">
        <v>1675</v>
      </c>
      <c r="H5" s="3372"/>
      <c r="I5" s="3371" t="s">
        <v>1676</v>
      </c>
      <c r="J5" s="3372"/>
      <c r="K5" s="537"/>
      <c r="L5" s="2484"/>
      <c r="M5" s="2485"/>
      <c r="N5" s="2485"/>
      <c r="O5" s="2485"/>
      <c r="P5" s="3384"/>
      <c r="Q5" s="3385"/>
      <c r="R5" s="3367"/>
      <c r="S5" s="3368"/>
      <c r="T5" s="3367"/>
      <c r="U5" s="3368"/>
      <c r="V5" s="3390"/>
      <c r="W5" s="3390"/>
      <c r="X5" s="1264"/>
      <c r="Y5" s="3367"/>
      <c r="Z5" s="3368"/>
      <c r="AA5" s="3361"/>
      <c r="AB5" s="3361"/>
      <c r="AC5" s="3361"/>
    </row>
    <row r="6" spans="1:29" ht="15" thickBot="1">
      <c r="A6" s="350"/>
      <c r="B6" s="351"/>
      <c r="C6" s="3373" t="s">
        <v>1677</v>
      </c>
      <c r="D6" s="3374"/>
      <c r="E6" s="3375" t="s">
        <v>1677</v>
      </c>
      <c r="F6" s="3376"/>
      <c r="G6" s="3373" t="s">
        <v>1677</v>
      </c>
      <c r="H6" s="3374"/>
      <c r="I6" s="3373" t="s">
        <v>1677</v>
      </c>
      <c r="J6" s="3374"/>
      <c r="K6" s="537" t="s">
        <v>1678</v>
      </c>
      <c r="L6" s="2484"/>
      <c r="M6" s="2485"/>
      <c r="N6" s="2485"/>
      <c r="O6" s="2485"/>
      <c r="P6" s="3386"/>
      <c r="Q6" s="3387"/>
      <c r="R6" s="3367"/>
      <c r="S6" s="3368"/>
      <c r="T6" s="3388"/>
      <c r="U6" s="3389"/>
      <c r="V6" s="3390"/>
      <c r="W6" s="3390"/>
      <c r="X6" s="1264"/>
      <c r="Y6" s="3388"/>
      <c r="Z6" s="3389"/>
      <c r="AA6" s="3362"/>
      <c r="AB6" s="3362"/>
      <c r="AC6" s="3362"/>
    </row>
    <row r="7" spans="1:29" s="102" customFormat="1" ht="15" thickBot="1">
      <c r="A7" s="352" t="s">
        <v>1679</v>
      </c>
      <c r="B7" s="353"/>
      <c r="C7" s="354">
        <f>'数据-取费表'!B2</f>
        <v>45727</v>
      </c>
      <c r="D7" s="355">
        <v>100</v>
      </c>
      <c r="E7" s="356"/>
      <c r="F7" s="357">
        <f>SUMIF(46:46,YEAR(E7)&amp;"-"&amp;MONTH(E7),47:47)</f>
        <v>0</v>
      </c>
      <c r="G7" s="1821"/>
      <c r="H7" s="355">
        <f>SUMIF(46:46,YEAR(G7)&amp;"-"&amp;MONTH(G7),47:47)</f>
        <v>0</v>
      </c>
      <c r="I7" s="356"/>
      <c r="J7" s="355">
        <f>SUMIF(46:46,YEAR(I7)&amp;"-"&amp;MONTH(I7),47:47)</f>
        <v>0</v>
      </c>
      <c r="K7" s="38"/>
      <c r="L7" s="2486"/>
      <c r="M7" s="2438"/>
      <c r="N7" s="2438"/>
      <c r="O7" s="2438"/>
      <c r="P7" s="3363" t="s">
        <v>1680</v>
      </c>
      <c r="Q7" s="3391"/>
      <c r="R7" s="664" t="s">
        <v>14</v>
      </c>
      <c r="S7" s="665">
        <f t="shared" ref="S7:S14" si="0">F7</f>
        <v>0</v>
      </c>
      <c r="T7" s="664" t="s">
        <v>14</v>
      </c>
      <c r="U7" s="665">
        <f t="shared" ref="U7:U14" si="1">H7</f>
        <v>0</v>
      </c>
      <c r="V7" s="664" t="s">
        <v>14</v>
      </c>
      <c r="W7" s="665">
        <f t="shared" ref="W7:W14" si="2">J7</f>
        <v>0</v>
      </c>
      <c r="X7" s="666"/>
      <c r="Y7" s="3363" t="s">
        <v>1680</v>
      </c>
      <c r="Z7" s="336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63" t="s">
        <v>1683</v>
      </c>
      <c r="Q8" s="3364"/>
      <c r="R8" s="664" t="s">
        <v>14</v>
      </c>
      <c r="S8" s="665">
        <f t="shared" si="0"/>
        <v>100</v>
      </c>
      <c r="T8" s="664" t="s">
        <v>14</v>
      </c>
      <c r="U8" s="665">
        <f t="shared" si="1"/>
        <v>100</v>
      </c>
      <c r="V8" s="664" t="s">
        <v>14</v>
      </c>
      <c r="W8" s="665">
        <f t="shared" si="2"/>
        <v>100</v>
      </c>
      <c r="X8" s="666"/>
      <c r="Y8" s="3363" t="s">
        <v>1683</v>
      </c>
      <c r="Z8" s="336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95" t="s">
        <v>1686</v>
      </c>
      <c r="Q9" s="530" t="str">
        <f t="shared" ref="Q9:Q14" si="6">B9</f>
        <v>用途</v>
      </c>
      <c r="R9" s="664" t="s">
        <v>14</v>
      </c>
      <c r="S9" s="665">
        <f t="shared" si="0"/>
        <v>100</v>
      </c>
      <c r="T9" s="664" t="s">
        <v>14</v>
      </c>
      <c r="U9" s="665">
        <f t="shared" si="1"/>
        <v>100</v>
      </c>
      <c r="V9" s="664" t="s">
        <v>14</v>
      </c>
      <c r="W9" s="665">
        <f t="shared" si="2"/>
        <v>100</v>
      </c>
      <c r="X9" s="666"/>
      <c r="Y9" s="3333"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95"/>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95"/>
      <c r="Q11" s="530">
        <f t="shared" si="6"/>
        <v>111</v>
      </c>
      <c r="R11" s="664" t="s">
        <v>14</v>
      </c>
      <c r="S11" s="665">
        <f t="shared" si="0"/>
        <v>100</v>
      </c>
      <c r="T11" s="664" t="s">
        <v>14</v>
      </c>
      <c r="U11" s="665">
        <f t="shared" si="1"/>
        <v>100</v>
      </c>
      <c r="V11" s="664" t="s">
        <v>14</v>
      </c>
      <c r="W11" s="665">
        <f t="shared" si="2"/>
        <v>100</v>
      </c>
      <c r="X11" s="666"/>
      <c r="Y11" s="333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95"/>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0"/>
      <c r="M13" s="2485"/>
      <c r="N13" s="2485"/>
      <c r="O13" s="2540"/>
      <c r="P13" s="3395"/>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96" t="s">
        <v>1691</v>
      </c>
      <c r="Q14" s="1262" t="str">
        <f t="shared" si="6"/>
        <v>交通便捷度</v>
      </c>
      <c r="R14" s="667" t="s">
        <v>14</v>
      </c>
      <c r="S14" s="668">
        <f t="shared" si="0"/>
        <v>100</v>
      </c>
      <c r="T14" s="667" t="s">
        <v>14</v>
      </c>
      <c r="U14" s="668">
        <f t="shared" si="1"/>
        <v>100</v>
      </c>
      <c r="V14" s="667" t="s">
        <v>14</v>
      </c>
      <c r="W14" s="668">
        <f t="shared" si="2"/>
        <v>100</v>
      </c>
      <c r="X14" s="1264"/>
      <c r="Y14" s="339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397"/>
      <c r="Q15" s="1262"/>
      <c r="R15" s="667"/>
      <c r="S15" s="668"/>
      <c r="T15" s="667"/>
      <c r="U15" s="668"/>
      <c r="V15" s="667"/>
      <c r="W15" s="668"/>
      <c r="X15" s="1264"/>
      <c r="Y15" s="3397"/>
      <c r="Z15" s="1263"/>
      <c r="AA15" s="1263">
        <v>1</v>
      </c>
      <c r="AB15" s="1263">
        <v>1</v>
      </c>
      <c r="AC15" s="1263">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97"/>
      <c r="Q16" s="1262" t="str">
        <f>B16</f>
        <v>公共配套设施</v>
      </c>
      <c r="R16" s="667" t="s">
        <v>14</v>
      </c>
      <c r="S16" s="668">
        <f>F16</f>
        <v>100</v>
      </c>
      <c r="T16" s="667" t="s">
        <v>14</v>
      </c>
      <c r="U16" s="668">
        <f>H16</f>
        <v>100</v>
      </c>
      <c r="V16" s="667" t="s">
        <v>14</v>
      </c>
      <c r="W16" s="668">
        <f>J16</f>
        <v>100</v>
      </c>
      <c r="X16" s="1264"/>
      <c r="Y16" s="339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397"/>
      <c r="Q17" s="1262"/>
      <c r="R17" s="667"/>
      <c r="S17" s="668"/>
      <c r="T17" s="667"/>
      <c r="U17" s="668"/>
      <c r="V17" s="667"/>
      <c r="W17" s="668"/>
      <c r="X17" s="1264"/>
      <c r="Y17" s="3397"/>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97"/>
      <c r="Q18" s="1262" t="str">
        <f>B18</f>
        <v>基础设施水平</v>
      </c>
      <c r="R18" s="667" t="s">
        <v>14</v>
      </c>
      <c r="S18" s="668">
        <f>F18</f>
        <v>100</v>
      </c>
      <c r="T18" s="667" t="s">
        <v>14</v>
      </c>
      <c r="U18" s="668">
        <f>H18</f>
        <v>100</v>
      </c>
      <c r="V18" s="667" t="s">
        <v>14</v>
      </c>
      <c r="W18" s="668">
        <f>J18</f>
        <v>100</v>
      </c>
      <c r="X18" s="1264"/>
      <c r="Y18" s="3397"/>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397"/>
      <c r="Q19" s="1262"/>
      <c r="R19" s="667"/>
      <c r="S19" s="668"/>
      <c r="T19" s="667"/>
      <c r="U19" s="668"/>
      <c r="V19" s="667"/>
      <c r="W19" s="668"/>
      <c r="X19" s="1264"/>
      <c r="Y19" s="3397"/>
      <c r="Z19" s="1263"/>
      <c r="AA19" s="1263">
        <v>1</v>
      </c>
      <c r="AB19" s="1263">
        <v>1</v>
      </c>
      <c r="AC19" s="1263">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97"/>
      <c r="Q20" s="1262" t="str">
        <f>B20</f>
        <v>自然及人文环境</v>
      </c>
      <c r="R20" s="667" t="s">
        <v>14</v>
      </c>
      <c r="S20" s="668">
        <f>F20</f>
        <v>100</v>
      </c>
      <c r="T20" s="667" t="s">
        <v>14</v>
      </c>
      <c r="U20" s="668">
        <f>H20</f>
        <v>100</v>
      </c>
      <c r="V20" s="667" t="s">
        <v>14</v>
      </c>
      <c r="W20" s="668">
        <f>J20</f>
        <v>100</v>
      </c>
      <c r="X20" s="1264"/>
      <c r="Y20" s="339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397"/>
      <c r="Q21" s="1262"/>
      <c r="R21" s="667"/>
      <c r="S21" s="668"/>
      <c r="T21" s="667"/>
      <c r="U21" s="668"/>
      <c r="V21" s="667"/>
      <c r="W21" s="668"/>
      <c r="X21" s="1264"/>
      <c r="Y21" s="339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97"/>
      <c r="Q22" s="1262" t="str">
        <f>B22</f>
        <v>楼层</v>
      </c>
      <c r="R22" s="667" t="s">
        <v>14</v>
      </c>
      <c r="S22" s="668">
        <f>F22</f>
        <v>100</v>
      </c>
      <c r="T22" s="667" t="s">
        <v>14</v>
      </c>
      <c r="U22" s="668">
        <f>H22</f>
        <v>100</v>
      </c>
      <c r="V22" s="667" t="s">
        <v>14</v>
      </c>
      <c r="W22" s="668">
        <f>J22</f>
        <v>100</v>
      </c>
      <c r="X22" s="1264"/>
      <c r="Y22" s="339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97"/>
      <c r="Q23" s="1262">
        <f>B23</f>
        <v>111</v>
      </c>
      <c r="R23" s="667" t="s">
        <v>14</v>
      </c>
      <c r="S23" s="668">
        <f>F23</f>
        <v>100</v>
      </c>
      <c r="T23" s="667" t="s">
        <v>14</v>
      </c>
      <c r="U23" s="668">
        <f>H23</f>
        <v>100</v>
      </c>
      <c r="V23" s="667" t="s">
        <v>14</v>
      </c>
      <c r="W23" s="668">
        <f>J23</f>
        <v>100</v>
      </c>
      <c r="X23" s="1264"/>
      <c r="Y23" s="339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97"/>
      <c r="Q24" s="1262">
        <f t="shared" ref="Q24:Q34" si="11">B24</f>
        <v>111</v>
      </c>
      <c r="R24" s="667" t="s">
        <v>14</v>
      </c>
      <c r="S24" s="668">
        <f>F24</f>
        <v>100</v>
      </c>
      <c r="T24" s="667" t="s">
        <v>14</v>
      </c>
      <c r="U24" s="668">
        <f>H24</f>
        <v>100</v>
      </c>
      <c r="V24" s="667" t="s">
        <v>14</v>
      </c>
      <c r="W24" s="668">
        <f>J24</f>
        <v>100</v>
      </c>
      <c r="X24" s="1264"/>
      <c r="Y24" s="3397"/>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6"/>
      <c r="M25" s="2438"/>
      <c r="N25" s="2438"/>
      <c r="O25" s="2538"/>
      <c r="P25" s="3397"/>
      <c r="Q25" s="530">
        <f t="shared" si="11"/>
        <v>111</v>
      </c>
      <c r="R25" s="664" t="s">
        <v>14</v>
      </c>
      <c r="S25" s="665">
        <f>F25</f>
        <v>100</v>
      </c>
      <c r="T25" s="664" t="s">
        <v>14</v>
      </c>
      <c r="U25" s="665">
        <f>H25</f>
        <v>100</v>
      </c>
      <c r="V25" s="664" t="s">
        <v>14</v>
      </c>
      <c r="W25" s="665">
        <f>J25</f>
        <v>100</v>
      </c>
      <c r="X25" s="666"/>
      <c r="Y25" s="3397"/>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46"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0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1"/>
      <c r="Q27" s="531" t="str">
        <f t="shared" si="11"/>
        <v>成新率</v>
      </c>
      <c r="R27" s="669" t="s">
        <v>14</v>
      </c>
      <c r="S27" s="670" t="e">
        <f t="shared" si="12"/>
        <v>#N/A</v>
      </c>
      <c r="T27" s="669" t="s">
        <v>14</v>
      </c>
      <c r="U27" s="670" t="e">
        <f t="shared" si="13"/>
        <v>#N/A</v>
      </c>
      <c r="V27" s="669" t="s">
        <v>14</v>
      </c>
      <c r="W27" s="670" t="e">
        <f t="shared" si="14"/>
        <v>#N/A</v>
      </c>
      <c r="X27" s="671"/>
      <c r="Y27" s="3401"/>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1"/>
      <c r="Q28" s="1262" t="str">
        <f t="shared" si="11"/>
        <v>物业等级</v>
      </c>
      <c r="R28" s="667" t="s">
        <v>14</v>
      </c>
      <c r="S28" s="668">
        <f t="shared" si="12"/>
        <v>100</v>
      </c>
      <c r="T28" s="667" t="s">
        <v>14</v>
      </c>
      <c r="U28" s="668">
        <f t="shared" si="13"/>
        <v>100</v>
      </c>
      <c r="V28" s="667" t="s">
        <v>14</v>
      </c>
      <c r="W28" s="668">
        <f t="shared" si="14"/>
        <v>100</v>
      </c>
      <c r="X28" s="1264"/>
      <c r="Y28" s="3401"/>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1"/>
      <c r="Q29" s="1262" t="str">
        <f t="shared" si="11"/>
        <v>有无电梯</v>
      </c>
      <c r="R29" s="667" t="s">
        <v>14</v>
      </c>
      <c r="S29" s="668">
        <f t="shared" si="12"/>
        <v>100</v>
      </c>
      <c r="T29" s="667" t="s">
        <v>14</v>
      </c>
      <c r="U29" s="668">
        <f t="shared" si="13"/>
        <v>100</v>
      </c>
      <c r="V29" s="667" t="s">
        <v>14</v>
      </c>
      <c r="W29" s="668">
        <f t="shared" si="14"/>
        <v>100</v>
      </c>
      <c r="X29" s="1264"/>
      <c r="Y29" s="340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1"/>
      <c r="Q30" s="1262" t="str">
        <f t="shared" si="11"/>
        <v>建筑面积</v>
      </c>
      <c r="R30" s="667" t="s">
        <v>14</v>
      </c>
      <c r="S30" s="668" t="e">
        <f t="shared" si="12"/>
        <v>#N/A</v>
      </c>
      <c r="T30" s="667" t="s">
        <v>14</v>
      </c>
      <c r="U30" s="668" t="e">
        <f t="shared" si="13"/>
        <v>#N/A</v>
      </c>
      <c r="V30" s="667" t="s">
        <v>14</v>
      </c>
      <c r="W30" s="668" t="e">
        <f t="shared" si="14"/>
        <v>#N/A</v>
      </c>
      <c r="X30" s="1264"/>
      <c r="Y30" s="3401"/>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01"/>
      <c r="Q31" s="530" t="str">
        <f t="shared" si="11"/>
        <v>是否封闭</v>
      </c>
      <c r="R31" s="664" t="s">
        <v>14</v>
      </c>
      <c r="S31" s="665">
        <f t="shared" si="12"/>
        <v>100</v>
      </c>
      <c r="T31" s="664" t="s">
        <v>14</v>
      </c>
      <c r="U31" s="665">
        <f t="shared" si="13"/>
        <v>100</v>
      </c>
      <c r="V31" s="664" t="s">
        <v>14</v>
      </c>
      <c r="W31" s="665">
        <f t="shared" si="14"/>
        <v>100</v>
      </c>
      <c r="X31" s="666"/>
      <c r="Y31" s="340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1" t="s">
        <v>1696</v>
      </c>
      <c r="Q32" s="1262">
        <f t="shared" si="11"/>
        <v>111</v>
      </c>
      <c r="R32" s="667" t="s">
        <v>14</v>
      </c>
      <c r="S32" s="668">
        <f t="shared" si="12"/>
        <v>100</v>
      </c>
      <c r="T32" s="667" t="s">
        <v>14</v>
      </c>
      <c r="U32" s="668">
        <f t="shared" si="13"/>
        <v>100</v>
      </c>
      <c r="V32" s="667" t="s">
        <v>14</v>
      </c>
      <c r="W32" s="668">
        <f t="shared" si="14"/>
        <v>100</v>
      </c>
      <c r="X32" s="1264"/>
      <c r="Y32" s="340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1"/>
      <c r="Q33" s="1262">
        <f t="shared" si="11"/>
        <v>111</v>
      </c>
      <c r="R33" s="667" t="s">
        <v>14</v>
      </c>
      <c r="S33" s="668">
        <f t="shared" si="12"/>
        <v>100</v>
      </c>
      <c r="T33" s="667" t="s">
        <v>14</v>
      </c>
      <c r="U33" s="668">
        <f t="shared" si="13"/>
        <v>100</v>
      </c>
      <c r="V33" s="667" t="s">
        <v>14</v>
      </c>
      <c r="W33" s="668">
        <f t="shared" si="14"/>
        <v>100</v>
      </c>
      <c r="X33" s="1264"/>
      <c r="Y33" s="3401"/>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0"/>
      <c r="M34" s="2485"/>
      <c r="N34" s="2485"/>
      <c r="O34" s="2540"/>
      <c r="P34" s="3401"/>
      <c r="Q34" s="1262">
        <f t="shared" si="11"/>
        <v>111</v>
      </c>
      <c r="R34" s="667" t="s">
        <v>14</v>
      </c>
      <c r="S34" s="668">
        <f t="shared" si="12"/>
        <v>100</v>
      </c>
      <c r="T34" s="667" t="s">
        <v>14</v>
      </c>
      <c r="U34" s="668">
        <f t="shared" si="13"/>
        <v>100</v>
      </c>
      <c r="V34" s="667" t="s">
        <v>14</v>
      </c>
      <c r="W34" s="668">
        <f t="shared" si="14"/>
        <v>100</v>
      </c>
      <c r="X34" s="1264"/>
      <c r="Y34" s="3401"/>
      <c r="Z34" s="1263">
        <f t="shared" si="15"/>
        <v>111</v>
      </c>
      <c r="AA34" s="1263">
        <f t="shared" si="3"/>
        <v>1</v>
      </c>
      <c r="AB34" s="1263">
        <f t="shared" si="4"/>
        <v>1</v>
      </c>
      <c r="AC34" s="1263">
        <f t="shared" si="5"/>
        <v>1</v>
      </c>
    </row>
    <row r="35" spans="1:30" ht="14.4">
      <c r="A35" s="416" t="s">
        <v>1708</v>
      </c>
      <c r="B35" s="417"/>
      <c r="C35" s="1081" t="s">
        <v>0</v>
      </c>
      <c r="D35" s="418"/>
      <c r="E35" s="419"/>
      <c r="F35" s="420"/>
      <c r="G35" s="421"/>
      <c r="H35" s="422"/>
      <c r="I35" s="419"/>
      <c r="J35" s="422"/>
      <c r="K35" s="674"/>
      <c r="L35" s="2492"/>
      <c r="M35" s="2485"/>
      <c r="N35" s="2485"/>
      <c r="O35" s="2485"/>
      <c r="P35" s="3395" t="str">
        <f>A35</f>
        <v>成交单价（元/平方米）</v>
      </c>
      <c r="Q35" s="3395"/>
      <c r="R35" s="3390">
        <f>E35</f>
        <v>0</v>
      </c>
      <c r="S35" s="3390"/>
      <c r="T35" s="3390">
        <f>G35</f>
        <v>0</v>
      </c>
      <c r="U35" s="3390"/>
      <c r="V35" s="3390">
        <f>I35</f>
        <v>0</v>
      </c>
      <c r="W35" s="3390"/>
      <c r="X35" s="385"/>
      <c r="Y35" s="673"/>
      <c r="Z35" s="385"/>
      <c r="AA35" s="385"/>
      <c r="AB35" s="385"/>
      <c r="AC35" s="385"/>
    </row>
    <row r="36" spans="1:30" ht="15" thickBot="1">
      <c r="A36" s="423" t="s">
        <v>1793</v>
      </c>
      <c r="B36" s="424"/>
      <c r="C36" s="1082" t="e">
        <f>R37</f>
        <v>#DIV/0!</v>
      </c>
      <c r="D36" s="2140" t="s">
        <v>2136</v>
      </c>
      <c r="E36" s="1083" t="e">
        <f>R36</f>
        <v>#DIV/0!</v>
      </c>
      <c r="F36" s="2141"/>
      <c r="G36" s="1082" t="e">
        <f>T36</f>
        <v>#DIV/0!</v>
      </c>
      <c r="H36" s="2141"/>
      <c r="I36" s="1083" t="e">
        <f>V36</f>
        <v>#DIV/0!</v>
      </c>
      <c r="J36" s="2141"/>
      <c r="K36" s="2143">
        <f>F36+H36+J36</f>
        <v>0</v>
      </c>
      <c r="L36" s="2492"/>
      <c r="M36" s="2485"/>
      <c r="N36" s="2485"/>
      <c r="O36" s="2485"/>
      <c r="P36" s="3395" t="str">
        <f>A36</f>
        <v>比较价值（元/平方米）</v>
      </c>
      <c r="Q36" s="3395"/>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92" t="str">
        <f>A37</f>
        <v>估价对象XX用房的比较价值（楼面单价，元/平方米）</v>
      </c>
      <c r="Q37" s="3393"/>
      <c r="R37" s="3447" t="e">
        <f>IF(F1="售价",ROUND(IF(D36="简单平均",AVERAGE(R36:W36),R36*F36+T36*H36+V36*J36),0),ROUND(IF(D36="简单平均",AVERAGE(R36:V36),R36*F36+T36*H36+V36*J36),1))</f>
        <v>#DIV/0!</v>
      </c>
      <c r="S37" s="3447"/>
      <c r="T37" s="3447"/>
      <c r="U37" s="3447"/>
      <c r="V37" s="3447"/>
      <c r="W37" s="3447"/>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2" t="str">
        <f>YEAR(C7)&amp;"-"&amp;MONTH(C7)</f>
        <v>2025-3</v>
      </c>
      <c r="D46" s="1103">
        <f>EDATE(C46,-1)</f>
        <v>45689</v>
      </c>
      <c r="E46" s="1103">
        <f t="shared" ref="E46:O46" si="16">EDATE(D46,-1)</f>
        <v>45658</v>
      </c>
      <c r="F46" s="1103">
        <f t="shared" si="16"/>
        <v>45627</v>
      </c>
      <c r="G46" s="1103">
        <f t="shared" si="16"/>
        <v>45597</v>
      </c>
      <c r="H46" s="1103">
        <f t="shared" si="16"/>
        <v>45566</v>
      </c>
      <c r="I46" s="1103">
        <f t="shared" si="16"/>
        <v>45536</v>
      </c>
      <c r="J46" s="1103">
        <f t="shared" si="16"/>
        <v>45505</v>
      </c>
      <c r="K46" s="1103">
        <f t="shared" si="16"/>
        <v>45474</v>
      </c>
      <c r="L46" s="1103">
        <f t="shared" si="16"/>
        <v>45444</v>
      </c>
      <c r="M46" s="1103">
        <f t="shared" si="16"/>
        <v>45413</v>
      </c>
      <c r="N46" s="1103">
        <f t="shared" si="16"/>
        <v>45383</v>
      </c>
      <c r="O46" s="1103">
        <f t="shared" si="16"/>
        <v>45352</v>
      </c>
      <c r="P46" s="2508"/>
      <c r="Q46" s="2508"/>
      <c r="R46" s="2508"/>
      <c r="S46" s="2508"/>
      <c r="T46" s="2508"/>
      <c r="U46" s="2508"/>
      <c r="V46" s="2508"/>
      <c r="W46" s="2508"/>
      <c r="X46" s="2508"/>
      <c r="Y46" s="2508"/>
      <c r="Z46" s="2508"/>
      <c r="AA46" s="2508"/>
      <c r="AB46" s="2508"/>
      <c r="AC46" s="2508"/>
      <c r="AD46" s="2508"/>
    </row>
    <row r="47" spans="1:30" s="102" customFormat="1">
      <c r="A47" s="443"/>
      <c r="B47" s="444"/>
      <c r="C47" s="1101">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1917</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8" t="s">
        <v>1770</v>
      </c>
      <c r="D4" s="3379"/>
      <c r="E4" s="3380" t="s">
        <v>1771</v>
      </c>
      <c r="F4" s="3381"/>
      <c r="G4" s="3378" t="s">
        <v>1772</v>
      </c>
      <c r="H4" s="3379"/>
      <c r="I4" s="3378" t="s">
        <v>1773</v>
      </c>
      <c r="J4" s="3379"/>
      <c r="K4" s="537" t="s">
        <v>1774</v>
      </c>
      <c r="L4" s="2484"/>
      <c r="M4" s="2485"/>
      <c r="N4" s="2485"/>
      <c r="O4" s="2485"/>
      <c r="P4" s="3382" t="s">
        <v>1775</v>
      </c>
      <c r="Q4" s="3383"/>
      <c r="R4" s="3365" t="s">
        <v>1771</v>
      </c>
      <c r="S4" s="3366"/>
      <c r="T4" s="3365" t="s">
        <v>1772</v>
      </c>
      <c r="U4" s="3366"/>
      <c r="V4" s="3390" t="s">
        <v>1773</v>
      </c>
      <c r="W4" s="3390"/>
      <c r="X4" s="1264"/>
      <c r="Y4" s="3365" t="s">
        <v>1775</v>
      </c>
      <c r="Z4" s="3366"/>
      <c r="AA4" s="3360" t="s">
        <v>1771</v>
      </c>
      <c r="AB4" s="3361" t="s">
        <v>1772</v>
      </c>
      <c r="AC4" s="3360" t="s">
        <v>1773</v>
      </c>
    </row>
    <row r="5" spans="1:29">
      <c r="A5" s="348"/>
      <c r="B5" s="349"/>
      <c r="C5" s="3371" t="s">
        <v>1673</v>
      </c>
      <c r="D5" s="3372"/>
      <c r="E5" s="3369" t="s">
        <v>1674</v>
      </c>
      <c r="F5" s="3370"/>
      <c r="G5" s="3371" t="s">
        <v>1675</v>
      </c>
      <c r="H5" s="3372"/>
      <c r="I5" s="3371" t="s">
        <v>1676</v>
      </c>
      <c r="J5" s="3372"/>
      <c r="K5" s="537"/>
      <c r="L5" s="2484"/>
      <c r="M5" s="2485"/>
      <c r="N5" s="2485"/>
      <c r="O5" s="2485"/>
      <c r="P5" s="3384"/>
      <c r="Q5" s="3385"/>
      <c r="R5" s="3367"/>
      <c r="S5" s="3368"/>
      <c r="T5" s="3367"/>
      <c r="U5" s="3368"/>
      <c r="V5" s="3390"/>
      <c r="W5" s="3390"/>
      <c r="X5" s="1264"/>
      <c r="Y5" s="3367"/>
      <c r="Z5" s="3368"/>
      <c r="AA5" s="3361"/>
      <c r="AB5" s="3361"/>
      <c r="AC5" s="3361"/>
    </row>
    <row r="6" spans="1:29" ht="15" thickBot="1">
      <c r="A6" s="350"/>
      <c r="B6" s="351"/>
      <c r="C6" s="3451" t="s">
        <v>1918</v>
      </c>
      <c r="D6" s="3452"/>
      <c r="E6" s="3453" t="s">
        <v>1918</v>
      </c>
      <c r="F6" s="3454"/>
      <c r="G6" s="3451" t="s">
        <v>1918</v>
      </c>
      <c r="H6" s="3452"/>
      <c r="I6" s="3451" t="s">
        <v>1918</v>
      </c>
      <c r="J6" s="3452"/>
      <c r="K6" s="537" t="s">
        <v>1678</v>
      </c>
      <c r="L6" s="2484"/>
      <c r="M6" s="2485"/>
      <c r="N6" s="2485"/>
      <c r="O6" s="2485"/>
      <c r="P6" s="3386"/>
      <c r="Q6" s="3387"/>
      <c r="R6" s="3367"/>
      <c r="S6" s="3368"/>
      <c r="T6" s="3388"/>
      <c r="U6" s="3389"/>
      <c r="V6" s="3390"/>
      <c r="W6" s="3390"/>
      <c r="X6" s="1264"/>
      <c r="Y6" s="3388"/>
      <c r="Z6" s="3389"/>
      <c r="AA6" s="3362"/>
      <c r="AB6" s="3362"/>
      <c r="AC6" s="3362"/>
    </row>
    <row r="7" spans="1:29" s="102" customFormat="1" ht="15" thickBot="1">
      <c r="A7" s="352" t="s">
        <v>1679</v>
      </c>
      <c r="B7" s="353"/>
      <c r="C7" s="354">
        <f>'数据-取费表'!B2</f>
        <v>45727</v>
      </c>
      <c r="D7" s="355">
        <v>100</v>
      </c>
      <c r="E7" s="356"/>
      <c r="F7" s="357">
        <f>SUMIF(65:65,YEAR(E7)&amp;"-"&amp;INT((MONTH(E7)+2)/3),66:66)</f>
        <v>0</v>
      </c>
      <c r="G7" s="1821"/>
      <c r="H7" s="355">
        <f>SUMIF(65:65,YEAR(G7)&amp;"-"&amp;INT((MONTH(G7)+2)/3),66:66)</f>
        <v>0</v>
      </c>
      <c r="I7" s="1821"/>
      <c r="J7" s="355">
        <f>SUMIF(65:65,YEAR(I7)&amp;"-"&amp;INT((MONTH(I7)+2)/3),66:66)</f>
        <v>0</v>
      </c>
      <c r="K7" s="38"/>
      <c r="L7" s="2486"/>
      <c r="M7" s="2438"/>
      <c r="N7" s="2438"/>
      <c r="O7" s="2438"/>
      <c r="P7" s="3363" t="s">
        <v>1680</v>
      </c>
      <c r="Q7" s="3391"/>
      <c r="R7" s="664" t="s">
        <v>14</v>
      </c>
      <c r="S7" s="665">
        <f t="shared" ref="S7:S15" si="0">F7</f>
        <v>0</v>
      </c>
      <c r="T7" s="664" t="s">
        <v>14</v>
      </c>
      <c r="U7" s="665">
        <f t="shared" ref="U7:U15" si="1">H7</f>
        <v>0</v>
      </c>
      <c r="V7" s="664" t="s">
        <v>14</v>
      </c>
      <c r="W7" s="665">
        <f t="shared" ref="W7:W15" si="2">J7</f>
        <v>0</v>
      </c>
      <c r="X7" s="666"/>
      <c r="Y7" s="3363" t="s">
        <v>1680</v>
      </c>
      <c r="Z7" s="336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63" t="s">
        <v>1683</v>
      </c>
      <c r="Q8" s="3364"/>
      <c r="R8" s="664" t="s">
        <v>14</v>
      </c>
      <c r="S8" s="665">
        <f t="shared" si="0"/>
        <v>0</v>
      </c>
      <c r="T8" s="664" t="s">
        <v>14</v>
      </c>
      <c r="U8" s="665">
        <f t="shared" si="1"/>
        <v>0</v>
      </c>
      <c r="V8" s="664" t="s">
        <v>14</v>
      </c>
      <c r="W8" s="665">
        <f t="shared" si="2"/>
        <v>0</v>
      </c>
      <c r="X8" s="666"/>
      <c r="Y8" s="3363" t="s">
        <v>1683</v>
      </c>
      <c r="Z8" s="3364"/>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395"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108</v>
      </c>
      <c r="G10" s="371"/>
      <c r="H10" s="119">
        <f>ROUND(100/'数据-取费表'!G16,0)</f>
        <v>108</v>
      </c>
      <c r="I10" s="371"/>
      <c r="J10" s="119">
        <f>ROUND(100/'数据-取费表'!G16,0)</f>
        <v>108</v>
      </c>
      <c r="K10" s="592"/>
      <c r="L10" s="2487"/>
      <c r="M10" s="2488"/>
      <c r="N10" s="2488"/>
      <c r="O10" s="2539"/>
      <c r="P10" s="3395"/>
      <c r="Q10" s="530" t="str">
        <f t="shared" si="6"/>
        <v>土地使用年限（年）</v>
      </c>
      <c r="R10" s="664" t="s">
        <v>14</v>
      </c>
      <c r="S10" s="665">
        <f t="shared" si="0"/>
        <v>108</v>
      </c>
      <c r="T10" s="664" t="s">
        <v>14</v>
      </c>
      <c r="U10" s="665">
        <f t="shared" si="1"/>
        <v>108</v>
      </c>
      <c r="V10" s="664" t="s">
        <v>14</v>
      </c>
      <c r="W10" s="665">
        <f t="shared" si="2"/>
        <v>108</v>
      </c>
      <c r="X10" s="666"/>
      <c r="Y10" s="3333"/>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95"/>
      <c r="Q11" s="530" t="str">
        <f t="shared" si="6"/>
        <v>容积率</v>
      </c>
      <c r="R11" s="664" t="s">
        <v>14</v>
      </c>
      <c r="S11" s="665" t="e">
        <f t="shared" si="0"/>
        <v>#N/A</v>
      </c>
      <c r="T11" s="664" t="s">
        <v>14</v>
      </c>
      <c r="U11" s="665" t="e">
        <f t="shared" si="1"/>
        <v>#N/A</v>
      </c>
      <c r="V11" s="664" t="s">
        <v>14</v>
      </c>
      <c r="W11" s="665" t="e">
        <f t="shared" si="2"/>
        <v>#N/A</v>
      </c>
      <c r="X11" s="666"/>
      <c r="Y11" s="333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95"/>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95"/>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95"/>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50">
        <f t="shared" si="5"/>
        <v>1</v>
      </c>
    </row>
    <row r="15" spans="1:29" ht="69">
      <c r="A15" s="379" t="s">
        <v>1690</v>
      </c>
      <c r="B15" s="554" t="s">
        <v>1919</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96" t="s">
        <v>1691</v>
      </c>
      <c r="Q15" s="1262" t="str">
        <f t="shared" si="6"/>
        <v>产业集聚程度</v>
      </c>
      <c r="R15" s="667" t="s">
        <v>14</v>
      </c>
      <c r="S15" s="668">
        <f t="shared" si="0"/>
        <v>100</v>
      </c>
      <c r="T15" s="667" t="s">
        <v>14</v>
      </c>
      <c r="U15" s="668">
        <f t="shared" si="1"/>
        <v>100</v>
      </c>
      <c r="V15" s="667" t="s">
        <v>14</v>
      </c>
      <c r="W15" s="668">
        <f t="shared" si="2"/>
        <v>100</v>
      </c>
      <c r="X15" s="1264"/>
      <c r="Y15" s="3396"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397"/>
      <c r="Q16" s="1262"/>
      <c r="R16" s="667"/>
      <c r="S16" s="668"/>
      <c r="T16" s="667"/>
      <c r="U16" s="668"/>
      <c r="V16" s="667"/>
      <c r="W16" s="668"/>
      <c r="X16" s="1264"/>
      <c r="Y16" s="3397"/>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97"/>
      <c r="Q17" s="1262" t="str">
        <f>B17</f>
        <v>交通便捷度</v>
      </c>
      <c r="R17" s="667" t="s">
        <v>14</v>
      </c>
      <c r="S17" s="668">
        <f>F17</f>
        <v>100</v>
      </c>
      <c r="T17" s="667" t="s">
        <v>14</v>
      </c>
      <c r="U17" s="668">
        <f>H17</f>
        <v>100</v>
      </c>
      <c r="V17" s="667" t="s">
        <v>14</v>
      </c>
      <c r="W17" s="668">
        <f>J17</f>
        <v>100</v>
      </c>
      <c r="X17" s="1264"/>
      <c r="Y17" s="339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397"/>
      <c r="Q18" s="1262"/>
      <c r="R18" s="667"/>
      <c r="S18" s="668"/>
      <c r="T18" s="667"/>
      <c r="U18" s="668"/>
      <c r="V18" s="667"/>
      <c r="W18" s="668"/>
      <c r="X18" s="1264"/>
      <c r="Y18" s="3397"/>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97"/>
      <c r="Q19" s="1262" t="str">
        <f t="shared" ref="Q19:Q33" si="8">B19</f>
        <v>区域土地利用方向</v>
      </c>
      <c r="R19" s="667" t="s">
        <v>14</v>
      </c>
      <c r="S19" s="668">
        <f>F19</f>
        <v>100</v>
      </c>
      <c r="T19" s="667" t="s">
        <v>14</v>
      </c>
      <c r="U19" s="668">
        <f>H19</f>
        <v>100</v>
      </c>
      <c r="V19" s="667" t="s">
        <v>14</v>
      </c>
      <c r="W19" s="668">
        <f>J19</f>
        <v>100</v>
      </c>
      <c r="X19" s="1264"/>
      <c r="Y19" s="339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397"/>
      <c r="Q20" s="1262"/>
      <c r="R20" s="667"/>
      <c r="S20" s="668"/>
      <c r="T20" s="667"/>
      <c r="U20" s="668"/>
      <c r="V20" s="667"/>
      <c r="W20" s="668"/>
      <c r="X20" s="1264"/>
      <c r="Y20" s="3397"/>
      <c r="Z20" s="1263"/>
      <c r="AA20" s="1263"/>
      <c r="AB20" s="1263"/>
      <c r="AC20" s="1263"/>
    </row>
    <row r="21" spans="1:29" ht="82.8">
      <c r="A21" s="348"/>
      <c r="B21" s="556" t="s">
        <v>1920</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97"/>
      <c r="Q21" s="1262" t="str">
        <f t="shared" si="8"/>
        <v>环境状况</v>
      </c>
      <c r="R21" s="667" t="s">
        <v>14</v>
      </c>
      <c r="S21" s="668">
        <f>F21</f>
        <v>100</v>
      </c>
      <c r="T21" s="667" t="s">
        <v>14</v>
      </c>
      <c r="U21" s="668">
        <f>H21</f>
        <v>100</v>
      </c>
      <c r="V21" s="667" t="s">
        <v>14</v>
      </c>
      <c r="W21" s="668">
        <f>J21</f>
        <v>100</v>
      </c>
      <c r="X21" s="1264"/>
      <c r="Y21" s="339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397"/>
      <c r="Q22" s="1262"/>
      <c r="R22" s="667"/>
      <c r="S22" s="668"/>
      <c r="T22" s="667"/>
      <c r="U22" s="668"/>
      <c r="V22" s="667"/>
      <c r="W22" s="668"/>
      <c r="X22" s="1264"/>
      <c r="Y22" s="3397"/>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97"/>
      <c r="Q23" s="530" t="str">
        <f t="shared" si="8"/>
        <v>公共配套设施</v>
      </c>
      <c r="R23" s="664" t="s">
        <v>14</v>
      </c>
      <c r="S23" s="665">
        <f>F23</f>
        <v>100</v>
      </c>
      <c r="T23" s="664" t="s">
        <v>14</v>
      </c>
      <c r="U23" s="665">
        <f>H23</f>
        <v>100</v>
      </c>
      <c r="V23" s="664" t="s">
        <v>14</v>
      </c>
      <c r="W23" s="665">
        <f>J23</f>
        <v>100</v>
      </c>
      <c r="X23" s="666"/>
      <c r="Y23" s="3397"/>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6"/>
      <c r="M24" s="2438"/>
      <c r="N24" s="2438"/>
      <c r="O24" s="2538"/>
      <c r="P24" s="3397"/>
      <c r="Q24" s="530"/>
      <c r="R24" s="664"/>
      <c r="S24" s="665"/>
      <c r="T24" s="664"/>
      <c r="U24" s="665"/>
      <c r="V24" s="664"/>
      <c r="W24" s="665"/>
      <c r="X24" s="666"/>
      <c r="Y24" s="3397"/>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97"/>
      <c r="Q25" s="530" t="str">
        <f t="shared" ref="Q25" si="9">B25</f>
        <v>基础设施水平</v>
      </c>
      <c r="R25" s="664" t="s">
        <v>14</v>
      </c>
      <c r="S25" s="665">
        <f>F25</f>
        <v>100</v>
      </c>
      <c r="T25" s="664" t="s">
        <v>14</v>
      </c>
      <c r="U25" s="665">
        <f>H25</f>
        <v>100</v>
      </c>
      <c r="V25" s="664" t="s">
        <v>14</v>
      </c>
      <c r="W25" s="665">
        <f>J25</f>
        <v>100</v>
      </c>
      <c r="X25" s="666"/>
      <c r="Y25" s="3397"/>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6"/>
      <c r="M26" s="2438"/>
      <c r="N26" s="2438"/>
      <c r="O26" s="2538"/>
      <c r="P26" s="3397"/>
      <c r="Q26" s="530"/>
      <c r="R26" s="664"/>
      <c r="S26" s="665"/>
      <c r="T26" s="664"/>
      <c r="U26" s="665"/>
      <c r="V26" s="664"/>
      <c r="W26" s="665"/>
      <c r="X26" s="666"/>
      <c r="Y26" s="339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97"/>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97"/>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97"/>
      <c r="Q28" s="1262" t="str">
        <f t="shared" si="8"/>
        <v>毗邻道路的类型与等级</v>
      </c>
      <c r="R28" s="667" t="s">
        <v>14</v>
      </c>
      <c r="S28" s="668">
        <f t="shared" si="10"/>
        <v>100</v>
      </c>
      <c r="T28" s="667" t="s">
        <v>14</v>
      </c>
      <c r="U28" s="668">
        <f t="shared" si="11"/>
        <v>100</v>
      </c>
      <c r="V28" s="667" t="s">
        <v>14</v>
      </c>
      <c r="W28" s="668">
        <f t="shared" si="12"/>
        <v>100</v>
      </c>
      <c r="X28" s="1264"/>
      <c r="Y28" s="3397"/>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397"/>
      <c r="Q29" s="1262"/>
      <c r="R29" s="667"/>
      <c r="S29" s="668"/>
      <c r="T29" s="667"/>
      <c r="U29" s="668"/>
      <c r="V29" s="667"/>
      <c r="W29" s="668"/>
      <c r="X29" s="1264"/>
      <c r="Y29" s="3397"/>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97"/>
      <c r="Q30" s="1262" t="str">
        <f t="shared" si="8"/>
        <v>土地级别</v>
      </c>
      <c r="R30" s="667" t="s">
        <v>14</v>
      </c>
      <c r="S30" s="668">
        <f t="shared" si="10"/>
        <v>100</v>
      </c>
      <c r="T30" s="667" t="s">
        <v>14</v>
      </c>
      <c r="U30" s="668">
        <f t="shared" si="11"/>
        <v>100</v>
      </c>
      <c r="V30" s="667" t="s">
        <v>14</v>
      </c>
      <c r="W30" s="668">
        <f t="shared" si="12"/>
        <v>100</v>
      </c>
      <c r="X30" s="1264"/>
      <c r="Y30" s="3397"/>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97"/>
      <c r="Q31" s="1262">
        <f t="shared" si="8"/>
        <v>111</v>
      </c>
      <c r="R31" s="667" t="s">
        <v>14</v>
      </c>
      <c r="S31" s="668">
        <f t="shared" si="10"/>
        <v>100</v>
      </c>
      <c r="T31" s="667" t="s">
        <v>14</v>
      </c>
      <c r="U31" s="668">
        <f t="shared" si="11"/>
        <v>100</v>
      </c>
      <c r="V31" s="667" t="s">
        <v>14</v>
      </c>
      <c r="W31" s="668">
        <f t="shared" si="12"/>
        <v>100</v>
      </c>
      <c r="X31" s="1264"/>
      <c r="Y31" s="3397"/>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6" t="s">
        <v>1696</v>
      </c>
      <c r="Q32" s="1262">
        <f t="shared" si="8"/>
        <v>111</v>
      </c>
      <c r="R32" s="667" t="s">
        <v>14</v>
      </c>
      <c r="S32" s="668">
        <f t="shared" si="10"/>
        <v>100</v>
      </c>
      <c r="T32" s="667" t="s">
        <v>14</v>
      </c>
      <c r="U32" s="668">
        <f t="shared" si="11"/>
        <v>100</v>
      </c>
      <c r="V32" s="667" t="s">
        <v>14</v>
      </c>
      <c r="W32" s="668">
        <f t="shared" si="12"/>
        <v>100</v>
      </c>
      <c r="X32" s="1264"/>
      <c r="Y32" s="3401"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1"/>
      <c r="Q33" s="1262">
        <f t="shared" si="8"/>
        <v>111</v>
      </c>
      <c r="R33" s="669" t="s">
        <v>14</v>
      </c>
      <c r="S33" s="670">
        <f t="shared" si="10"/>
        <v>100</v>
      </c>
      <c r="T33" s="669" t="s">
        <v>14</v>
      </c>
      <c r="U33" s="670">
        <f t="shared" si="11"/>
        <v>100</v>
      </c>
      <c r="V33" s="669" t="s">
        <v>14</v>
      </c>
      <c r="W33" s="670">
        <f t="shared" si="12"/>
        <v>100</v>
      </c>
      <c r="X33" s="671"/>
      <c r="Y33" s="3401"/>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1"/>
      <c r="Q34" s="1262" t="str">
        <f>B34</f>
        <v>宗地面积</v>
      </c>
      <c r="R34" s="667" t="s">
        <v>14</v>
      </c>
      <c r="S34" s="668" t="e">
        <f t="shared" si="10"/>
        <v>#N/A</v>
      </c>
      <c r="T34" s="667" t="s">
        <v>14</v>
      </c>
      <c r="U34" s="668" t="e">
        <f t="shared" si="11"/>
        <v>#N/A</v>
      </c>
      <c r="V34" s="667" t="s">
        <v>14</v>
      </c>
      <c r="W34" s="668" t="e">
        <f t="shared" si="12"/>
        <v>#N/A</v>
      </c>
      <c r="X34" s="1264"/>
      <c r="Y34" s="3401"/>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01"/>
      <c r="Q35" s="1262" t="str">
        <f t="shared" ref="Q35:Q40" si="14">B35</f>
        <v>宗地形状</v>
      </c>
      <c r="R35" s="667" t="s">
        <v>14</v>
      </c>
      <c r="S35" s="668">
        <f t="shared" si="10"/>
        <v>100</v>
      </c>
      <c r="T35" s="667" t="s">
        <v>14</v>
      </c>
      <c r="U35" s="668">
        <f t="shared" si="11"/>
        <v>100</v>
      </c>
      <c r="V35" s="667" t="s">
        <v>14</v>
      </c>
      <c r="W35" s="668">
        <f t="shared" si="12"/>
        <v>100</v>
      </c>
      <c r="X35" s="1264"/>
      <c r="Y35" s="3401"/>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6"/>
      <c r="M36" s="2438"/>
      <c r="N36" s="2438"/>
      <c r="O36" s="2538"/>
      <c r="P36" s="3401"/>
      <c r="Q36" s="1262" t="str">
        <f t="shared" si="14"/>
        <v>宗地开发程度</v>
      </c>
      <c r="R36" s="664" t="s">
        <v>14</v>
      </c>
      <c r="S36" s="665">
        <f t="shared" si="10"/>
        <v>100</v>
      </c>
      <c r="T36" s="664" t="s">
        <v>14</v>
      </c>
      <c r="U36" s="665">
        <f t="shared" si="11"/>
        <v>100</v>
      </c>
      <c r="V36" s="664" t="s">
        <v>14</v>
      </c>
      <c r="W36" s="665">
        <f t="shared" si="12"/>
        <v>100</v>
      </c>
      <c r="X36" s="666"/>
      <c r="Y36" s="340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01" t="s">
        <v>1696</v>
      </c>
      <c r="Q37" s="1262" t="str">
        <f t="shared" si="14"/>
        <v>工程地质条件</v>
      </c>
      <c r="R37" s="667" t="s">
        <v>14</v>
      </c>
      <c r="S37" s="668">
        <f t="shared" si="10"/>
        <v>100</v>
      </c>
      <c r="T37" s="667" t="s">
        <v>14</v>
      </c>
      <c r="U37" s="668">
        <f t="shared" si="11"/>
        <v>100</v>
      </c>
      <c r="V37" s="667" t="s">
        <v>14</v>
      </c>
      <c r="W37" s="668">
        <f t="shared" si="12"/>
        <v>100</v>
      </c>
      <c r="X37" s="1264"/>
      <c r="Y37" s="3401"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1"/>
      <c r="Q38" s="1262">
        <f t="shared" si="14"/>
        <v>111</v>
      </c>
      <c r="R38" s="667" t="s">
        <v>14</v>
      </c>
      <c r="S38" s="668">
        <f t="shared" si="10"/>
        <v>100</v>
      </c>
      <c r="T38" s="667" t="s">
        <v>14</v>
      </c>
      <c r="U38" s="668">
        <f t="shared" si="11"/>
        <v>100</v>
      </c>
      <c r="V38" s="667" t="s">
        <v>14</v>
      </c>
      <c r="W38" s="668">
        <f t="shared" si="12"/>
        <v>100</v>
      </c>
      <c r="X38" s="1264"/>
      <c r="Y38" s="3401"/>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1"/>
      <c r="Q39" s="1262">
        <f t="shared" si="14"/>
        <v>111</v>
      </c>
      <c r="R39" s="667" t="s">
        <v>14</v>
      </c>
      <c r="S39" s="668">
        <f t="shared" si="10"/>
        <v>100</v>
      </c>
      <c r="T39" s="667" t="s">
        <v>14</v>
      </c>
      <c r="U39" s="668">
        <f t="shared" si="11"/>
        <v>100</v>
      </c>
      <c r="V39" s="667" t="s">
        <v>14</v>
      </c>
      <c r="W39" s="668">
        <f t="shared" si="12"/>
        <v>100</v>
      </c>
      <c r="X39" s="1264"/>
      <c r="Y39" s="3401"/>
      <c r="Z39" s="1263">
        <f t="shared" si="13"/>
        <v>111</v>
      </c>
      <c r="AA39" s="1263">
        <f t="shared" si="3"/>
        <v>1</v>
      </c>
      <c r="AB39" s="1263">
        <f t="shared" si="4"/>
        <v>1</v>
      </c>
      <c r="AC39" s="1263">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1"/>
      <c r="Q40" s="1262">
        <f t="shared" si="14"/>
        <v>111</v>
      </c>
      <c r="R40" s="669" t="s">
        <v>14</v>
      </c>
      <c r="S40" s="670">
        <f t="shared" si="10"/>
        <v>100</v>
      </c>
      <c r="T40" s="669" t="s">
        <v>14</v>
      </c>
      <c r="U40" s="670">
        <f t="shared" si="11"/>
        <v>100</v>
      </c>
      <c r="V40" s="669" t="s">
        <v>14</v>
      </c>
      <c r="W40" s="670">
        <f t="shared" si="12"/>
        <v>100</v>
      </c>
      <c r="X40" s="671"/>
      <c r="Y40" s="3401"/>
      <c r="Z40" s="672">
        <f t="shared" si="13"/>
        <v>111</v>
      </c>
      <c r="AA40" s="1263">
        <f t="shared" si="3"/>
        <v>1</v>
      </c>
      <c r="AB40" s="1263">
        <f t="shared" si="4"/>
        <v>1</v>
      </c>
      <c r="AC40" s="1263">
        <f t="shared" si="5"/>
        <v>1</v>
      </c>
    </row>
    <row r="41" spans="1:31" ht="14.4">
      <c r="A41" s="416" t="s">
        <v>1844</v>
      </c>
      <c r="B41" s="1829" t="s">
        <v>1921</v>
      </c>
      <c r="C41" s="602" t="s">
        <v>0</v>
      </c>
      <c r="D41" s="418"/>
      <c r="E41" s="419"/>
      <c r="F41" s="420"/>
      <c r="G41" s="421"/>
      <c r="H41" s="422"/>
      <c r="I41" s="419"/>
      <c r="J41" s="422"/>
      <c r="K41" s="674"/>
      <c r="L41" s="2492"/>
      <c r="M41" s="2485"/>
      <c r="N41" s="2485"/>
      <c r="O41" s="2485"/>
      <c r="P41" s="3395" t="str">
        <f>A41</f>
        <v>成交单价</v>
      </c>
      <c r="Q41" s="3395"/>
      <c r="R41" s="3390">
        <f>E41</f>
        <v>0</v>
      </c>
      <c r="S41" s="3390"/>
      <c r="T41" s="3390">
        <f>G41</f>
        <v>0</v>
      </c>
      <c r="U41" s="3390"/>
      <c r="V41" s="3390">
        <f>I41</f>
        <v>0</v>
      </c>
      <c r="W41" s="3390"/>
      <c r="X41" s="385"/>
      <c r="Y41" s="673"/>
      <c r="Z41" s="385"/>
      <c r="AA41" s="385"/>
      <c r="AB41" s="385"/>
      <c r="AC41" s="385"/>
    </row>
    <row r="42" spans="1:31" ht="15" thickBot="1">
      <c r="A42" s="423" t="s">
        <v>1793</v>
      </c>
      <c r="B42" s="603"/>
      <c r="C42" s="426" t="e">
        <f>R43</f>
        <v>#DIV/0!</v>
      </c>
      <c r="D42" s="2140" t="s">
        <v>2136</v>
      </c>
      <c r="E42" s="426" t="e">
        <f>R42</f>
        <v>#DIV/0!</v>
      </c>
      <c r="F42" s="2141"/>
      <c r="G42" s="425" t="e">
        <f>T42</f>
        <v>#DIV/0!</v>
      </c>
      <c r="H42" s="2141"/>
      <c r="I42" s="426" t="e">
        <f>V42</f>
        <v>#DIV/0!</v>
      </c>
      <c r="J42" s="2141"/>
      <c r="K42" s="2143">
        <f>F42+H42+J42</f>
        <v>0</v>
      </c>
      <c r="L42" s="2492"/>
      <c r="M42" s="2485"/>
      <c r="N42" s="2485"/>
      <c r="O42" s="2485"/>
      <c r="P42" s="3395" t="str">
        <f>A42</f>
        <v>比较价值（元/平方米）</v>
      </c>
      <c r="Q42" s="3395"/>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92" t="str">
        <f>A43</f>
        <v>估价对象XX用房的比较价值（楼面单价，元/平方米）</v>
      </c>
      <c r="Q43" s="3393"/>
      <c r="R43" s="3449" t="e">
        <f>ROUND(IF(D42="简单平均",AVERAGE(R42:W42),R42*F42+T42*H42+V42*J42),0)</f>
        <v>#DIV/0!</v>
      </c>
      <c r="S43" s="3449"/>
      <c r="T43" s="3449"/>
      <c r="U43" s="3449"/>
      <c r="V43" s="3449"/>
      <c r="W43" s="3449"/>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1880</v>
      </c>
      <c r="B50" s="605" t="s">
        <v>1881</v>
      </c>
      <c r="C50" s="1830" t="s">
        <v>1882</v>
      </c>
      <c r="D50" s="1831" t="s">
        <v>1883</v>
      </c>
      <c r="E50" s="606" t="s">
        <v>1884</v>
      </c>
      <c r="F50" s="607" t="s">
        <v>1885</v>
      </c>
      <c r="G50" s="3378" t="s">
        <v>1886</v>
      </c>
      <c r="H50" s="3450"/>
      <c r="I50" s="1263" t="s">
        <v>1922</v>
      </c>
      <c r="J50" s="1263">
        <f>项目基本情况!F35</f>
        <v>0</v>
      </c>
      <c r="K50" s="1833" t="s">
        <v>1888</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1889</v>
      </c>
      <c r="B51" s="609" t="e">
        <f>C43</f>
        <v>#DIV/0!</v>
      </c>
      <c r="C51" s="610">
        <v>1</v>
      </c>
      <c r="D51" s="890">
        <v>1</v>
      </c>
      <c r="E51" s="610">
        <f>'数据-汇总表'!E8+'数据-汇总表'!E9</f>
        <v>105.06</v>
      </c>
      <c r="F51" s="611" t="e">
        <f t="shared" ref="F51:F60" si="15">ROUND(B51*E51/10000,0)</f>
        <v>#DIV/0!</v>
      </c>
      <c r="G51" s="3377"/>
      <c r="H51" s="339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1890</v>
      </c>
      <c r="B52" s="210" t="e">
        <f>ROUND($C$43*C52*D52,0)</f>
        <v>#DIV/0!</v>
      </c>
      <c r="C52" s="163">
        <f t="shared" ref="C52:C60" si="16">IF($C$50="北京市系数",I52,J52)</f>
        <v>0</v>
      </c>
      <c r="D52" s="891">
        <v>0.25</v>
      </c>
      <c r="E52" s="614"/>
      <c r="F52" s="611" t="e">
        <f t="shared" si="15"/>
        <v>#DIV/0!</v>
      </c>
      <c r="G52" s="2748" t="s">
        <v>1891</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1892</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1893</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1894</v>
      </c>
      <c r="B56" s="210" t="e">
        <f t="shared" si="17"/>
        <v>#DIV/0!</v>
      </c>
      <c r="C56" s="163">
        <f t="shared" si="16"/>
        <v>0</v>
      </c>
      <c r="D56" s="891">
        <v>0.25</v>
      </c>
      <c r="E56" s="209">
        <f>'数据-汇总表'!E11</f>
        <v>0</v>
      </c>
      <c r="F56" s="611" t="e">
        <f t="shared" si="15"/>
        <v>#DIV/0!</v>
      </c>
      <c r="G56" s="1834" t="s">
        <v>1895</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1896</v>
      </c>
      <c r="B57" s="210" t="e">
        <f t="shared" si="17"/>
        <v>#DIV/0!</v>
      </c>
      <c r="C57" s="163">
        <f t="shared" si="16"/>
        <v>0</v>
      </c>
      <c r="D57" s="891">
        <v>0.25</v>
      </c>
      <c r="E57" s="209">
        <f>'数据-汇总表'!E12</f>
        <v>0</v>
      </c>
      <c r="F57" s="611" t="e">
        <f t="shared" si="15"/>
        <v>#DIV/0!</v>
      </c>
      <c r="G57" s="839" t="s">
        <v>1897</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1898</v>
      </c>
      <c r="B58" s="210" t="e">
        <f t="shared" si="17"/>
        <v>#DIV/0!</v>
      </c>
      <c r="C58" s="163">
        <f t="shared" si="16"/>
        <v>0.15</v>
      </c>
      <c r="D58" s="891">
        <v>0.25</v>
      </c>
      <c r="E58" s="209">
        <f>'数据-汇总表'!E13</f>
        <v>0</v>
      </c>
      <c r="F58" s="611" t="e">
        <f t="shared" si="15"/>
        <v>#DIV/0!</v>
      </c>
      <c r="G58" s="839" t="s">
        <v>1899</v>
      </c>
      <c r="H58" s="834" t="str">
        <f>IF(G58="商业",项目基本情况!B37,IF(G58="办公",项目基本情况!C37,IF(G58="住宅",项目基本情况!D37,项目基本情况!E37)))</f>
        <v>六级</v>
      </c>
      <c r="I58" s="727">
        <f>SUMIF(修正!A57:A68,H58,修正!G57:G68)</f>
        <v>0.15</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1900</v>
      </c>
      <c r="B59" s="210" t="e">
        <f t="shared" si="17"/>
        <v>#DIV/0!</v>
      </c>
      <c r="C59" s="163">
        <f t="shared" si="16"/>
        <v>0</v>
      </c>
      <c r="D59" s="891">
        <v>0.25</v>
      </c>
      <c r="E59" s="209">
        <f>'数据-汇总表'!E14</f>
        <v>0</v>
      </c>
      <c r="F59" s="611" t="e">
        <f t="shared" si="15"/>
        <v>#DIV/0!</v>
      </c>
      <c r="G59" s="1834" t="s">
        <v>1891</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1901</v>
      </c>
      <c r="B60" s="210" t="e">
        <f t="shared" si="17"/>
        <v>#DIV/0!</v>
      </c>
      <c r="C60" s="163">
        <f t="shared" si="16"/>
        <v>0</v>
      </c>
      <c r="D60" s="891">
        <v>0.25</v>
      </c>
      <c r="E60" s="209">
        <f>'数据-汇总表'!E15</f>
        <v>0</v>
      </c>
      <c r="F60" s="611" t="e">
        <f t="shared" si="15"/>
        <v>#DIV/0!</v>
      </c>
      <c r="G60" s="1835" t="s">
        <v>1895</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1902</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29" t="s">
        <v>1903</v>
      </c>
      <c r="B65" s="1046"/>
      <c r="C65" s="1100" t="str">
        <f>YEAR(C63)&amp;"-"&amp;ROUNDUP(MONTH(C63)/3,0)</f>
        <v>2025-1</v>
      </c>
      <c r="D65" s="1100" t="str">
        <f t="shared" ref="D65:O65" si="19">YEAR(D63)&amp;"-"&amp;ROUNDUP(MONTH(D63)/3,0)</f>
        <v>2024-4</v>
      </c>
      <c r="E65" s="1100" t="str">
        <f t="shared" si="19"/>
        <v>2024-3</v>
      </c>
      <c r="F65" s="1100" t="str">
        <f t="shared" si="19"/>
        <v>2024-2</v>
      </c>
      <c r="G65" s="1100" t="str">
        <f t="shared" si="19"/>
        <v>2024-1</v>
      </c>
      <c r="H65" s="1100" t="str">
        <f t="shared" si="19"/>
        <v>2023-4</v>
      </c>
      <c r="I65" s="1100" t="str">
        <f t="shared" si="19"/>
        <v>2023-3</v>
      </c>
      <c r="J65" s="1100" t="str">
        <f t="shared" si="19"/>
        <v>2023-2</v>
      </c>
      <c r="K65" s="1100" t="str">
        <f t="shared" si="19"/>
        <v>2023-1</v>
      </c>
      <c r="L65" s="1100" t="str">
        <f t="shared" si="19"/>
        <v>2022-4</v>
      </c>
      <c r="M65" s="1100" t="str">
        <f t="shared" si="19"/>
        <v>2022-3</v>
      </c>
      <c r="N65" s="1100" t="str">
        <f t="shared" si="19"/>
        <v>2022-2</v>
      </c>
      <c r="O65" s="1100" t="str">
        <f t="shared" si="19"/>
        <v>2022-1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6"/>
      <c r="N66" s="1066"/>
      <c r="O66" s="1098"/>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1906</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1907</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1924</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1908</v>
      </c>
      <c r="D95" s="470" t="s">
        <v>1909</v>
      </c>
      <c r="E95" s="470" t="s">
        <v>1910</v>
      </c>
      <c r="F95" s="470" t="s">
        <v>1911</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1913</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1915</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1916</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9" priority="13" stopIfTrue="1">
      <formula>$F$46="超过30%"</formula>
    </cfRule>
  </conditionalFormatting>
  <conditionalFormatting sqref="E47">
    <cfRule type="expression" dxfId="38" priority="53" stopIfTrue="1">
      <formula>#REF!+$F$47="超过20%"</formula>
    </cfRule>
  </conditionalFormatting>
  <conditionalFormatting sqref="E48">
    <cfRule type="expression" dxfId="37" priority="10" stopIfTrue="1">
      <formula>$F$48="超过30%"</formula>
    </cfRule>
  </conditionalFormatting>
  <conditionalFormatting sqref="F7:F40 H7:H40 J7:J40">
    <cfRule type="cellIs" dxfId="36" priority="1" operator="notEqual">
      <formula>100</formula>
    </cfRule>
  </conditionalFormatting>
  <conditionalFormatting sqref="F42">
    <cfRule type="expression" dxfId="35" priority="4">
      <formula>$D$42="简单平均"</formula>
    </cfRule>
  </conditionalFormatting>
  <conditionalFormatting sqref="F46:F48 H46:H48 J46:J48">
    <cfRule type="containsText" dxfId="34" priority="14" stopIfTrue="1" operator="containsText" text="超过">
      <formula>NOT(ISERROR(SEARCH("超过",F46)))</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G48">
    <cfRule type="expression" dxfId="31" priority="12" stopIfTrue="1">
      <formula>$H$48="超过30%"</formula>
    </cfRule>
  </conditionalFormatting>
  <conditionalFormatting sqref="H42">
    <cfRule type="expression" dxfId="30" priority="3">
      <formula>$D$42="简单平均"</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J42">
    <cfRule type="expression" dxfId="2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B46" sqref="B46"/>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399</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37978</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8" t="s">
        <v>1770</v>
      </c>
      <c r="D4" s="3379"/>
      <c r="E4" s="3380" t="s">
        <v>1771</v>
      </c>
      <c r="F4" s="3381"/>
      <c r="G4" s="3378" t="s">
        <v>1772</v>
      </c>
      <c r="H4" s="3379"/>
      <c r="I4" s="3378" t="s">
        <v>1773</v>
      </c>
      <c r="J4" s="3379"/>
      <c r="K4" s="537" t="s">
        <v>1774</v>
      </c>
      <c r="L4" s="2484"/>
      <c r="M4" s="2485"/>
      <c r="N4" s="2485"/>
      <c r="O4" s="2485"/>
      <c r="P4" s="3382" t="s">
        <v>1775</v>
      </c>
      <c r="Q4" s="3383"/>
      <c r="R4" s="3365" t="s">
        <v>1771</v>
      </c>
      <c r="S4" s="3366"/>
      <c r="T4" s="3365" t="s">
        <v>1772</v>
      </c>
      <c r="U4" s="3366"/>
      <c r="V4" s="3390" t="s">
        <v>1773</v>
      </c>
      <c r="W4" s="3390"/>
      <c r="X4" s="1264"/>
      <c r="Y4" s="3365" t="s">
        <v>1775</v>
      </c>
      <c r="Z4" s="3366"/>
      <c r="AA4" s="3360" t="s">
        <v>1771</v>
      </c>
      <c r="AB4" s="3361" t="s">
        <v>1772</v>
      </c>
      <c r="AC4" s="3360" t="s">
        <v>1773</v>
      </c>
    </row>
    <row r="5" spans="1:29">
      <c r="A5" s="348"/>
      <c r="B5" s="349"/>
      <c r="C5" s="3371" t="s">
        <v>1673</v>
      </c>
      <c r="D5" s="3372"/>
      <c r="E5" s="3369" t="str">
        <f>土地案例信息!A2</f>
        <v>北京市丰台区城乡一体化槐房村和新宫村旧村改造项目NY-030(南区)-01地块R2二类居住用地</v>
      </c>
      <c r="F5" s="3370"/>
      <c r="G5" s="3371" t="str">
        <f>土地案例信息!A3</f>
        <v>北京市丰台区羊坊村棚户区改造土地开发项目YF-041地块R2二类居住用地</v>
      </c>
      <c r="H5" s="3372"/>
      <c r="I5" s="3371" t="str">
        <f>土地案例信息!A4</f>
        <v>北京市石景山区老古城综合改造土地一级开发项目1608-626地块R2二类居住用地</v>
      </c>
      <c r="J5" s="3372"/>
      <c r="K5" s="537"/>
      <c r="L5" s="2484"/>
      <c r="M5" s="2485"/>
      <c r="N5" s="2485"/>
      <c r="O5" s="2485"/>
      <c r="P5" s="3384"/>
      <c r="Q5" s="3385"/>
      <c r="R5" s="3367"/>
      <c r="S5" s="3368"/>
      <c r="T5" s="3367"/>
      <c r="U5" s="3368"/>
      <c r="V5" s="3390"/>
      <c r="W5" s="3390"/>
      <c r="X5" s="1264"/>
      <c r="Y5" s="3367"/>
      <c r="Z5" s="3368"/>
      <c r="AA5" s="3361"/>
      <c r="AB5" s="3361"/>
      <c r="AC5" s="3361"/>
    </row>
    <row r="6" spans="1:29" ht="15" thickBot="1">
      <c r="A6" s="350"/>
      <c r="B6" s="351"/>
      <c r="C6" s="3373" t="s">
        <v>1677</v>
      </c>
      <c r="D6" s="3374"/>
      <c r="E6" s="3375" t="s">
        <v>1677</v>
      </c>
      <c r="F6" s="3376"/>
      <c r="G6" s="3373" t="s">
        <v>1677</v>
      </c>
      <c r="H6" s="3374"/>
      <c r="I6" s="3373" t="s">
        <v>1677</v>
      </c>
      <c r="J6" s="3374"/>
      <c r="K6" s="537" t="s">
        <v>1678</v>
      </c>
      <c r="L6" s="2484"/>
      <c r="M6" s="2485"/>
      <c r="N6" s="2485"/>
      <c r="O6" s="2485"/>
      <c r="P6" s="3386"/>
      <c r="Q6" s="3387"/>
      <c r="R6" s="3367"/>
      <c r="S6" s="3368"/>
      <c r="T6" s="3388"/>
      <c r="U6" s="3389"/>
      <c r="V6" s="3390"/>
      <c r="W6" s="3390"/>
      <c r="X6" s="1264"/>
      <c r="Y6" s="3388"/>
      <c r="Z6" s="3389"/>
      <c r="AA6" s="3362"/>
      <c r="AB6" s="3362"/>
      <c r="AC6" s="3362"/>
    </row>
    <row r="7" spans="1:29" s="102" customFormat="1" ht="15" thickBot="1">
      <c r="A7" s="352" t="s">
        <v>1679</v>
      </c>
      <c r="B7" s="353"/>
      <c r="C7" s="354">
        <f>'数据-取费表'!B2</f>
        <v>45727</v>
      </c>
      <c r="D7" s="355">
        <v>100</v>
      </c>
      <c r="E7" s="356" t="str">
        <f>土地案例信息!AH2</f>
        <v>2024-11-29</v>
      </c>
      <c r="F7" s="357">
        <f>SUMIF(69:69,YEAR(E7)&amp;"-"&amp;INT((MONTH(E7)+2)/3),70:70)</f>
        <v>100</v>
      </c>
      <c r="G7" s="1821" t="str">
        <f>土地案例信息!AH3</f>
        <v>2024-01-04</v>
      </c>
      <c r="H7" s="355">
        <f>SUMIF(69:69,YEAR(G7)&amp;"-"&amp;INT((MONTH(G7)+2)/3),70:70)</f>
        <v>100</v>
      </c>
      <c r="I7" s="1821" t="str">
        <f>土地案例信息!AH4</f>
        <v>2022-11-29</v>
      </c>
      <c r="J7" s="355">
        <f>SUMIF(69:69,YEAR(I7)&amp;"-"&amp;INT((MONTH(I7)+2)/3),70:70)</f>
        <v>100</v>
      </c>
      <c r="K7" s="38"/>
      <c r="L7" s="2486"/>
      <c r="M7" s="2438"/>
      <c r="N7" s="2438"/>
      <c r="O7" s="2438"/>
      <c r="P7" s="3363" t="s">
        <v>1680</v>
      </c>
      <c r="Q7" s="3391"/>
      <c r="R7" s="664" t="s">
        <v>14</v>
      </c>
      <c r="S7" s="665">
        <f t="shared" ref="S7:S15" si="0">F7</f>
        <v>100</v>
      </c>
      <c r="T7" s="664" t="s">
        <v>14</v>
      </c>
      <c r="U7" s="665">
        <f t="shared" ref="U7:U15" si="1">H7</f>
        <v>100</v>
      </c>
      <c r="V7" s="664" t="s">
        <v>14</v>
      </c>
      <c r="W7" s="665">
        <f t="shared" ref="W7:W15" si="2">J7</f>
        <v>100</v>
      </c>
      <c r="X7" s="666"/>
      <c r="Y7" s="3363" t="s">
        <v>1680</v>
      </c>
      <c r="Z7" s="3364"/>
      <c r="AA7" s="50">
        <f>D7/F7</f>
        <v>1</v>
      </c>
      <c r="AB7" s="50">
        <f>D7/H7</f>
        <v>1</v>
      </c>
      <c r="AC7" s="50">
        <f>D7/J7</f>
        <v>1</v>
      </c>
    </row>
    <row r="8" spans="1:29" s="102" customFormat="1" ht="15" thickBot="1">
      <c r="A8" s="352" t="s">
        <v>1681</v>
      </c>
      <c r="B8" s="353"/>
      <c r="C8" s="358" t="s">
        <v>1682</v>
      </c>
      <c r="D8" s="355">
        <v>100</v>
      </c>
      <c r="E8" s="358" t="s">
        <v>3484</v>
      </c>
      <c r="F8" s="357">
        <f>SUMIF(72:72,E8,73:73)-SUMIF(72:72,C8,73:73)+100</f>
        <v>100</v>
      </c>
      <c r="G8" s="358" t="s">
        <v>3484</v>
      </c>
      <c r="H8" s="355">
        <f>SUMIF(72:72,G8,73:73)-SUMIF(72:72,C8,73:73)+100</f>
        <v>100</v>
      </c>
      <c r="I8" s="358" t="s">
        <v>3484</v>
      </c>
      <c r="J8" s="355">
        <f>SUMIF(72:72,I8,73:73)-SUMIF(72:72,C8,73:73)+100</f>
        <v>100</v>
      </c>
      <c r="K8" s="38"/>
      <c r="L8" s="2486"/>
      <c r="M8" s="2438"/>
      <c r="N8" s="2438"/>
      <c r="O8" s="2438"/>
      <c r="P8" s="3363" t="s">
        <v>1683</v>
      </c>
      <c r="Q8" s="3364"/>
      <c r="R8" s="664" t="s">
        <v>14</v>
      </c>
      <c r="S8" s="665">
        <f t="shared" si="0"/>
        <v>100</v>
      </c>
      <c r="T8" s="664" t="s">
        <v>14</v>
      </c>
      <c r="U8" s="665">
        <f t="shared" si="1"/>
        <v>100</v>
      </c>
      <c r="V8" s="664" t="s">
        <v>14</v>
      </c>
      <c r="W8" s="665">
        <f t="shared" si="2"/>
        <v>100</v>
      </c>
      <c r="X8" s="666"/>
      <c r="Y8" s="3363" t="s">
        <v>1683</v>
      </c>
      <c r="Z8" s="3364"/>
      <c r="AA8" s="50">
        <f t="shared" ref="AA8:AA45" si="3">D8/F8</f>
        <v>1</v>
      </c>
      <c r="AB8" s="50">
        <f t="shared" ref="AB8:AB45" si="4">D8/H8</f>
        <v>1</v>
      </c>
      <c r="AC8" s="50">
        <f t="shared" ref="AC8:AC45" si="5">D8/J8</f>
        <v>1</v>
      </c>
    </row>
    <row r="9" spans="1:29" s="102" customFormat="1" ht="14.4">
      <c r="A9" s="359" t="s">
        <v>1684</v>
      </c>
      <c r="B9" s="60" t="s">
        <v>1685</v>
      </c>
      <c r="C9" s="1824" t="s">
        <v>3424</v>
      </c>
      <c r="D9" s="59">
        <v>100</v>
      </c>
      <c r="E9" s="1824" t="s">
        <v>3424</v>
      </c>
      <c r="F9" s="59">
        <f>SUMIF(74:74,E9,75:75)-SUMIF(74:74,C9,75:75)+100</f>
        <v>100</v>
      </c>
      <c r="G9" s="1824" t="s">
        <v>3424</v>
      </c>
      <c r="H9" s="59">
        <f>SUMIF(74:74,G9,75:75)-SUMIF(74:74,C9,75:75)+100</f>
        <v>100</v>
      </c>
      <c r="I9" s="1824" t="s">
        <v>3424</v>
      </c>
      <c r="J9" s="59">
        <f>SUMIF(74:74,I9,75:75)-SUMIF(74:74,C9,75:75)+100</f>
        <v>100</v>
      </c>
      <c r="K9" s="38"/>
      <c r="L9" s="2486"/>
      <c r="M9" s="2438"/>
      <c r="N9" s="2438"/>
      <c r="O9" s="2538"/>
      <c r="P9" s="3395"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108</v>
      </c>
      <c r="G10" s="403"/>
      <c r="H10" s="119">
        <f>ROUND(100/'数据-取费表'!G16,0)</f>
        <v>108</v>
      </c>
      <c r="I10" s="403"/>
      <c r="J10" s="119">
        <f>ROUND(100/'数据-取费表'!G16,0)</f>
        <v>108</v>
      </c>
      <c r="K10" s="592"/>
      <c r="L10" s="2487"/>
      <c r="M10" s="2488"/>
      <c r="N10" s="2488"/>
      <c r="O10" s="2539"/>
      <c r="P10" s="3395"/>
      <c r="Q10" s="530" t="str">
        <f t="shared" si="6"/>
        <v>土地使用年限（年）</v>
      </c>
      <c r="R10" s="664" t="s">
        <v>14</v>
      </c>
      <c r="S10" s="665">
        <f t="shared" si="0"/>
        <v>108</v>
      </c>
      <c r="T10" s="664" t="s">
        <v>14</v>
      </c>
      <c r="U10" s="665">
        <f t="shared" si="1"/>
        <v>108</v>
      </c>
      <c r="V10" s="664" t="s">
        <v>14</v>
      </c>
      <c r="W10" s="665">
        <f t="shared" si="2"/>
        <v>108</v>
      </c>
      <c r="X10" s="666"/>
      <c r="Y10" s="3333"/>
      <c r="Z10" s="50" t="str">
        <f t="shared" si="7"/>
        <v>土地使用年限（年）</v>
      </c>
      <c r="AA10" s="50">
        <f t="shared" si="3"/>
        <v>0.92592592592592593</v>
      </c>
      <c r="AB10" s="50">
        <f t="shared" si="4"/>
        <v>0.92592592592592593</v>
      </c>
      <c r="AC10" s="50">
        <f t="shared" si="5"/>
        <v>0.92592592592592593</v>
      </c>
    </row>
    <row r="11" spans="1:29" ht="15">
      <c r="A11" s="367"/>
      <c r="B11" s="364" t="s">
        <v>1689</v>
      </c>
      <c r="C11" s="368">
        <v>2.48</v>
      </c>
      <c r="D11" s="119">
        <v>100</v>
      </c>
      <c r="E11" s="368">
        <v>2</v>
      </c>
      <c r="F11" s="119">
        <f>LOOKUP(E11,79:79,80:80)-LOOKUP(C11,79:79,80:80)+100</f>
        <v>100</v>
      </c>
      <c r="G11" s="369">
        <v>2.2000000000000002</v>
      </c>
      <c r="H11" s="119">
        <f>LOOKUP(G11,79:79,80:80)-LOOKUP(C11,79:79,80:80)+100</f>
        <v>100</v>
      </c>
      <c r="I11" s="368">
        <v>2.3199999999999998</v>
      </c>
      <c r="J11" s="119">
        <f>LOOKUP(I11,79:79,80:80)-LOOKUP(C11,79:79,80:80)+100</f>
        <v>100</v>
      </c>
      <c r="K11" s="593">
        <v>1</v>
      </c>
      <c r="L11" s="2489"/>
      <c r="M11" s="2485"/>
      <c r="N11" s="2485"/>
      <c r="O11" s="2540"/>
      <c r="P11" s="3395"/>
      <c r="Q11" s="530" t="str">
        <f t="shared" si="6"/>
        <v>容积率</v>
      </c>
      <c r="R11" s="664" t="s">
        <v>14</v>
      </c>
      <c r="S11" s="665">
        <f t="shared" si="0"/>
        <v>100</v>
      </c>
      <c r="T11" s="664" t="s">
        <v>14</v>
      </c>
      <c r="U11" s="665">
        <f t="shared" si="1"/>
        <v>100</v>
      </c>
      <c r="V11" s="664" t="s">
        <v>14</v>
      </c>
      <c r="W11" s="665">
        <f t="shared" si="2"/>
        <v>100</v>
      </c>
      <c r="X11" s="666"/>
      <c r="Y11" s="3333"/>
      <c r="Z11" s="50" t="str">
        <f t="shared" si="7"/>
        <v>容积率</v>
      </c>
      <c r="AA11" s="50">
        <f t="shared" si="3"/>
        <v>1</v>
      </c>
      <c r="AB11" s="50">
        <f t="shared" si="4"/>
        <v>1</v>
      </c>
      <c r="AC11" s="50">
        <f t="shared" si="5"/>
        <v>1</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95"/>
      <c r="Q12" s="530" t="str">
        <f t="shared" si="6"/>
        <v>配建</v>
      </c>
      <c r="R12" s="664" t="s">
        <v>14</v>
      </c>
      <c r="S12" s="665">
        <f t="shared" si="0"/>
        <v>100</v>
      </c>
      <c r="T12" s="664" t="s">
        <v>14</v>
      </c>
      <c r="U12" s="665">
        <f t="shared" si="1"/>
        <v>100</v>
      </c>
      <c r="V12" s="664" t="s">
        <v>14</v>
      </c>
      <c r="W12" s="665">
        <f t="shared" si="2"/>
        <v>100</v>
      </c>
      <c r="X12" s="666"/>
      <c r="Y12" s="3333"/>
      <c r="Z12" s="50" t="str">
        <f t="shared" si="7"/>
        <v>配建</v>
      </c>
      <c r="AA12" s="50">
        <f>D12/F12</f>
        <v>1</v>
      </c>
      <c r="AB12" s="50">
        <f>D12/H12</f>
        <v>1</v>
      </c>
      <c r="AC12" s="50">
        <f>D12/J12</f>
        <v>1</v>
      </c>
    </row>
    <row r="13" spans="1:29" ht="28.8">
      <c r="A13" s="367"/>
      <c r="B13" s="3513" t="s">
        <v>3567</v>
      </c>
      <c r="C13" s="371"/>
      <c r="D13" s="374">
        <v>100</v>
      </c>
      <c r="E13" s="403"/>
      <c r="F13" s="119">
        <f>SUMIF(83:83,E13,84:84)-SUMIF(83:83,C13,84:84)+100</f>
        <v>100</v>
      </c>
      <c r="G13" s="403"/>
      <c r="H13" s="374">
        <f>SUMIF(83:83,G13,84:84)-SUMIF(83:83,C13,84:84)+100</f>
        <v>100</v>
      </c>
      <c r="I13" s="403"/>
      <c r="J13" s="374">
        <f>SUMIF(83:83,I13,84:84)-SUMIF(83:83,C13,84:84)+100</f>
        <v>100</v>
      </c>
      <c r="K13" s="592"/>
      <c r="L13" s="2490"/>
      <c r="M13" s="2485"/>
      <c r="N13" s="2485"/>
      <c r="O13" s="2540"/>
      <c r="P13" s="3395"/>
      <c r="Q13" s="530" t="str">
        <f t="shared" si="6"/>
        <v>土地使用年限（年）</v>
      </c>
      <c r="R13" s="664" t="s">
        <v>14</v>
      </c>
      <c r="S13" s="665">
        <f t="shared" si="0"/>
        <v>100</v>
      </c>
      <c r="T13" s="664" t="s">
        <v>14</v>
      </c>
      <c r="U13" s="665">
        <f t="shared" si="1"/>
        <v>100</v>
      </c>
      <c r="V13" s="664" t="s">
        <v>14</v>
      </c>
      <c r="W13" s="665">
        <f t="shared" si="2"/>
        <v>100</v>
      </c>
      <c r="X13" s="666"/>
      <c r="Y13" s="3333"/>
      <c r="Z13" s="50" t="str">
        <f t="shared" si="7"/>
        <v>土地使用年限（年）</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95"/>
      <c r="Q14" s="530">
        <f t="shared" si="6"/>
        <v>111</v>
      </c>
      <c r="R14" s="664" t="s">
        <v>14</v>
      </c>
      <c r="S14" s="665">
        <f t="shared" si="0"/>
        <v>100</v>
      </c>
      <c r="T14" s="664" t="s">
        <v>14</v>
      </c>
      <c r="U14" s="665">
        <f t="shared" si="1"/>
        <v>100</v>
      </c>
      <c r="V14" s="664" t="s">
        <v>14</v>
      </c>
      <c r="W14" s="665">
        <f t="shared" si="2"/>
        <v>100</v>
      </c>
      <c r="X14" s="666"/>
      <c r="Y14" s="3333"/>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96" t="s">
        <v>1691</v>
      </c>
      <c r="Q15" s="1262" t="str">
        <f t="shared" si="6"/>
        <v>居住社区成熟度</v>
      </c>
      <c r="R15" s="667" t="s">
        <v>14</v>
      </c>
      <c r="S15" s="668">
        <f t="shared" si="0"/>
        <v>100</v>
      </c>
      <c r="T15" s="667" t="s">
        <v>14</v>
      </c>
      <c r="U15" s="668">
        <f t="shared" si="1"/>
        <v>100</v>
      </c>
      <c r="V15" s="667" t="s">
        <v>14</v>
      </c>
      <c r="W15" s="668">
        <f t="shared" si="2"/>
        <v>100</v>
      </c>
      <c r="X15" s="1264"/>
      <c r="Y15" s="3396"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397"/>
      <c r="Q16" s="1262"/>
      <c r="R16" s="667"/>
      <c r="S16" s="668"/>
      <c r="T16" s="667"/>
      <c r="U16" s="668"/>
      <c r="V16" s="667"/>
      <c r="W16" s="668"/>
      <c r="X16" s="1264"/>
      <c r="Y16" s="3397"/>
      <c r="Z16" s="1263"/>
      <c r="AA16" s="1263">
        <v>1</v>
      </c>
      <c r="AB16" s="1263">
        <v>1</v>
      </c>
      <c r="AC16" s="1263">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97"/>
      <c r="Q17" s="1262" t="str">
        <f>B17</f>
        <v>商业繁华度</v>
      </c>
      <c r="R17" s="667" t="s">
        <v>14</v>
      </c>
      <c r="S17" s="668">
        <f>F17</f>
        <v>100</v>
      </c>
      <c r="T17" s="667" t="s">
        <v>14</v>
      </c>
      <c r="U17" s="668">
        <f>H17</f>
        <v>100</v>
      </c>
      <c r="V17" s="667" t="s">
        <v>14</v>
      </c>
      <c r="W17" s="668">
        <f>J17</f>
        <v>100</v>
      </c>
      <c r="X17" s="1264"/>
      <c r="Y17" s="3397"/>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397"/>
      <c r="Q18" s="1262"/>
      <c r="R18" s="667"/>
      <c r="S18" s="668"/>
      <c r="T18" s="667"/>
      <c r="U18" s="668"/>
      <c r="V18" s="667"/>
      <c r="W18" s="668"/>
      <c r="X18" s="1264"/>
      <c r="Y18" s="3397"/>
      <c r="Z18" s="1263"/>
      <c r="AA18" s="1263">
        <v>1</v>
      </c>
      <c r="AB18" s="1263">
        <v>1</v>
      </c>
      <c r="AC18" s="1263">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97"/>
      <c r="Q19" s="1262" t="str">
        <f>B19</f>
        <v>办公集聚程度</v>
      </c>
      <c r="R19" s="667" t="s">
        <v>14</v>
      </c>
      <c r="S19" s="668">
        <f>F19</f>
        <v>100</v>
      </c>
      <c r="T19" s="667" t="s">
        <v>14</v>
      </c>
      <c r="U19" s="668">
        <f>H19</f>
        <v>100</v>
      </c>
      <c r="V19" s="667" t="s">
        <v>14</v>
      </c>
      <c r="W19" s="668">
        <f>J19</f>
        <v>100</v>
      </c>
      <c r="X19" s="1264"/>
      <c r="Y19" s="3397"/>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397"/>
      <c r="Q20" s="1262"/>
      <c r="R20" s="667"/>
      <c r="S20" s="668"/>
      <c r="T20" s="667"/>
      <c r="U20" s="668"/>
      <c r="V20" s="667"/>
      <c r="W20" s="668"/>
      <c r="X20" s="1264"/>
      <c r="Y20" s="3397"/>
      <c r="Z20" s="1263"/>
      <c r="AA20" s="1263">
        <v>1</v>
      </c>
      <c r="AB20" s="1263">
        <v>1</v>
      </c>
      <c r="AC20" s="1263">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97"/>
      <c r="Q21" s="1262" t="str">
        <f>B21</f>
        <v>交通便捷度</v>
      </c>
      <c r="R21" s="667" t="s">
        <v>14</v>
      </c>
      <c r="S21" s="668">
        <f>F21</f>
        <v>100</v>
      </c>
      <c r="T21" s="667" t="s">
        <v>14</v>
      </c>
      <c r="U21" s="668">
        <f>H21</f>
        <v>100</v>
      </c>
      <c r="V21" s="667" t="s">
        <v>14</v>
      </c>
      <c r="W21" s="668">
        <f>J21</f>
        <v>100</v>
      </c>
      <c r="X21" s="1264"/>
      <c r="Y21" s="3397"/>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397"/>
      <c r="Q22" s="1262"/>
      <c r="R22" s="667"/>
      <c r="S22" s="668"/>
      <c r="T22" s="667"/>
      <c r="U22" s="668"/>
      <c r="V22" s="667"/>
      <c r="W22" s="668"/>
      <c r="X22" s="1264"/>
      <c r="Y22" s="3397"/>
      <c r="Z22" s="1263"/>
      <c r="AA22" s="1263">
        <v>1</v>
      </c>
      <c r="AB22" s="1263">
        <v>1</v>
      </c>
      <c r="AC22" s="1263">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97"/>
      <c r="Q23" s="1262" t="str">
        <f t="shared" ref="Q23:Q37" si="8">B23</f>
        <v>区域土地利用方向</v>
      </c>
      <c r="R23" s="667" t="s">
        <v>14</v>
      </c>
      <c r="S23" s="668">
        <f>F23</f>
        <v>100</v>
      </c>
      <c r="T23" s="667" t="s">
        <v>14</v>
      </c>
      <c r="U23" s="668">
        <f>H23</f>
        <v>100</v>
      </c>
      <c r="V23" s="667" t="s">
        <v>14</v>
      </c>
      <c r="W23" s="668">
        <f>J23</f>
        <v>100</v>
      </c>
      <c r="X23" s="1264"/>
      <c r="Y23" s="3397"/>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397"/>
      <c r="Q24" s="1262"/>
      <c r="R24" s="667"/>
      <c r="S24" s="668"/>
      <c r="T24" s="667"/>
      <c r="U24" s="668"/>
      <c r="V24" s="667"/>
      <c r="W24" s="668"/>
      <c r="X24" s="1264"/>
      <c r="Y24" s="3397"/>
      <c r="Z24" s="1263"/>
      <c r="AA24" s="1263"/>
      <c r="AB24" s="1263"/>
      <c r="AC24" s="1263"/>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97"/>
      <c r="Q25" s="1262" t="str">
        <f t="shared" si="8"/>
        <v>自然及人文环境状况</v>
      </c>
      <c r="R25" s="667" t="s">
        <v>14</v>
      </c>
      <c r="S25" s="668">
        <f>F25</f>
        <v>100</v>
      </c>
      <c r="T25" s="667" t="s">
        <v>14</v>
      </c>
      <c r="U25" s="668">
        <f>H25</f>
        <v>100</v>
      </c>
      <c r="V25" s="667" t="s">
        <v>14</v>
      </c>
      <c r="W25" s="668">
        <f>J25</f>
        <v>100</v>
      </c>
      <c r="X25" s="1264"/>
      <c r="Y25" s="3397"/>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397"/>
      <c r="Q26" s="1262"/>
      <c r="R26" s="667"/>
      <c r="S26" s="668"/>
      <c r="T26" s="667"/>
      <c r="U26" s="668"/>
      <c r="V26" s="667"/>
      <c r="W26" s="668"/>
      <c r="X26" s="1264"/>
      <c r="Y26" s="3397"/>
      <c r="Z26" s="1263"/>
      <c r="AA26" s="1263">
        <v>1</v>
      </c>
      <c r="AB26" s="1263">
        <v>1</v>
      </c>
      <c r="AC26" s="1263">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97"/>
      <c r="Q27" s="530" t="str">
        <f t="shared" si="8"/>
        <v>公共配套设施</v>
      </c>
      <c r="R27" s="664" t="s">
        <v>14</v>
      </c>
      <c r="S27" s="665">
        <f>F27</f>
        <v>100</v>
      </c>
      <c r="T27" s="664" t="s">
        <v>14</v>
      </c>
      <c r="U27" s="665">
        <f>H27</f>
        <v>100</v>
      </c>
      <c r="V27" s="664" t="s">
        <v>14</v>
      </c>
      <c r="W27" s="665">
        <f>J27</f>
        <v>100</v>
      </c>
      <c r="X27" s="666"/>
      <c r="Y27" s="3397"/>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6"/>
      <c r="M28" s="2438"/>
      <c r="N28" s="2438"/>
      <c r="O28" s="2538"/>
      <c r="P28" s="3397"/>
      <c r="Q28" s="530"/>
      <c r="R28" s="664"/>
      <c r="S28" s="665"/>
      <c r="T28" s="664"/>
      <c r="U28" s="665"/>
      <c r="V28" s="664"/>
      <c r="W28" s="665"/>
      <c r="X28" s="666"/>
      <c r="Y28" s="3397"/>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97"/>
      <c r="Q29" s="530" t="str">
        <f t="shared" ref="Q29" si="9">B29</f>
        <v>基础设施水平</v>
      </c>
      <c r="R29" s="664" t="s">
        <v>14</v>
      </c>
      <c r="S29" s="665">
        <f>F29</f>
        <v>100</v>
      </c>
      <c r="T29" s="664" t="s">
        <v>14</v>
      </c>
      <c r="U29" s="665">
        <f>H29</f>
        <v>100</v>
      </c>
      <c r="V29" s="664" t="s">
        <v>14</v>
      </c>
      <c r="W29" s="665">
        <f>J29</f>
        <v>100</v>
      </c>
      <c r="X29" s="666"/>
      <c r="Y29" s="3397"/>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6"/>
      <c r="M30" s="2438"/>
      <c r="N30" s="2438"/>
      <c r="O30" s="2538"/>
      <c r="P30" s="3397"/>
      <c r="Q30" s="530"/>
      <c r="R30" s="664"/>
      <c r="S30" s="665"/>
      <c r="T30" s="664"/>
      <c r="U30" s="665"/>
      <c r="V30" s="664"/>
      <c r="W30" s="665"/>
      <c r="X30" s="666"/>
      <c r="Y30" s="3397"/>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97"/>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97"/>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97"/>
      <c r="Q32" s="1262" t="str">
        <f t="shared" si="8"/>
        <v>毗邻道路的类型与等级</v>
      </c>
      <c r="R32" s="667" t="s">
        <v>14</v>
      </c>
      <c r="S32" s="668">
        <f t="shared" si="10"/>
        <v>100</v>
      </c>
      <c r="T32" s="667" t="s">
        <v>14</v>
      </c>
      <c r="U32" s="668">
        <f t="shared" si="11"/>
        <v>100</v>
      </c>
      <c r="V32" s="667" t="s">
        <v>14</v>
      </c>
      <c r="W32" s="668">
        <f t="shared" si="12"/>
        <v>100</v>
      </c>
      <c r="X32" s="1264"/>
      <c r="Y32" s="3397"/>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397"/>
      <c r="Q33" s="1262"/>
      <c r="R33" s="667"/>
      <c r="S33" s="668"/>
      <c r="T33" s="667"/>
      <c r="U33" s="668"/>
      <c r="V33" s="667"/>
      <c r="W33" s="668"/>
      <c r="X33" s="1264"/>
      <c r="Y33" s="3397"/>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97"/>
      <c r="Q34" s="1262" t="str">
        <f t="shared" si="8"/>
        <v>土地级别</v>
      </c>
      <c r="R34" s="667" t="s">
        <v>14</v>
      </c>
      <c r="S34" s="668">
        <f t="shared" si="10"/>
        <v>100</v>
      </c>
      <c r="T34" s="667" t="s">
        <v>14</v>
      </c>
      <c r="U34" s="668">
        <f t="shared" si="11"/>
        <v>100</v>
      </c>
      <c r="V34" s="667" t="s">
        <v>14</v>
      </c>
      <c r="W34" s="668">
        <f t="shared" si="12"/>
        <v>100</v>
      </c>
      <c r="X34" s="1264"/>
      <c r="Y34" s="3397"/>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97"/>
      <c r="Q35" s="1262">
        <f t="shared" si="8"/>
        <v>111</v>
      </c>
      <c r="R35" s="667" t="s">
        <v>14</v>
      </c>
      <c r="S35" s="668">
        <f t="shared" si="10"/>
        <v>100</v>
      </c>
      <c r="T35" s="667" t="s">
        <v>14</v>
      </c>
      <c r="U35" s="668">
        <f t="shared" si="11"/>
        <v>100</v>
      </c>
      <c r="V35" s="667" t="s">
        <v>14</v>
      </c>
      <c r="W35" s="668">
        <f t="shared" si="12"/>
        <v>100</v>
      </c>
      <c r="X35" s="1264"/>
      <c r="Y35" s="3397"/>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6" t="s">
        <v>1696</v>
      </c>
      <c r="Q36" s="1262">
        <f t="shared" si="8"/>
        <v>111</v>
      </c>
      <c r="R36" s="667" t="s">
        <v>14</v>
      </c>
      <c r="S36" s="668">
        <f t="shared" si="10"/>
        <v>100</v>
      </c>
      <c r="T36" s="667" t="s">
        <v>14</v>
      </c>
      <c r="U36" s="668">
        <f t="shared" si="11"/>
        <v>100</v>
      </c>
      <c r="V36" s="667" t="s">
        <v>14</v>
      </c>
      <c r="W36" s="668">
        <f t="shared" si="12"/>
        <v>100</v>
      </c>
      <c r="X36" s="1264"/>
      <c r="Y36" s="3401" t="s">
        <v>1696</v>
      </c>
      <c r="Z36" s="1263">
        <f t="shared" si="13"/>
        <v>111</v>
      </c>
      <c r="AA36" s="1263">
        <f t="shared" si="3"/>
        <v>1</v>
      </c>
      <c r="AB36" s="1263">
        <f t="shared" si="4"/>
        <v>1</v>
      </c>
      <c r="AC36" s="1263">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1"/>
      <c r="Q37" s="1262">
        <f t="shared" si="8"/>
        <v>111</v>
      </c>
      <c r="R37" s="669" t="s">
        <v>14</v>
      </c>
      <c r="S37" s="670">
        <f t="shared" si="10"/>
        <v>100</v>
      </c>
      <c r="T37" s="669" t="s">
        <v>14</v>
      </c>
      <c r="U37" s="670">
        <f t="shared" si="11"/>
        <v>100</v>
      </c>
      <c r="V37" s="669" t="s">
        <v>14</v>
      </c>
      <c r="W37" s="670">
        <f t="shared" si="12"/>
        <v>100</v>
      </c>
      <c r="X37" s="671"/>
      <c r="Y37" s="3401"/>
      <c r="Z37" s="672">
        <f t="shared" si="13"/>
        <v>111</v>
      </c>
      <c r="AA37" s="1263">
        <f t="shared" si="3"/>
        <v>1</v>
      </c>
      <c r="AB37" s="1263">
        <f t="shared" si="4"/>
        <v>1</v>
      </c>
      <c r="AC37" s="1263">
        <f t="shared" si="5"/>
        <v>1</v>
      </c>
    </row>
    <row r="38" spans="1:29" ht="15.6">
      <c r="A38" s="409" t="s">
        <v>1694</v>
      </c>
      <c r="B38" s="395" t="s">
        <v>1874</v>
      </c>
      <c r="C38" s="599">
        <v>158800</v>
      </c>
      <c r="D38" s="405">
        <v>100</v>
      </c>
      <c r="E38" s="599">
        <f>土地案例信息!J2</f>
        <v>60828</v>
      </c>
      <c r="F38" s="405">
        <f>LOOKUP(E38,116:116,117:117)-LOOKUP(C38,116:116,117:117)+100</f>
        <v>102</v>
      </c>
      <c r="G38" s="599">
        <f>土地案例信息!J3</f>
        <v>56711</v>
      </c>
      <c r="H38" s="405">
        <f>LOOKUP(G38,116:116,117:117)-LOOKUP(C38,116:116,117:117)+100</f>
        <v>102</v>
      </c>
      <c r="I38" s="462">
        <f>土地案例信息!J4</f>
        <v>70795</v>
      </c>
      <c r="J38" s="405">
        <f>LOOKUP(I38,116:116,117:117)-LOOKUP(C38,116:116,117:117)+100</f>
        <v>102</v>
      </c>
      <c r="K38" s="539"/>
      <c r="L38" s="2490"/>
      <c r="M38" s="2485"/>
      <c r="N38" s="2485"/>
      <c r="O38" s="2540"/>
      <c r="P38" s="3401"/>
      <c r="Q38" s="1262" t="str">
        <f>B38</f>
        <v>宗地面积</v>
      </c>
      <c r="R38" s="667" t="s">
        <v>14</v>
      </c>
      <c r="S38" s="668">
        <f t="shared" si="10"/>
        <v>102</v>
      </c>
      <c r="T38" s="667" t="s">
        <v>14</v>
      </c>
      <c r="U38" s="668">
        <f t="shared" si="11"/>
        <v>102</v>
      </c>
      <c r="V38" s="667" t="s">
        <v>14</v>
      </c>
      <c r="W38" s="668">
        <f t="shared" si="12"/>
        <v>102</v>
      </c>
      <c r="X38" s="1264"/>
      <c r="Y38" s="3401"/>
      <c r="Z38" s="1263" t="str">
        <f t="shared" si="13"/>
        <v>宗地面积</v>
      </c>
      <c r="AA38" s="1263">
        <f t="shared" si="3"/>
        <v>0.98039215686274506</v>
      </c>
      <c r="AB38" s="1263">
        <f t="shared" si="4"/>
        <v>0.98039215686274506</v>
      </c>
      <c r="AC38" s="1263">
        <f t="shared" si="5"/>
        <v>0.98039215686274506</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01"/>
      <c r="Q39" s="1262" t="str">
        <f t="shared" ref="Q39:Q45" si="14">B39</f>
        <v>宗地形状</v>
      </c>
      <c r="R39" s="667" t="s">
        <v>14</v>
      </c>
      <c r="S39" s="668">
        <f t="shared" si="10"/>
        <v>100</v>
      </c>
      <c r="T39" s="667" t="s">
        <v>14</v>
      </c>
      <c r="U39" s="668">
        <f t="shared" si="11"/>
        <v>100</v>
      </c>
      <c r="V39" s="667" t="s">
        <v>14</v>
      </c>
      <c r="W39" s="668">
        <f t="shared" si="12"/>
        <v>100</v>
      </c>
      <c r="X39" s="1264"/>
      <c r="Y39" s="3401"/>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01"/>
      <c r="Q40" s="1262" t="str">
        <f t="shared" si="14"/>
        <v>临街宽度及深度</v>
      </c>
      <c r="R40" s="667" t="s">
        <v>14</v>
      </c>
      <c r="S40" s="668">
        <f t="shared" si="10"/>
        <v>100</v>
      </c>
      <c r="T40" s="667" t="s">
        <v>14</v>
      </c>
      <c r="U40" s="668">
        <f t="shared" si="11"/>
        <v>100</v>
      </c>
      <c r="V40" s="667" t="s">
        <v>14</v>
      </c>
      <c r="W40" s="668">
        <f t="shared" si="12"/>
        <v>100</v>
      </c>
      <c r="X40" s="1264"/>
      <c r="Y40" s="3401"/>
      <c r="Z40" s="1263" t="str">
        <f t="shared" si="13"/>
        <v>临街宽度及深度</v>
      </c>
      <c r="AA40" s="1263">
        <f t="shared" si="3"/>
        <v>1</v>
      </c>
      <c r="AB40" s="1263">
        <f t="shared" si="4"/>
        <v>1</v>
      </c>
      <c r="AC40" s="1263">
        <f t="shared" si="5"/>
        <v>1</v>
      </c>
    </row>
    <row r="41" spans="1:29" s="102" customFormat="1" ht="15">
      <c r="A41" s="410"/>
      <c r="B41" s="364" t="s">
        <v>1877</v>
      </c>
      <c r="C41" s="1827" t="s">
        <v>3568</v>
      </c>
      <c r="D41" s="119">
        <v>100</v>
      </c>
      <c r="E41" s="1827" t="s">
        <v>3574</v>
      </c>
      <c r="F41" s="374">
        <f>SUMIF(122:122,E41,123:123)-SUMIF(122:122,C41,123:123)+100</f>
        <v>96</v>
      </c>
      <c r="G41" s="1827" t="s">
        <v>3570</v>
      </c>
      <c r="H41" s="374">
        <f>SUMIF(122:122,G41,123:123)-SUMIF(122:122,C41,123:123)+100</f>
        <v>99</v>
      </c>
      <c r="I41" s="1827" t="s">
        <v>3570</v>
      </c>
      <c r="J41" s="374">
        <f>SUMIF(122:122,I41,123:123)-SUMIF(122:122,C41,123:123)+100</f>
        <v>99</v>
      </c>
      <c r="K41" s="538">
        <v>1</v>
      </c>
      <c r="L41" s="2486"/>
      <c r="M41" s="2438"/>
      <c r="N41" s="2438"/>
      <c r="O41" s="2538"/>
      <c r="P41" s="3401"/>
      <c r="Q41" s="1262" t="str">
        <f t="shared" si="14"/>
        <v>宗地开发程度</v>
      </c>
      <c r="R41" s="664" t="s">
        <v>14</v>
      </c>
      <c r="S41" s="665">
        <f t="shared" si="10"/>
        <v>96</v>
      </c>
      <c r="T41" s="664" t="s">
        <v>14</v>
      </c>
      <c r="U41" s="665">
        <f t="shared" si="11"/>
        <v>99</v>
      </c>
      <c r="V41" s="664" t="s">
        <v>14</v>
      </c>
      <c r="W41" s="665">
        <f t="shared" si="12"/>
        <v>99</v>
      </c>
      <c r="X41" s="666"/>
      <c r="Y41" s="3401"/>
      <c r="Z41" s="50" t="str">
        <f t="shared" si="13"/>
        <v>宗地开发程度</v>
      </c>
      <c r="AA41" s="50">
        <f t="shared" si="3"/>
        <v>1.0416666666666667</v>
      </c>
      <c r="AB41" s="50">
        <f t="shared" si="4"/>
        <v>1.0101010101010102</v>
      </c>
      <c r="AC41" s="50">
        <f t="shared" si="5"/>
        <v>1.0101010101010102</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01" t="s">
        <v>1696</v>
      </c>
      <c r="Q42" s="1262" t="str">
        <f t="shared" si="14"/>
        <v>工程地质条件</v>
      </c>
      <c r="R42" s="667" t="s">
        <v>14</v>
      </c>
      <c r="S42" s="668">
        <f t="shared" si="10"/>
        <v>100</v>
      </c>
      <c r="T42" s="667" t="s">
        <v>14</v>
      </c>
      <c r="U42" s="668">
        <f t="shared" si="11"/>
        <v>100</v>
      </c>
      <c r="V42" s="667" t="s">
        <v>14</v>
      </c>
      <c r="W42" s="668">
        <f t="shared" si="12"/>
        <v>100</v>
      </c>
      <c r="X42" s="1264"/>
      <c r="Y42" s="3401" t="s">
        <v>1696</v>
      </c>
      <c r="Z42" s="1263" t="str">
        <f t="shared" si="13"/>
        <v>工程地质条件</v>
      </c>
      <c r="AA42" s="1263">
        <f t="shared" si="3"/>
        <v>1</v>
      </c>
      <c r="AB42" s="1263">
        <f t="shared" si="4"/>
        <v>1</v>
      </c>
      <c r="AC42" s="1263">
        <f t="shared" si="5"/>
        <v>1</v>
      </c>
    </row>
    <row r="43" spans="1:29" ht="15">
      <c r="A43" s="409"/>
      <c r="B43" s="3512"/>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1"/>
      <c r="Q43" s="1262">
        <f t="shared" si="14"/>
        <v>0</v>
      </c>
      <c r="R43" s="667" t="s">
        <v>14</v>
      </c>
      <c r="S43" s="668">
        <f t="shared" si="10"/>
        <v>100</v>
      </c>
      <c r="T43" s="667" t="s">
        <v>14</v>
      </c>
      <c r="U43" s="668">
        <f t="shared" si="11"/>
        <v>100</v>
      </c>
      <c r="V43" s="667" t="s">
        <v>14</v>
      </c>
      <c r="W43" s="668">
        <f t="shared" si="12"/>
        <v>100</v>
      </c>
      <c r="X43" s="1264"/>
      <c r="Y43" s="3401"/>
      <c r="Z43" s="1263">
        <f t="shared" si="13"/>
        <v>0</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1"/>
      <c r="Q44" s="1262">
        <f t="shared" si="14"/>
        <v>111</v>
      </c>
      <c r="R44" s="667" t="s">
        <v>14</v>
      </c>
      <c r="S44" s="668">
        <f t="shared" si="10"/>
        <v>100</v>
      </c>
      <c r="T44" s="667" t="s">
        <v>14</v>
      </c>
      <c r="U44" s="668">
        <f t="shared" si="11"/>
        <v>100</v>
      </c>
      <c r="V44" s="667" t="s">
        <v>14</v>
      </c>
      <c r="W44" s="668">
        <f t="shared" si="12"/>
        <v>100</v>
      </c>
      <c r="X44" s="1264"/>
      <c r="Y44" s="3401"/>
      <c r="Z44" s="1263">
        <f t="shared" si="13"/>
        <v>111</v>
      </c>
      <c r="AA44" s="1263">
        <f t="shared" si="3"/>
        <v>1</v>
      </c>
      <c r="AB44" s="1263">
        <f t="shared" si="4"/>
        <v>1</v>
      </c>
      <c r="AC44" s="1263">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1"/>
      <c r="Q45" s="1262">
        <f t="shared" si="14"/>
        <v>111</v>
      </c>
      <c r="R45" s="669" t="s">
        <v>14</v>
      </c>
      <c r="S45" s="670">
        <f t="shared" si="10"/>
        <v>100</v>
      </c>
      <c r="T45" s="669" t="s">
        <v>14</v>
      </c>
      <c r="U45" s="670">
        <f t="shared" si="11"/>
        <v>100</v>
      </c>
      <c r="V45" s="669" t="s">
        <v>14</v>
      </c>
      <c r="W45" s="670">
        <f t="shared" si="12"/>
        <v>100</v>
      </c>
      <c r="X45" s="671"/>
      <c r="Y45" s="3401"/>
      <c r="Z45" s="672">
        <f t="shared" si="13"/>
        <v>111</v>
      </c>
      <c r="AA45" s="1263">
        <f t="shared" si="3"/>
        <v>1</v>
      </c>
      <c r="AB45" s="1263">
        <f t="shared" si="4"/>
        <v>1</v>
      </c>
      <c r="AC45" s="1263">
        <f t="shared" si="5"/>
        <v>1</v>
      </c>
    </row>
    <row r="46" spans="1:29" ht="14.4">
      <c r="A46" s="416" t="s">
        <v>1844</v>
      </c>
      <c r="B46" s="1829" t="s">
        <v>3663</v>
      </c>
      <c r="C46" s="602" t="s">
        <v>0</v>
      </c>
      <c r="D46" s="418"/>
      <c r="E46" s="419">
        <f>土地案例信息!R2</f>
        <v>40023</v>
      </c>
      <c r="F46" s="420"/>
      <c r="G46" s="421">
        <f>土地案例信息!R3</f>
        <v>39322</v>
      </c>
      <c r="H46" s="422"/>
      <c r="I46" s="419">
        <v>43550</v>
      </c>
      <c r="J46" s="422"/>
      <c r="K46" s="674"/>
      <c r="L46" s="2492"/>
      <c r="M46" s="2485"/>
      <c r="N46" s="2485"/>
      <c r="O46" s="2485"/>
      <c r="P46" s="3395" t="str">
        <f>A46</f>
        <v>成交单价</v>
      </c>
      <c r="Q46" s="3395"/>
      <c r="R46" s="3390">
        <f>E46</f>
        <v>40023</v>
      </c>
      <c r="S46" s="3390"/>
      <c r="T46" s="3390">
        <f>G46</f>
        <v>39322</v>
      </c>
      <c r="U46" s="3390"/>
      <c r="V46" s="3390">
        <f>I46</f>
        <v>43550</v>
      </c>
      <c r="W46" s="3390"/>
      <c r="X46" s="385"/>
      <c r="Y46" s="673"/>
      <c r="Z46" s="385"/>
      <c r="AA46" s="385"/>
      <c r="AB46" s="385"/>
      <c r="AC46" s="385"/>
    </row>
    <row r="47" spans="1:29" ht="15" thickBot="1">
      <c r="A47" s="423" t="s">
        <v>1793</v>
      </c>
      <c r="B47" s="603"/>
      <c r="C47" s="426">
        <f>R48</f>
        <v>37945</v>
      </c>
      <c r="D47" s="2140" t="s">
        <v>2136</v>
      </c>
      <c r="E47" s="426">
        <f>R47</f>
        <v>37846</v>
      </c>
      <c r="F47" s="2141"/>
      <c r="G47" s="425">
        <f>T47</f>
        <v>36056</v>
      </c>
      <c r="H47" s="2141"/>
      <c r="I47" s="426">
        <f>V47</f>
        <v>39933</v>
      </c>
      <c r="J47" s="2141"/>
      <c r="K47" s="2143">
        <f>F47+H47+J47</f>
        <v>0</v>
      </c>
      <c r="L47" s="2492"/>
      <c r="M47" s="2485"/>
      <c r="N47" s="2485"/>
      <c r="O47" s="2485"/>
      <c r="P47" s="3395" t="str">
        <f>A47</f>
        <v>比较价值（元/平方米）</v>
      </c>
      <c r="Q47" s="3395"/>
      <c r="R47" s="3448">
        <f>ROUND(PRODUCT(R46,AA7:AA45),0)</f>
        <v>37846</v>
      </c>
      <c r="S47" s="3448"/>
      <c r="T47" s="3448">
        <f>ROUND(PRODUCT(T46,AB7:AB45),0)</f>
        <v>36056</v>
      </c>
      <c r="U47" s="3448"/>
      <c r="V47" s="3448">
        <f>ROUND(PRODUCT(V46,AC7:AC45),0)</f>
        <v>39933</v>
      </c>
      <c r="W47" s="3448"/>
      <c r="X47" s="385"/>
      <c r="Y47" s="385"/>
      <c r="Z47" s="385"/>
      <c r="AA47" s="385"/>
      <c r="AB47" s="385"/>
      <c r="AC47" s="385"/>
    </row>
    <row r="48" spans="1:29" ht="15" thickBot="1">
      <c r="A48" s="427" t="s">
        <v>1879</v>
      </c>
      <c r="B48" s="428"/>
      <c r="C48" s="429">
        <f>R48</f>
        <v>37945</v>
      </c>
      <c r="D48" s="429"/>
      <c r="E48" s="429"/>
      <c r="F48" s="429"/>
      <c r="G48" s="429"/>
      <c r="H48" s="429"/>
      <c r="I48" s="429"/>
      <c r="J48" s="429"/>
      <c r="K48" s="675"/>
      <c r="L48" s="2492"/>
      <c r="M48" s="2485"/>
      <c r="N48" s="2485"/>
      <c r="O48" s="2485"/>
      <c r="P48" s="3392" t="str">
        <f>A48</f>
        <v>估价对象XX用房的比较价值（楼面单价，元/平方米）</v>
      </c>
      <c r="Q48" s="3393"/>
      <c r="R48" s="3449">
        <f>ROUND(IF(D47="简单平均",AVERAGE(R47:W47),R47*F47+T47*H47+V47*J47),0)</f>
        <v>37945</v>
      </c>
      <c r="S48" s="3449"/>
      <c r="T48" s="3449"/>
      <c r="U48" s="3449"/>
      <c r="V48" s="3449"/>
      <c r="W48" s="3449"/>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f>IF(E46&lt;E47,E47/E46-1,E46/E47-1)</f>
        <v>5.7522591555250191E-2</v>
      </c>
      <c r="F51" s="435" t="str">
        <f>IF(OR(E51&gt;=0.3,E51&lt;=-0.3),"超过30%","")</f>
        <v/>
      </c>
      <c r="G51" s="434">
        <f>IF(G46&lt;G47,G47/G46-1,G46/G47-1)</f>
        <v>9.05813179498558E-2</v>
      </c>
      <c r="H51" s="435" t="str">
        <f>IF(OR(G51&gt;=0.3,G51&lt;=-0.3),"超过30%","")</f>
        <v/>
      </c>
      <c r="I51" s="434">
        <f>IF(I46&lt;I47,I47/I46-1,I46/I47-1)</f>
        <v>9.0576715999298729E-2</v>
      </c>
      <c r="J51" s="435"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f>IF(E47&lt;G47,G47/E47-1,E47/G47-1)</f>
        <v>4.9644996671843744E-2</v>
      </c>
      <c r="F52" s="435" t="str">
        <f>IF(OR(E52&gt;=0.2,E52&lt;=-0.2),"超过20%","")</f>
        <v/>
      </c>
      <c r="G52" s="434">
        <f>IF(G47&lt;I47,I47/G47-1,G47/I47-1)</f>
        <v>0.10752717994231187</v>
      </c>
      <c r="H52" s="435" t="str">
        <f>IF(OR(G52&gt;=0.2,G52&lt;=-0.2),"超过20%","")</f>
        <v/>
      </c>
      <c r="I52" s="434">
        <f>IF(I47&lt;E47,E47/I47-1,I47/E47-1)</f>
        <v>5.5144533107858162E-2</v>
      </c>
      <c r="J52" s="435"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f>IF(E46&lt;G46,G46/E46-1,E46/G46-1)</f>
        <v>1.7827170540664294E-2</v>
      </c>
      <c r="F53" s="435" t="str">
        <f>IF(OR(E53&gt;=0.3,E53&lt;=-0.3),"超过30%","")</f>
        <v/>
      </c>
      <c r="G53" s="434">
        <f>IF(G46&lt;I46,I46/G46-1,G46/I46-1)</f>
        <v>0.10752250648491946</v>
      </c>
      <c r="H53" s="435" t="str">
        <f>IF(OR(G53&gt;=0.3,G53&lt;=-0.3),"超过30%","")</f>
        <v/>
      </c>
      <c r="I53" s="434">
        <f>IF(I46&lt;E46,E46/I46-1,I46/E46-1)</f>
        <v>8.8124328511106187E-2</v>
      </c>
      <c r="J53" s="435"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1880</v>
      </c>
      <c r="B55" s="605" t="s">
        <v>1881</v>
      </c>
      <c r="C55" s="1830" t="s">
        <v>1882</v>
      </c>
      <c r="D55" s="1831" t="s">
        <v>1883</v>
      </c>
      <c r="E55" s="606" t="s">
        <v>1884</v>
      </c>
      <c r="F55" s="837" t="s">
        <v>1885</v>
      </c>
      <c r="G55" s="3378" t="s">
        <v>1886</v>
      </c>
      <c r="H55" s="3450"/>
      <c r="I55" s="127" t="s">
        <v>1887</v>
      </c>
      <c r="J55" s="1832">
        <f>项目基本情况!F35</f>
        <v>0</v>
      </c>
      <c r="K55" s="1833" t="s">
        <v>1888</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1889</v>
      </c>
      <c r="B56" s="609">
        <f>C48</f>
        <v>37945</v>
      </c>
      <c r="C56" s="610">
        <v>1</v>
      </c>
      <c r="D56" s="890">
        <v>1</v>
      </c>
      <c r="E56" s="610">
        <f>'数据-汇总表'!E8+'数据-汇总表'!E9</f>
        <v>105.06</v>
      </c>
      <c r="F56" s="833">
        <f t="shared" ref="F56:F64" si="15">ROUND(B56*E56/10000,0)</f>
        <v>399</v>
      </c>
      <c r="G56" s="3377"/>
      <c r="H56" s="339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1890</v>
      </c>
      <c r="B57" s="210">
        <f>ROUND($C$48*C57*D57,0)</f>
        <v>0</v>
      </c>
      <c r="C57" s="163">
        <f t="shared" ref="C57:C64" si="16">IF($C$55="北京市系数",I57,J57)</f>
        <v>0</v>
      </c>
      <c r="D57" s="891">
        <v>0.25</v>
      </c>
      <c r="E57" s="614"/>
      <c r="F57" s="833">
        <f t="shared" si="15"/>
        <v>0</v>
      </c>
      <c r="G57" s="2748" t="s">
        <v>1891</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1892</v>
      </c>
      <c r="B58" s="210">
        <f t="shared" ref="B58:B64" si="17">ROUND($C$48*C58*D58,0)</f>
        <v>0</v>
      </c>
      <c r="C58" s="163">
        <f t="shared" si="16"/>
        <v>0</v>
      </c>
      <c r="D58" s="891">
        <v>0.25</v>
      </c>
      <c r="E58" s="614"/>
      <c r="F58" s="833">
        <f t="shared" si="15"/>
        <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1893</v>
      </c>
      <c r="B59" s="210">
        <f t="shared" si="17"/>
        <v>0</v>
      </c>
      <c r="C59" s="163">
        <f t="shared" si="16"/>
        <v>0</v>
      </c>
      <c r="D59" s="891">
        <v>0.25</v>
      </c>
      <c r="E59" s="614"/>
      <c r="F59" s="833">
        <f t="shared" si="15"/>
        <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1894</v>
      </c>
      <c r="B60" s="210">
        <f t="shared" si="17"/>
        <v>0</v>
      </c>
      <c r="C60" s="163">
        <f t="shared" si="16"/>
        <v>0</v>
      </c>
      <c r="D60" s="891">
        <v>0.25</v>
      </c>
      <c r="E60" s="209">
        <f>'数据-汇总表'!E11</f>
        <v>0</v>
      </c>
      <c r="F60" s="833">
        <f t="shared" si="15"/>
        <v>0</v>
      </c>
      <c r="G60" s="1834" t="s">
        <v>1895</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1896</v>
      </c>
      <c r="B61" s="210">
        <f t="shared" si="17"/>
        <v>0</v>
      </c>
      <c r="C61" s="163">
        <f t="shared" si="16"/>
        <v>0</v>
      </c>
      <c r="D61" s="891">
        <v>0.25</v>
      </c>
      <c r="E61" s="209">
        <f>'数据-汇总表'!E12</f>
        <v>0</v>
      </c>
      <c r="F61" s="833">
        <f t="shared" si="15"/>
        <v>0</v>
      </c>
      <c r="G61" s="839" t="s">
        <v>1897</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1898</v>
      </c>
      <c r="B62" s="210">
        <f t="shared" si="17"/>
        <v>1423</v>
      </c>
      <c r="C62" s="163">
        <f t="shared" si="16"/>
        <v>0.15</v>
      </c>
      <c r="D62" s="891">
        <v>0.25</v>
      </c>
      <c r="E62" s="209">
        <f>'数据-汇总表'!E13</f>
        <v>0</v>
      </c>
      <c r="F62" s="833">
        <f t="shared" si="15"/>
        <v>0</v>
      </c>
      <c r="G62" s="839" t="s">
        <v>1899</v>
      </c>
      <c r="H62" s="834" t="str">
        <f>IF(G62="商业",项目基本情况!B37,IF(G62="办公",项目基本情况!C37,IF(G62="住宅",项目基本情况!D37,项目基本情况!E37)))</f>
        <v>六级</v>
      </c>
      <c r="I62" s="838">
        <f>SUMIF(修正!A57:A68,H62,修正!G57:G68)</f>
        <v>0.15</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1900</v>
      </c>
      <c r="B63" s="210">
        <f t="shared" si="17"/>
        <v>0</v>
      </c>
      <c r="C63" s="163">
        <f t="shared" si="16"/>
        <v>0</v>
      </c>
      <c r="D63" s="891">
        <v>0.25</v>
      </c>
      <c r="E63" s="209">
        <f>'数据-汇总表'!E14</f>
        <v>0</v>
      </c>
      <c r="F63" s="833">
        <f t="shared" si="15"/>
        <v>0</v>
      </c>
      <c r="G63" s="1834" t="s">
        <v>1891</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1901</v>
      </c>
      <c r="B64" s="210">
        <f t="shared" si="17"/>
        <v>0</v>
      </c>
      <c r="C64" s="163">
        <f t="shared" si="16"/>
        <v>0</v>
      </c>
      <c r="D64" s="891">
        <v>0.25</v>
      </c>
      <c r="E64" s="209">
        <f>'数据-汇总表'!E15</f>
        <v>0</v>
      </c>
      <c r="F64" s="833">
        <f t="shared" si="15"/>
        <v>0</v>
      </c>
      <c r="G64" s="1835" t="s">
        <v>1895</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1902</v>
      </c>
      <c r="B65" s="616" t="s">
        <v>22</v>
      </c>
      <c r="C65" s="616" t="s">
        <v>23</v>
      </c>
      <c r="D65" s="616" t="s">
        <v>392</v>
      </c>
      <c r="E65" s="616">
        <f>IF(B46="楼面地价",SUM(E56:E64),'数据-汇总表'!D3)</f>
        <v>105.06</v>
      </c>
      <c r="F65" s="617">
        <f>IF(B46="楼面地价",SUM(F56:F64),ROUND(C48*E65/10000,0))</f>
        <v>399</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29" t="s">
        <v>1903</v>
      </c>
      <c r="B69" s="1046"/>
      <c r="C69" s="1100" t="str">
        <f>YEAR(C67)&amp;"-"&amp;ROUNDUP(MONTH(C67)/3,0)</f>
        <v>2025-1</v>
      </c>
      <c r="D69" s="1100" t="str">
        <f>YEAR(D67)&amp;"-"&amp;ROUNDUP(MONTH(D67)/3,0)</f>
        <v>2024-4</v>
      </c>
      <c r="E69" s="1100" t="str">
        <f t="shared" ref="E69:O69" si="19">YEAR(E67)&amp;"-"&amp;ROUNDUP(MONTH(E67)/3,0)</f>
        <v>2024-3</v>
      </c>
      <c r="F69" s="1100" t="str">
        <f t="shared" si="19"/>
        <v>2024-2</v>
      </c>
      <c r="G69" s="1100" t="str">
        <f t="shared" si="19"/>
        <v>2024-1</v>
      </c>
      <c r="H69" s="1100" t="str">
        <f t="shared" si="19"/>
        <v>2023-4</v>
      </c>
      <c r="I69" s="1100" t="str">
        <f t="shared" si="19"/>
        <v>2023-3</v>
      </c>
      <c r="J69" s="1100" t="str">
        <f t="shared" si="19"/>
        <v>2023-2</v>
      </c>
      <c r="K69" s="1100" t="str">
        <f t="shared" si="19"/>
        <v>2023-1</v>
      </c>
      <c r="L69" s="1100" t="str">
        <f t="shared" si="19"/>
        <v>2022-4</v>
      </c>
      <c r="M69" s="1100" t="str">
        <f t="shared" si="19"/>
        <v>2022-3</v>
      </c>
      <c r="N69" s="1100" t="str">
        <f t="shared" si="19"/>
        <v>2022-2</v>
      </c>
      <c r="O69" s="1100" t="str">
        <f t="shared" si="19"/>
        <v>2022-1</v>
      </c>
      <c r="P69" s="2508"/>
      <c r="Q69" s="2508"/>
      <c r="R69" s="2508"/>
      <c r="S69" s="2508"/>
      <c r="T69" s="2508"/>
      <c r="U69" s="2508"/>
      <c r="V69" s="2508"/>
      <c r="W69" s="2508"/>
      <c r="X69" s="2508"/>
      <c r="Y69" s="2508"/>
      <c r="Z69" s="2508"/>
      <c r="AA69" s="2508"/>
      <c r="AB69" s="2508"/>
      <c r="AC69" s="2508"/>
    </row>
    <row r="70" spans="1:29" s="102" customFormat="1" ht="30" customHeight="1">
      <c r="A70" s="1836" t="s">
        <v>1904</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v>100</v>
      </c>
      <c r="O70" s="6">
        <v>100</v>
      </c>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3515" t="s">
        <v>3578</v>
      </c>
      <c r="D74" s="3515" t="s">
        <v>3579</v>
      </c>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0（含）-2</v>
      </c>
      <c r="D78" s="478" t="str">
        <f t="shared" ref="D78:L78" si="20">D79&amp;"（含）"&amp;"-"&amp;E79</f>
        <v>2（含）-3</v>
      </c>
      <c r="E78" s="478" t="str">
        <f t="shared" si="20"/>
        <v>3（含）-4</v>
      </c>
      <c r="F78" s="478" t="str">
        <f t="shared" si="20"/>
        <v>4（含）-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v>0</v>
      </c>
      <c r="D79" s="480">
        <v>2</v>
      </c>
      <c r="E79" s="480">
        <v>3</v>
      </c>
      <c r="F79" s="480">
        <v>4</v>
      </c>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99</v>
      </c>
      <c r="E80" s="475">
        <f t="shared" si="21"/>
        <v>98</v>
      </c>
      <c r="F80" s="475">
        <f t="shared" si="21"/>
        <v>97</v>
      </c>
      <c r="G80" s="475">
        <f t="shared" si="21"/>
        <v>96</v>
      </c>
      <c r="H80" s="475">
        <f t="shared" si="21"/>
        <v>95</v>
      </c>
      <c r="I80" s="475">
        <f t="shared" si="21"/>
        <v>94</v>
      </c>
      <c r="J80" s="475">
        <f t="shared" si="21"/>
        <v>93</v>
      </c>
      <c r="K80" s="475">
        <f t="shared" si="21"/>
        <v>92</v>
      </c>
      <c r="L80" s="475">
        <f t="shared" si="21"/>
        <v>91</v>
      </c>
      <c r="M80" s="475">
        <f t="shared" si="21"/>
        <v>90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28.8" thickTop="1" thickBot="1">
      <c r="A83" s="484"/>
      <c r="B83" s="469" t="str">
        <f>B13</f>
        <v>土地使用年限（年）</v>
      </c>
      <c r="C83" s="485" t="str">
        <f>'比较法-住宅'!C65</f>
        <v>0-10（含）</v>
      </c>
      <c r="D83" s="485" t="str">
        <f>'比较法-住宅'!D65</f>
        <v>10-20（含）</v>
      </c>
      <c r="E83" s="485" t="str">
        <f>'比较法-住宅'!E65</f>
        <v>20-30（含）</v>
      </c>
      <c r="F83" s="485" t="str">
        <f>'比较法-住宅'!F65</f>
        <v>30-40（含）</v>
      </c>
      <c r="G83" s="485" t="str">
        <f>'比较法-住宅'!G65</f>
        <v>40-50（含）</v>
      </c>
      <c r="H83" s="485" t="str">
        <f>'比较法-住宅'!H65</f>
        <v>50-60（含）</v>
      </c>
      <c r="I83" s="485" t="str">
        <f>'比较法-住宅'!I65</f>
        <v>60-70（含）</v>
      </c>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 thickTop="1" thickBot="1">
      <c r="A84" s="484"/>
      <c r="B84" s="474"/>
      <c r="C84" s="485">
        <f>'比较法-住宅'!C66</f>
        <v>94</v>
      </c>
      <c r="D84" s="485">
        <f>'比较法-住宅'!D66</f>
        <v>95</v>
      </c>
      <c r="E84" s="485">
        <f>'比较法-住宅'!E66</f>
        <v>96</v>
      </c>
      <c r="F84" s="485">
        <f>'比较法-住宅'!F66</f>
        <v>97</v>
      </c>
      <c r="G84" s="485">
        <f>'比较法-住宅'!G66</f>
        <v>98</v>
      </c>
      <c r="H84" s="485">
        <f>'比较法-住宅'!H66</f>
        <v>99</v>
      </c>
      <c r="I84" s="485">
        <f>'比较法-住宅'!I66</f>
        <v>100</v>
      </c>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1905</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1906</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1907</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1908</v>
      </c>
      <c r="D103" s="470" t="s">
        <v>1909</v>
      </c>
      <c r="E103" s="470" t="s">
        <v>1910</v>
      </c>
      <c r="F103" s="470" t="s">
        <v>1911</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1912</v>
      </c>
      <c r="C115" s="461" t="str">
        <f>C116&amp;"(含)"&amp;"-"&amp;D116</f>
        <v>0(含)-50000</v>
      </c>
      <c r="D115" s="461" t="str">
        <f t="shared" ref="D115:M115" si="25">D116&amp;"(含)"&amp;"-"&amp;E116</f>
        <v>50000(含)-100000</v>
      </c>
      <c r="E115" s="461" t="str">
        <f t="shared" si="25"/>
        <v>100000(含)-150000</v>
      </c>
      <c r="F115" s="461" t="str">
        <f t="shared" si="25"/>
        <v>150000(含)-200000</v>
      </c>
      <c r="G115" s="461" t="str">
        <f t="shared" si="25"/>
        <v>200000(含)-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v>0</v>
      </c>
      <c r="D116" s="6">
        <v>50000</v>
      </c>
      <c r="E116" s="6">
        <v>100000</v>
      </c>
      <c r="F116" s="6">
        <v>150000</v>
      </c>
      <c r="G116" s="6">
        <v>200000</v>
      </c>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v>100</v>
      </c>
      <c r="D117" s="521">
        <f>C117-1</f>
        <v>99</v>
      </c>
      <c r="E117" s="521">
        <f t="shared" ref="E117:G117" si="26">D117-1</f>
        <v>98</v>
      </c>
      <c r="F117" s="521">
        <f t="shared" si="26"/>
        <v>97</v>
      </c>
      <c r="G117" s="521">
        <f t="shared" si="26"/>
        <v>96</v>
      </c>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1913</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1914</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1915</v>
      </c>
      <c r="C122" s="3168" t="s">
        <v>3569</v>
      </c>
      <c r="D122" s="3168" t="s">
        <v>3571</v>
      </c>
      <c r="E122" s="3168" t="s">
        <v>3572</v>
      </c>
      <c r="F122" s="3168" t="s">
        <v>3573</v>
      </c>
      <c r="G122" s="3168" t="s">
        <v>3575</v>
      </c>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1916</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0</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algorithmName="SHA-512" hashValue="eJXPlYMFeFlZITSiObotAB16ggqVxl4XN+EsdtiVazCPEyFD0pclb0W2ZNvG7ipVr4xQvPNlOhPndF3zpsXuog==" saltValue="AdLOJQrYNx0hv/NDTcScLg==" spinCount="100000"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8" priority="13" stopIfTrue="1">
      <formula>$F$51="超过30%"</formula>
    </cfRule>
  </conditionalFormatting>
  <conditionalFormatting sqref="E52">
    <cfRule type="expression" dxfId="17" priority="11" stopIfTrue="1">
      <formula>$F$52="超过20%"</formula>
    </cfRule>
  </conditionalFormatting>
  <conditionalFormatting sqref="E53">
    <cfRule type="expression" dxfId="16" priority="10" stopIfTrue="1">
      <formula>$F$53="超过30%"</formula>
    </cfRule>
  </conditionalFormatting>
  <conditionalFormatting sqref="F7:F10 H7:H10 J7:J10 F12:F45 H12:H45 J12:J45">
    <cfRule type="cellIs" dxfId="15" priority="1" operator="notEqual">
      <formula>100</formula>
    </cfRule>
  </conditionalFormatting>
  <conditionalFormatting sqref="F47">
    <cfRule type="expression" dxfId="14" priority="4">
      <formula>$D$47="简单平均"</formula>
    </cfRule>
  </conditionalFormatting>
  <conditionalFormatting sqref="F51:F53 H51:H53 J51:J53">
    <cfRule type="containsText" dxfId="13" priority="14" stopIfTrue="1" operator="containsText" text="超过">
      <formula>NOT(ISERROR(SEARCH("超过",F51)))</formula>
    </cfRule>
  </conditionalFormatting>
  <conditionalFormatting sqref="G51">
    <cfRule type="expression" dxfId="12" priority="9" stopIfTrue="1">
      <formula>$H$53+$H$51="超过30%"</formula>
    </cfRule>
  </conditionalFormatting>
  <conditionalFormatting sqref="G52">
    <cfRule type="expression" dxfId="11" priority="8" stopIfTrue="1">
      <formula>$H$52="超过20%"</formula>
    </cfRule>
  </conditionalFormatting>
  <conditionalFormatting sqref="G53">
    <cfRule type="expression" dxfId="10" priority="12" stopIfTrue="1">
      <formula>$H$53="超过30%"</formula>
    </cfRule>
  </conditionalFormatting>
  <conditionalFormatting sqref="H47">
    <cfRule type="expression" dxfId="9" priority="3">
      <formula>$D$47="简单平均"</formula>
    </cfRule>
  </conditionalFormatting>
  <conditionalFormatting sqref="I51">
    <cfRule type="expression" dxfId="8" priority="7" stopIfTrue="1">
      <formula>$J$51="超过30%"</formula>
    </cfRule>
  </conditionalFormatting>
  <conditionalFormatting sqref="I52">
    <cfRule type="expression" dxfId="7" priority="6" stopIfTrue="1">
      <formula>$J$52="超过20%"</formula>
    </cfRule>
  </conditionalFormatting>
  <conditionalFormatting sqref="I53">
    <cfRule type="expression" dxfId="6" priority="5" stopIfTrue="1">
      <formula>$J$53="超过30%"</formula>
    </cfRule>
  </conditionalFormatting>
  <conditionalFormatting sqref="J47">
    <cfRule type="expression" dxfId="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23" sqref="U23"/>
    </sheetView>
  </sheetViews>
  <sheetFormatPr defaultColWidth="9" defaultRowHeight="13.2"/>
  <cols>
    <col min="1" max="1" width="16"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77" t="s">
        <v>2083</v>
      </c>
      <c r="D1" s="3478"/>
      <c r="E1" s="3478"/>
      <c r="F1" s="3478"/>
      <c r="G1" s="3478"/>
      <c r="H1" s="3478"/>
      <c r="I1" s="3478"/>
      <c r="J1" s="3478"/>
      <c r="K1" s="3478"/>
      <c r="L1" s="3478"/>
      <c r="M1" s="3478"/>
      <c r="N1" s="3478"/>
      <c r="O1" s="3478"/>
      <c r="P1" s="3478"/>
      <c r="Q1" s="3478"/>
      <c r="R1" s="3478"/>
      <c r="S1" s="3479"/>
      <c r="T1" s="929" t="s">
        <v>2084</v>
      </c>
    </row>
    <row r="2" spans="1:45" s="625" customFormat="1" ht="39.6">
      <c r="A2" s="930"/>
      <c r="B2" s="622" t="s">
        <v>2085</v>
      </c>
      <c r="C2" s="14" t="str">
        <f t="shared" ref="C2:L2" si="0">C3&amp;"(含)"&amp;"-"&amp;D3</f>
        <v>0(含)-100</v>
      </c>
      <c r="D2" s="623" t="str">
        <f t="shared" si="0"/>
        <v>100(含)-120</v>
      </c>
      <c r="E2" s="623" t="str">
        <f t="shared" si="0"/>
        <v>120(含)-150</v>
      </c>
      <c r="F2" s="623" t="str">
        <f t="shared" si="0"/>
        <v>150(含)-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'比较法-住宅'!C103</f>
        <v>0</v>
      </c>
      <c r="D3" s="627">
        <f>'比较法-住宅'!D103</f>
        <v>100</v>
      </c>
      <c r="E3" s="627">
        <f>'比较法-住宅'!E103</f>
        <v>120</v>
      </c>
      <c r="F3" s="627">
        <f>'比较法-住宅'!F103</f>
        <v>150</v>
      </c>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'比较法-住宅'!C104</f>
        <v>100</v>
      </c>
      <c r="D4" s="627">
        <f>'比较法-住宅'!D104</f>
        <v>99</v>
      </c>
      <c r="E4" s="627">
        <f>'比较法-住宅'!E104</f>
        <v>98</v>
      </c>
      <c r="F4" s="627">
        <f>'比较法-住宅'!F104</f>
        <v>97</v>
      </c>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6.4">
      <c r="A5" s="925"/>
      <c r="B5" s="3169" t="s">
        <v>3501</v>
      </c>
      <c r="C5" s="940" t="str">
        <f>'比较法-住宅'!C90</f>
        <v>高楼层</v>
      </c>
      <c r="D5" s="940" t="str">
        <f>'比较法-住宅'!D90</f>
        <v>中楼层</v>
      </c>
      <c r="E5" s="940" t="str">
        <f>'比较法-住宅'!E90</f>
        <v>低楼层</v>
      </c>
      <c r="F5" s="1226"/>
      <c r="G5" s="1226"/>
      <c r="H5" s="1226"/>
      <c r="I5" s="1226"/>
      <c r="J5" s="1226"/>
      <c r="K5" s="1226"/>
      <c r="L5" s="1227"/>
      <c r="M5" s="1228"/>
      <c r="N5" s="1228"/>
      <c r="O5" s="1226"/>
      <c r="P5" s="1226"/>
      <c r="Q5" s="1226"/>
      <c r="R5" s="1226"/>
      <c r="S5" s="1229"/>
      <c r="T5" s="943">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98</v>
      </c>
      <c r="E6" s="849">
        <f t="shared" ref="E6:S6" si="7">D6-$T5</f>
        <v>96</v>
      </c>
      <c r="F6" s="1230">
        <f t="shared" si="7"/>
        <v>94</v>
      </c>
      <c r="G6" s="1230">
        <f t="shared" si="7"/>
        <v>92</v>
      </c>
      <c r="H6" s="1230">
        <f t="shared" si="7"/>
        <v>90</v>
      </c>
      <c r="I6" s="1230">
        <f t="shared" si="7"/>
        <v>88</v>
      </c>
      <c r="J6" s="1230">
        <f t="shared" si="7"/>
        <v>86</v>
      </c>
      <c r="K6" s="1230">
        <f t="shared" si="7"/>
        <v>84</v>
      </c>
      <c r="L6" s="1230">
        <f t="shared" si="7"/>
        <v>82</v>
      </c>
      <c r="M6" s="1230">
        <f t="shared" si="7"/>
        <v>80</v>
      </c>
      <c r="N6" s="1230">
        <f t="shared" si="7"/>
        <v>78</v>
      </c>
      <c r="O6" s="1230">
        <f t="shared" si="7"/>
        <v>76</v>
      </c>
      <c r="P6" s="1230">
        <f t="shared" si="7"/>
        <v>74</v>
      </c>
      <c r="Q6" s="1230">
        <f t="shared" si="7"/>
        <v>72</v>
      </c>
      <c r="R6" s="1230">
        <f t="shared" si="7"/>
        <v>70</v>
      </c>
      <c r="S6" s="1230">
        <f t="shared" si="7"/>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2086</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2087</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2091</v>
      </c>
      <c r="B17" s="1986"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2093</v>
      </c>
      <c r="E19" s="1252"/>
      <c r="F19" s="1252"/>
      <c r="G19" s="1252"/>
      <c r="H19" s="996"/>
      <c r="I19" s="151"/>
      <c r="J19" s="151"/>
      <c r="K19" s="151"/>
      <c r="L19" s="151"/>
      <c r="M19" s="151"/>
      <c r="N19" s="151"/>
      <c r="O19" s="151"/>
      <c r="P19" s="151"/>
      <c r="Q19" s="151"/>
      <c r="R19" s="151"/>
      <c r="S19" s="121"/>
    </row>
    <row r="20" spans="1:45" ht="16.2" thickBot="1">
      <c r="A20" s="632" t="s">
        <v>2094</v>
      </c>
      <c r="B20" s="286">
        <f ca="1">IF(D20="——",S22,S22-F20)</f>
        <v>5285</v>
      </c>
      <c r="C20" s="151"/>
      <c r="D20" s="1988" t="s">
        <v>43</v>
      </c>
      <c r="E20" s="1253"/>
      <c r="F20" s="929" t="e">
        <f ca="1">SUMIF(INDIRECT("'"&amp;H20&amp;"'"&amp;"!A:A"),"承租人权益价值",INDIRECT("'"&amp;H20&amp;"'"&amp;"!c:c"))</f>
        <v>#REF!</v>
      </c>
      <c r="G20" s="929" t="s">
        <v>2095</v>
      </c>
      <c r="H20" s="1989"/>
      <c r="I20" s="151"/>
      <c r="J20" s="151"/>
      <c r="K20" s="151"/>
      <c r="L20" s="151"/>
      <c r="M20" s="151"/>
      <c r="N20" s="151"/>
      <c r="O20" s="151"/>
      <c r="P20" s="151"/>
      <c r="Q20" s="151"/>
      <c r="R20" s="151"/>
      <c r="S20" s="121"/>
    </row>
    <row r="21" spans="1:45" ht="15.6">
      <c r="A21" s="632" t="s">
        <v>2096</v>
      </c>
      <c r="B21" s="286">
        <f ca="1">ROUND(B20*10000/B22,0)</f>
        <v>50777</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1040.82</v>
      </c>
      <c r="C22" s="3474" t="s">
        <v>27</v>
      </c>
      <c r="D22" s="3475"/>
      <c r="E22" s="3475"/>
      <c r="F22" s="3475"/>
      <c r="G22" s="3475"/>
      <c r="H22" s="3475"/>
      <c r="I22" s="3475"/>
      <c r="J22" s="3475"/>
      <c r="K22" s="3475"/>
      <c r="L22" s="3475"/>
      <c r="M22" s="3475"/>
      <c r="N22" s="3475"/>
      <c r="O22" s="3475"/>
      <c r="P22" s="3475"/>
      <c r="Q22" s="3476"/>
      <c r="R22" s="21">
        <f ca="1">ROUND(S22*10000/B22,0)</f>
        <v>50777</v>
      </c>
      <c r="S22" s="21">
        <f ca="1">SUM(S24:S10000)</f>
        <v>5285</v>
      </c>
      <c r="U22" s="684" t="s">
        <v>3515</v>
      </c>
    </row>
    <row r="23" spans="1:45" s="9" customFormat="1" ht="24">
      <c r="A23" s="8" t="s">
        <v>2098</v>
      </c>
      <c r="B23" s="8" t="s">
        <v>2099</v>
      </c>
      <c r="C23" s="8" t="s">
        <v>2100</v>
      </c>
      <c r="D23" s="8" t="str">
        <f>B5</f>
        <v>楼层</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v>5471</v>
      </c>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f>'数据-基础表'!G13</f>
        <v>105.06</v>
      </c>
      <c r="C24" s="2568">
        <v>1</v>
      </c>
      <c r="D24" s="2569" t="str">
        <f>信息!N2</f>
        <v>中楼层</v>
      </c>
      <c r="E24" s="2568">
        <v>1</v>
      </c>
      <c r="F24" s="2569"/>
      <c r="G24" s="2568">
        <v>1</v>
      </c>
      <c r="H24" s="2569"/>
      <c r="I24" s="2568">
        <v>1</v>
      </c>
      <c r="J24" s="2569"/>
      <c r="K24" s="2568">
        <v>1</v>
      </c>
      <c r="L24" s="2569"/>
      <c r="M24" s="2568">
        <v>1</v>
      </c>
      <c r="N24" s="2569"/>
      <c r="O24" s="2568">
        <v>1</v>
      </c>
      <c r="P24" s="2569"/>
      <c r="Q24" s="2568">
        <v>1</v>
      </c>
      <c r="R24" s="633">
        <f ca="1">结果表!H102</f>
        <v>50673</v>
      </c>
      <c r="S24" s="634">
        <f t="shared" ref="S24:S54" ca="1" si="11">ROUND(R24*B24/10000,0)</f>
        <v>532</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'数据-基础表'!C14</f>
        <v>1单元11层1102</v>
      </c>
      <c r="B25" s="633">
        <f>'数据-基础表'!G14</f>
        <v>103.65</v>
      </c>
      <c r="C25" s="21">
        <f>IF(B25="",1,(LOOKUP(B25,$3:$3,$4:$4)-LOOKUP($B$24,$3:$3,$4:$4)+100)/100)</f>
        <v>1</v>
      </c>
      <c r="D25" s="3170" t="s">
        <v>3498</v>
      </c>
      <c r="E25" s="21">
        <f>(SUMIF($5:$5,D25,$6:$6)-SUMIF($5:$5,$D$24,$6:$6)+100)/100</f>
        <v>1.02</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51686</v>
      </c>
      <c r="S25" s="308">
        <f t="shared" ca="1" si="11"/>
        <v>536</v>
      </c>
    </row>
    <row r="26" spans="1:45">
      <c r="A26" s="142" t="str">
        <f>'数据-基础表'!C15</f>
        <v>2单元12层1201</v>
      </c>
      <c r="B26" s="633">
        <f>'数据-基础表'!G15</f>
        <v>103.65</v>
      </c>
      <c r="C26" s="21">
        <f t="shared" ref="C26:C89" si="12">IF(B26="",1,(LOOKUP(B26,$3:$3,$4:$4)-LOOKUP($B$24,$3:$3,$4:$4)+100)/100)</f>
        <v>1</v>
      </c>
      <c r="D26" s="3170" t="s">
        <v>3498</v>
      </c>
      <c r="E26" s="21">
        <f t="shared" ref="E26:E89" si="13">(SUMIF($5:$5,D26,$6:$6)-SUMIF($5:$5,$D$24,$6:$6)+100)/100</f>
        <v>1.02</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51686</v>
      </c>
      <c r="S26" s="308">
        <f t="shared" ca="1" si="11"/>
        <v>536</v>
      </c>
    </row>
    <row r="27" spans="1:45">
      <c r="A27" s="142" t="str">
        <f>'数据-基础表'!C16</f>
        <v>3单元11层1102</v>
      </c>
      <c r="B27" s="633">
        <f>'数据-基础表'!G16</f>
        <v>103.21</v>
      </c>
      <c r="C27" s="21">
        <f t="shared" si="12"/>
        <v>1</v>
      </c>
      <c r="D27" s="3170" t="s">
        <v>3498</v>
      </c>
      <c r="E27" s="21">
        <f t="shared" si="13"/>
        <v>1.02</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51686</v>
      </c>
      <c r="S27" s="308">
        <f t="shared" ca="1" si="11"/>
        <v>533</v>
      </c>
    </row>
    <row r="28" spans="1:45">
      <c r="A28" s="142" t="str">
        <f>'数据-基础表'!C17</f>
        <v>4单元2层201</v>
      </c>
      <c r="B28" s="633">
        <f>'数据-基础表'!G17</f>
        <v>103.21</v>
      </c>
      <c r="C28" s="21">
        <f t="shared" si="12"/>
        <v>1</v>
      </c>
      <c r="D28" s="3170" t="s">
        <v>3500</v>
      </c>
      <c r="E28" s="21">
        <f t="shared" si="13"/>
        <v>0.98</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ca="1" si="20"/>
        <v>49660</v>
      </c>
      <c r="S28" s="308">
        <f t="shared" ca="1" si="11"/>
        <v>513</v>
      </c>
    </row>
    <row r="29" spans="1:45">
      <c r="A29" s="142" t="str">
        <f>'数据-基础表'!C18</f>
        <v>4单元11层1101</v>
      </c>
      <c r="B29" s="633">
        <f>'数据-基础表'!G18</f>
        <v>103.21</v>
      </c>
      <c r="C29" s="21">
        <f t="shared" si="12"/>
        <v>1</v>
      </c>
      <c r="D29" s="3170" t="s">
        <v>3498</v>
      </c>
      <c r="E29" s="21">
        <f t="shared" si="13"/>
        <v>1.02</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ca="1" si="20"/>
        <v>51686</v>
      </c>
      <c r="S29" s="308">
        <f t="shared" ca="1" si="11"/>
        <v>533</v>
      </c>
    </row>
    <row r="30" spans="1:45">
      <c r="A30" s="142" t="str">
        <f>'数据-基础表'!C19</f>
        <v>5单元3层301</v>
      </c>
      <c r="B30" s="633">
        <f>'数据-基础表'!G19</f>
        <v>105.06</v>
      </c>
      <c r="C30" s="21">
        <f t="shared" si="12"/>
        <v>1</v>
      </c>
      <c r="D30" s="3170" t="s">
        <v>3500</v>
      </c>
      <c r="E30" s="21">
        <f t="shared" si="13"/>
        <v>0.98</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ca="1" si="20"/>
        <v>49660</v>
      </c>
      <c r="S30" s="308">
        <f t="shared" ca="1" si="11"/>
        <v>522</v>
      </c>
    </row>
    <row r="31" spans="1:45">
      <c r="A31" s="142" t="str">
        <f>'数据-基础表'!C20</f>
        <v>5单元11层1101</v>
      </c>
      <c r="B31" s="633">
        <f>'数据-基础表'!G20</f>
        <v>105.06</v>
      </c>
      <c r="C31" s="21">
        <f t="shared" si="12"/>
        <v>1</v>
      </c>
      <c r="D31" s="3170" t="s">
        <v>3498</v>
      </c>
      <c r="E31" s="21">
        <f t="shared" si="13"/>
        <v>1.02</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ca="1" si="20"/>
        <v>51686</v>
      </c>
      <c r="S31" s="308">
        <f t="shared" ca="1" si="11"/>
        <v>543</v>
      </c>
    </row>
    <row r="32" spans="1:45">
      <c r="A32" s="142" t="str">
        <f>'数据-基础表'!C21</f>
        <v>6单元2层201</v>
      </c>
      <c r="B32" s="633">
        <f>'数据-基础表'!G21</f>
        <v>103.65</v>
      </c>
      <c r="C32" s="21">
        <f t="shared" si="12"/>
        <v>1</v>
      </c>
      <c r="D32" s="3170" t="s">
        <v>3500</v>
      </c>
      <c r="E32" s="21">
        <f t="shared" si="13"/>
        <v>0.98</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ca="1" si="20"/>
        <v>49660</v>
      </c>
      <c r="S32" s="308">
        <f t="shared" ca="1" si="11"/>
        <v>515</v>
      </c>
    </row>
    <row r="33" spans="1:19">
      <c r="A33" s="142" t="str">
        <f>'数据-基础表'!C22</f>
        <v>3单元4层401</v>
      </c>
      <c r="B33" s="633">
        <f>'数据-基础表'!G22</f>
        <v>105.06</v>
      </c>
      <c r="C33" s="21">
        <f t="shared" si="12"/>
        <v>1</v>
      </c>
      <c r="D33" s="3170" t="s">
        <v>3500</v>
      </c>
      <c r="E33" s="21">
        <f t="shared" si="13"/>
        <v>0.98</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ca="1" si="20"/>
        <v>49660</v>
      </c>
      <c r="S33" s="308">
        <f t="shared" ca="1" si="11"/>
        <v>522</v>
      </c>
    </row>
    <row r="34" spans="1:19">
      <c r="A34" s="142"/>
      <c r="B34" s="52"/>
      <c r="C34" s="21">
        <f t="shared" si="12"/>
        <v>1</v>
      </c>
      <c r="D34" s="635"/>
      <c r="E34" s="21">
        <f t="shared" si="13"/>
        <v>0.02</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0.02</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0.02</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0.02</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0.02</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0.02</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0.02</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0.02</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0.02</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0.02</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0.02</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0.02</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0.02</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0.02</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0.02</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0.02</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0.02</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0.02</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0.02</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0.02</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0.02</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0.02</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0.02</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0.02</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0.02</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0.02</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0.02</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0.02</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0.02</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0.02</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0.02</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0.02</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0.02</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0.02</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0.02</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0.02</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0.02</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0.02</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0.02</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0.02</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0.02</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0.02</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0.02</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0.02</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0.02</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0.02</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0.02</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0.02</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0.02</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0.02</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0.02</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0.02</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0.02</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0.02</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0.02</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0.02</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0.02</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0.02</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0.02</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0.02</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0.02</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0.02</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0.02</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0.02</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0.02</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0.02</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0.02</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0.02</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0.02</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0.02</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0.02</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0.02</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0.02</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0.02</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0.02</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0.02</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0.02</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0.02</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0.02</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0.02</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0.02</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0.02</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0.02</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0.02</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0.02</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0.02</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0.02</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0.02</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0.02</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0.02</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0.02</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0.02</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0.02</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0.02</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0.02</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0.02</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0.02</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0.02</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0.02</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0.02</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0.02</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0.02</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0.02</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0.02</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0.02</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0.02</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0.02</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0.02</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0.02</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0.02</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0.02</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0.02</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0.02</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0.02</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0.02</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0.02</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0.02</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0.02</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0.02</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0.02</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0.02</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0.02</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0.02</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0.02</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0.02</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0.02</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0.02</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0.02</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0.02</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0.02</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0.02</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0.02</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0.02</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0.02</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0.02</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0.02</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0.02</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0.02</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0.02</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0.02</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0.02</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0.02</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0.02</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0.02</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0.02</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0.02</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0.02</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0.02</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0.02</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0.02</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0.02</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0.02</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0.02</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0.02</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0.02</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0.02</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0.02</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0.02</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0.02</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0.02</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0.02</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0.02</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0.02</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0.02</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0.02</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0.02</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0.02</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0.02</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0.02</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0.02</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0.02</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0.02</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0.02</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0.02</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0.02</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0.02</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0.02</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0.02</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0.02</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0.02</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0.02</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0.02</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0.02</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0.02</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0.02</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0.02</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0.02</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0.02</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0.02</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0.02</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0.02</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0.02</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0.02</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0.02</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0.02</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0.02</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0.02</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0.02</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0.02</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0.02</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0.02</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0.02</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0.02</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0.02</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0.02</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0.02</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0.02</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0.02</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0.02</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0.02</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0.02</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0.02</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0.02</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0.02</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0.02</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0.02</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0.02</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0.02</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0.02</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0.02</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0.02</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0.02</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0.02</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0.02</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0.02</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0.02</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0.02</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0.02</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0.02</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0.02</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0.02</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0.02</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0.02</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0.02</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0.02</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0.02</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0.02</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0.02</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0.02</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0.02</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0.02</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0.02</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0.02</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0.02</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0.02</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0.02</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0.02</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0.02</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0.02</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0.02</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0.02</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0.02</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0.02</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0.02</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0.02</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0.02</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0.02</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0.02</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0.02</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0.02</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0.02</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0.02</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0.02</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0.02</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0.02</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0.02</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0.02</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0.02</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0.02</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0.02</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0.02</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0.02</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0.02</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0.02</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0.02</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0.02</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0.02</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0.02</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0.02</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0.02</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0.02</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0.02</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0.02</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0.02</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0.02</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0.02</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0.02</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0.02</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0.02</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0.02</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0.02</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0.02</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0.02</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0.02</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0.02</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0.02</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0.02</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0.02</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0.02</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0.02</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0.02</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0.02</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0.02</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0.02</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0.02</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0.02</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0.02</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0.02</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0.02</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0.02</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0.02</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0.02</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0.02</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0.02</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0.02</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0.02</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0.02</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0.02</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0.02</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0.02</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0.02</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0.02</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0.02</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0.02</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0.02</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0.02</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0.02</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0.02</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0.02</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0.02</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0.02</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0.02</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0.02</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0.02</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0.02</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0.02</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0.02</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0.02</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0.02</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0.02</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0.02</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0.02</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0.02</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0.02</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0.02</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0.02</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0.02</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0.02</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0.02</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0.02</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0.02</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0.02</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0.02</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0.02</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0.02</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0.02</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0.02</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0.02</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0.02</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0.02</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0.02</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0.02</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0.02</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0.02</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0.02</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0.02</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0.02</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0.02</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0.02</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0.02</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0.02</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0.02</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0.02</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0.02</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0.02</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0.02</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0.02</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0.02</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0.02</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0.02</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0.02</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0.02</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0.02</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0.02</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0.02</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0.02</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0.02</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0.02</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0.02</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0.02</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0.02</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0.02</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0.02</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0.02</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0.02</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0.02</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0.02</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0.02</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0.02</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0.02</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0.02</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0.02</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0.02</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0.02</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0.02</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0.02</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0.02</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0.02</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0.02</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0.02</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0.02</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0.02</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0.02</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0.02</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0.02</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0.02</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0.02</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0.02</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0.02</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0.02</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0.02</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0.02</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0.02</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0.02</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0.02</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0.02</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0.02</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0.02</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0.02</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0.02</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0.02</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0.02</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0.02</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0.02</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0.02</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0.02</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0.02</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0.02</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0.02</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0.02</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0.02</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0.02</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0.02</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0.02</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0.02</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0.02</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0.02</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0.02</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0.02</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0.02</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0.02</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0.02</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0.02</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0.02</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0.02</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0.02</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0.02</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0.02</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0.02</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0.02</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0.02</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0.02</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0.02</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0.02</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0.02</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0.02</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0.02</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0.02</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0.02</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0.02</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0.02</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0.02</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0.02</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0.02</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0.02</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0.02</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0.02</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0.02</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0.02</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0.02</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0.02</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0.02</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0.02</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0.02</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0.02</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0.02</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0.02</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0.02</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0.02</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0.02</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0.02</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9"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2080</v>
      </c>
      <c r="B1" s="4"/>
      <c r="C1" s="4"/>
      <c r="D1" s="4"/>
      <c r="E1" s="4"/>
      <c r="F1" s="2542"/>
      <c r="G1" s="2542"/>
      <c r="H1" s="2542"/>
      <c r="I1" s="2542"/>
      <c r="J1" s="2542"/>
      <c r="K1" s="2542"/>
      <c r="L1" s="2542"/>
      <c r="M1" s="2542"/>
      <c r="N1" s="2542"/>
      <c r="O1" s="2542"/>
      <c r="P1" s="2542"/>
    </row>
    <row r="2" spans="1:16" ht="15.6">
      <c r="A2" s="1983" t="s">
        <v>2072</v>
      </c>
      <c r="B2" s="2386">
        <f ca="1">SUMIF(B6:B13,"&lt;&gt;#ref!",B6:B13)</f>
        <v>158</v>
      </c>
      <c r="C2" s="1983" t="s">
        <v>2073</v>
      </c>
      <c r="D2" s="1983" t="s">
        <v>2074</v>
      </c>
      <c r="E2" s="2396">
        <f ca="1">SUMIF(E6:E13,"&lt;&gt;#ref!",E6:E13)</f>
        <v>105.06</v>
      </c>
      <c r="F2" s="2542"/>
      <c r="G2" s="2542"/>
      <c r="H2" s="2542"/>
      <c r="I2" s="2542"/>
      <c r="J2" s="2542"/>
      <c r="K2" s="2542"/>
      <c r="L2" s="2542"/>
      <c r="M2" s="2542"/>
      <c r="N2" s="2542"/>
      <c r="O2" s="2542"/>
      <c r="P2" s="2542"/>
    </row>
    <row r="3" spans="1:16" ht="15.6">
      <c r="A3" s="1983" t="s">
        <v>2075</v>
      </c>
      <c r="B3" s="2386">
        <f ca="1">ROUND(B2*10000/E2,0)</f>
        <v>15039</v>
      </c>
      <c r="C3" s="1983" t="s">
        <v>2081</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2076</v>
      </c>
      <c r="B5" s="2394" t="s">
        <v>2077</v>
      </c>
      <c r="C5" s="1984"/>
      <c r="D5" s="2542"/>
      <c r="E5" s="2395" t="s">
        <v>2078</v>
      </c>
      <c r="F5" s="2542"/>
      <c r="G5" s="2542"/>
      <c r="H5" s="2542"/>
      <c r="I5" s="2542"/>
      <c r="J5" s="2542"/>
      <c r="K5" s="2542"/>
      <c r="L5" s="2542"/>
      <c r="M5" s="2542"/>
      <c r="N5" s="2542"/>
      <c r="O5" s="2542"/>
      <c r="P5" s="2542"/>
    </row>
    <row r="6" spans="1:16" ht="15.6">
      <c r="A6" s="2393" t="s">
        <v>2079</v>
      </c>
      <c r="B6" s="2386">
        <f ca="1">SUMIF(INDIRECT("'"&amp;A6&amp;"'"&amp;"!A:A"),"总价",INDIRECT("'"&amp;A6&amp;"'"&amp;"!B:B"))</f>
        <v>158</v>
      </c>
      <c r="C6" s="1983" t="s">
        <v>2073</v>
      </c>
      <c r="D6" s="2542"/>
      <c r="E6" s="2396">
        <f ca="1">SUMIF(INDIRECT("'"&amp;A6&amp;"'"&amp;"!C:C"),"建筑面积",INDIRECT("'"&amp;A6&amp;"'"&amp;"!D:D"))</f>
        <v>105.06</v>
      </c>
      <c r="F6" s="2542"/>
      <c r="G6" s="2542"/>
      <c r="H6" s="2542"/>
      <c r="I6" s="2542"/>
      <c r="J6" s="2542"/>
      <c r="K6" s="2542"/>
      <c r="L6" s="2542"/>
      <c r="M6" s="2542"/>
      <c r="N6" s="2542"/>
      <c r="O6" s="2542"/>
      <c r="P6" s="2542"/>
    </row>
    <row r="7" spans="1:16" ht="15.6">
      <c r="A7" s="2393"/>
      <c r="B7" s="2386" t="e">
        <f ca="1">SUMIF(INDIRECT("'"&amp;A7&amp;"'"&amp;"!A:A"),"总价",INDIRECT("'"&amp;A7&amp;"'"&amp;"!B:B"))</f>
        <v>#REF!</v>
      </c>
      <c r="C7" s="1983" t="s">
        <v>2073</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3" t="s">
        <v>2073</v>
      </c>
      <c r="D8" s="2542"/>
      <c r="E8" s="2396" t="e">
        <f t="shared" ca="1" si="0"/>
        <v>#REF!</v>
      </c>
      <c r="F8" s="2542"/>
      <c r="G8" s="2542"/>
      <c r="H8" s="2542"/>
      <c r="I8" s="2542"/>
      <c r="J8" s="2542"/>
      <c r="K8" s="2542"/>
      <c r="L8" s="2542"/>
      <c r="M8" s="2542"/>
      <c r="N8" s="2542"/>
      <c r="O8" s="2542"/>
      <c r="P8" s="2542"/>
    </row>
    <row r="9" spans="1:16" ht="15.6">
      <c r="A9" s="2393"/>
      <c r="B9" s="2386" t="e">
        <f t="shared" ca="1" si="1"/>
        <v>#REF!</v>
      </c>
      <c r="C9" s="1983" t="s">
        <v>2073</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3" t="s">
        <v>2073</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3" t="s">
        <v>2073</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3" t="s">
        <v>2073</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3" t="s">
        <v>2073</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C2721-9210-4EA3-A379-FC3BFD0F8D14}">
  <sheetPr>
    <tabColor rgb="FF7030A0"/>
  </sheetPr>
  <dimension ref="A1:Q16"/>
  <sheetViews>
    <sheetView topLeftCell="G1" workbookViewId="0">
      <selection activeCell="I33" sqref="I33"/>
    </sheetView>
  </sheetViews>
  <sheetFormatPr defaultRowHeight="14.4"/>
  <cols>
    <col min="2" max="2" width="20.5546875" customWidth="1"/>
    <col min="3" max="3" width="15.88671875" customWidth="1"/>
    <col min="4" max="4" width="20.5546875" customWidth="1"/>
    <col min="6" max="6" width="5.5546875" customWidth="1"/>
    <col min="7" max="7" width="12.5546875" customWidth="1"/>
  </cols>
  <sheetData>
    <row r="1" spans="1:17" ht="28.8">
      <c r="A1" s="1404" t="s">
        <v>3446</v>
      </c>
      <c r="B1" s="3151" t="s">
        <v>3407</v>
      </c>
      <c r="C1" s="3151" t="s">
        <v>3409</v>
      </c>
      <c r="D1" s="3151" t="s">
        <v>3411</v>
      </c>
      <c r="E1" s="3151" t="s">
        <v>3413</v>
      </c>
      <c r="F1" s="3151" t="s">
        <v>3415</v>
      </c>
      <c r="G1" s="3151" t="s">
        <v>3416</v>
      </c>
      <c r="H1" s="3151" t="s">
        <v>3417</v>
      </c>
      <c r="I1" s="3151" t="s">
        <v>3418</v>
      </c>
      <c r="J1" s="3151" t="s">
        <v>3419</v>
      </c>
      <c r="K1" s="3151" t="s">
        <v>3427</v>
      </c>
      <c r="L1" s="3151" t="s">
        <v>3420</v>
      </c>
      <c r="M1" s="3151" t="s">
        <v>3421</v>
      </c>
    </row>
    <row r="2" spans="1:17" ht="28.8">
      <c r="A2">
        <v>1</v>
      </c>
      <c r="B2" s="3151" t="s">
        <v>3408</v>
      </c>
      <c r="C2" s="3151" t="s">
        <v>3410</v>
      </c>
      <c r="D2" s="3151" t="s">
        <v>3412</v>
      </c>
      <c r="E2" s="3151" t="s">
        <v>3414</v>
      </c>
      <c r="F2" s="3152">
        <v>6</v>
      </c>
      <c r="G2" s="3151" t="s">
        <v>3426</v>
      </c>
      <c r="H2" s="3151" t="s">
        <v>3423</v>
      </c>
      <c r="I2" s="3152">
        <v>15</v>
      </c>
      <c r="J2" s="3152">
        <v>8</v>
      </c>
      <c r="K2" s="3152">
        <v>2003</v>
      </c>
      <c r="L2" s="3152">
        <v>105.06</v>
      </c>
      <c r="M2" s="3151" t="s">
        <v>2550</v>
      </c>
      <c r="N2" s="1404" t="s">
        <v>3453</v>
      </c>
    </row>
    <row r="3" spans="1:17" ht="28.8">
      <c r="A3">
        <v>2</v>
      </c>
      <c r="B3" s="3151" t="s">
        <v>3428</v>
      </c>
      <c r="C3" s="3151" t="s">
        <v>3410</v>
      </c>
      <c r="D3" s="3151" t="s">
        <v>3412</v>
      </c>
      <c r="E3" s="3151" t="s">
        <v>3414</v>
      </c>
      <c r="F3" s="3152">
        <v>6</v>
      </c>
      <c r="G3" s="3151" t="s">
        <v>3429</v>
      </c>
      <c r="H3" s="3151" t="s">
        <v>3423</v>
      </c>
      <c r="I3" s="3152">
        <v>15</v>
      </c>
      <c r="J3" s="3152">
        <v>11</v>
      </c>
      <c r="K3" s="3152">
        <v>2003</v>
      </c>
      <c r="L3" s="3152">
        <v>103.65</v>
      </c>
      <c r="M3" s="3151" t="s">
        <v>2550</v>
      </c>
      <c r="N3" s="1404" t="s">
        <v>3455</v>
      </c>
    </row>
    <row r="4" spans="1:17" ht="28.8">
      <c r="A4">
        <v>3</v>
      </c>
      <c r="B4" s="3151" t="s">
        <v>3430</v>
      </c>
      <c r="C4" s="3151" t="s">
        <v>3410</v>
      </c>
      <c r="D4" s="3151" t="s">
        <v>3412</v>
      </c>
      <c r="E4" s="3151" t="s">
        <v>3414</v>
      </c>
      <c r="F4" s="3152">
        <v>6</v>
      </c>
      <c r="G4" s="3151" t="s">
        <v>3431</v>
      </c>
      <c r="H4" s="3151" t="s">
        <v>3423</v>
      </c>
      <c r="I4" s="3152">
        <v>15</v>
      </c>
      <c r="J4" s="3152">
        <v>12</v>
      </c>
      <c r="K4" s="3152">
        <v>2003</v>
      </c>
      <c r="L4" s="3152">
        <v>103.65</v>
      </c>
      <c r="M4" s="3151" t="s">
        <v>2550</v>
      </c>
      <c r="N4" s="1404" t="s">
        <v>3455</v>
      </c>
    </row>
    <row r="5" spans="1:17" ht="28.8">
      <c r="A5">
        <v>4</v>
      </c>
      <c r="B5" s="3151" t="s">
        <v>3432</v>
      </c>
      <c r="C5" s="3151" t="s">
        <v>3410</v>
      </c>
      <c r="D5" s="3151" t="s">
        <v>3412</v>
      </c>
      <c r="E5" s="3151" t="s">
        <v>3414</v>
      </c>
      <c r="F5" s="3152">
        <v>6</v>
      </c>
      <c r="G5" s="3151" t="s">
        <v>3433</v>
      </c>
      <c r="H5" s="3151" t="s">
        <v>3423</v>
      </c>
      <c r="I5" s="3152">
        <v>15</v>
      </c>
      <c r="J5" s="3152">
        <v>11</v>
      </c>
      <c r="K5" s="3152">
        <v>2003</v>
      </c>
      <c r="L5" s="3152">
        <v>103.21</v>
      </c>
      <c r="M5" s="3151" t="s">
        <v>2550</v>
      </c>
      <c r="N5" s="1404" t="s">
        <v>3455</v>
      </c>
      <c r="O5">
        <f>15/3</f>
        <v>5</v>
      </c>
    </row>
    <row r="6" spans="1:17" ht="28.8">
      <c r="A6">
        <v>5</v>
      </c>
      <c r="B6" s="3151" t="s">
        <v>3434</v>
      </c>
      <c r="C6" s="3151" t="s">
        <v>3410</v>
      </c>
      <c r="D6" s="3151" t="s">
        <v>3412</v>
      </c>
      <c r="E6" s="3151" t="s">
        <v>3414</v>
      </c>
      <c r="F6" s="3152">
        <v>6</v>
      </c>
      <c r="G6" s="3151" t="s">
        <v>3435</v>
      </c>
      <c r="H6" s="3151" t="s">
        <v>3423</v>
      </c>
      <c r="I6" s="3152">
        <v>15</v>
      </c>
      <c r="J6" s="3152">
        <v>2</v>
      </c>
      <c r="K6" s="3152">
        <v>2003</v>
      </c>
      <c r="L6" s="3152">
        <v>103.21</v>
      </c>
      <c r="M6" s="3151" t="s">
        <v>2550</v>
      </c>
      <c r="N6" s="1404" t="s">
        <v>3451</v>
      </c>
      <c r="O6" s="1404" t="s">
        <v>3456</v>
      </c>
      <c r="P6" s="1404" t="s">
        <v>3452</v>
      </c>
      <c r="Q6" s="1404" t="s">
        <v>3454</v>
      </c>
    </row>
    <row r="7" spans="1:17" ht="28.8">
      <c r="A7">
        <v>6</v>
      </c>
      <c r="B7" s="3151" t="s">
        <v>3436</v>
      </c>
      <c r="C7" s="3151" t="s">
        <v>3410</v>
      </c>
      <c r="D7" s="3151" t="s">
        <v>3412</v>
      </c>
      <c r="E7" s="3151" t="s">
        <v>3414</v>
      </c>
      <c r="F7" s="3152">
        <v>6</v>
      </c>
      <c r="G7" s="3151" t="s">
        <v>3437</v>
      </c>
      <c r="H7" s="3151" t="s">
        <v>3423</v>
      </c>
      <c r="I7" s="3152">
        <v>15</v>
      </c>
      <c r="J7" s="3152">
        <v>11</v>
      </c>
      <c r="K7" s="3152">
        <v>2003</v>
      </c>
      <c r="L7" s="3152">
        <v>103.21</v>
      </c>
      <c r="M7" s="3151" t="s">
        <v>2550</v>
      </c>
      <c r="N7" s="1404" t="s">
        <v>3455</v>
      </c>
      <c r="O7" s="1404" t="s">
        <v>3451</v>
      </c>
      <c r="P7" s="1404" t="s">
        <v>3453</v>
      </c>
      <c r="Q7" s="1404" t="s">
        <v>3455</v>
      </c>
    </row>
    <row r="8" spans="1:17" ht="28.8">
      <c r="A8">
        <v>7</v>
      </c>
      <c r="B8" s="3151" t="s">
        <v>3438</v>
      </c>
      <c r="C8" s="3151" t="s">
        <v>3410</v>
      </c>
      <c r="D8" s="3151" t="s">
        <v>3412</v>
      </c>
      <c r="E8" s="3151" t="s">
        <v>3414</v>
      </c>
      <c r="F8" s="3152">
        <v>6</v>
      </c>
      <c r="G8" s="3151" t="s">
        <v>3439</v>
      </c>
      <c r="H8" s="3151" t="s">
        <v>3423</v>
      </c>
      <c r="I8" s="3152">
        <v>15</v>
      </c>
      <c r="J8" s="3152">
        <v>3</v>
      </c>
      <c r="K8" s="3152">
        <v>2003</v>
      </c>
      <c r="L8" s="3152">
        <v>105.06</v>
      </c>
      <c r="M8" s="3151" t="s">
        <v>2550</v>
      </c>
      <c r="N8" s="1404" t="s">
        <v>3451</v>
      </c>
    </row>
    <row r="9" spans="1:17" ht="28.8">
      <c r="A9">
        <v>8</v>
      </c>
      <c r="B9" s="3151" t="s">
        <v>3440</v>
      </c>
      <c r="C9" s="3151" t="s">
        <v>3410</v>
      </c>
      <c r="D9" s="3151" t="s">
        <v>3412</v>
      </c>
      <c r="E9" s="3151" t="s">
        <v>3414</v>
      </c>
      <c r="F9" s="3152">
        <v>6</v>
      </c>
      <c r="G9" s="3151" t="s">
        <v>3441</v>
      </c>
      <c r="H9" s="3151" t="s">
        <v>3423</v>
      </c>
      <c r="I9" s="3152">
        <v>15</v>
      </c>
      <c r="J9" s="3152">
        <v>11</v>
      </c>
      <c r="K9" s="3152">
        <v>2003</v>
      </c>
      <c r="L9" s="3152">
        <v>105.06</v>
      </c>
      <c r="M9" s="3151" t="s">
        <v>2550</v>
      </c>
      <c r="N9" s="1404" t="s">
        <v>3455</v>
      </c>
    </row>
    <row r="10" spans="1:17" ht="28.8">
      <c r="A10">
        <v>9</v>
      </c>
      <c r="B10" s="3151" t="s">
        <v>3442</v>
      </c>
      <c r="C10" s="3151" t="s">
        <v>3410</v>
      </c>
      <c r="D10" s="3151" t="s">
        <v>3412</v>
      </c>
      <c r="E10" s="3151" t="s">
        <v>3414</v>
      </c>
      <c r="F10" s="3152">
        <v>6</v>
      </c>
      <c r="G10" s="3151" t="s">
        <v>3443</v>
      </c>
      <c r="H10" s="3151" t="s">
        <v>3423</v>
      </c>
      <c r="I10" s="3152">
        <v>15</v>
      </c>
      <c r="J10" s="3152">
        <v>2</v>
      </c>
      <c r="K10" s="3152">
        <v>2003</v>
      </c>
      <c r="L10" s="3152">
        <v>103.65</v>
      </c>
      <c r="M10" s="3151" t="s">
        <v>2550</v>
      </c>
      <c r="N10" s="1404" t="s">
        <v>3451</v>
      </c>
    </row>
    <row r="11" spans="1:17" ht="28.8">
      <c r="A11">
        <v>10</v>
      </c>
      <c r="B11" s="3151" t="s">
        <v>3444</v>
      </c>
      <c r="C11" s="3151" t="s">
        <v>3410</v>
      </c>
      <c r="D11" s="3151" t="s">
        <v>3412</v>
      </c>
      <c r="E11" s="3151" t="s">
        <v>3414</v>
      </c>
      <c r="F11" s="3152">
        <v>6</v>
      </c>
      <c r="G11" s="3151" t="s">
        <v>3445</v>
      </c>
      <c r="H11" s="3151" t="s">
        <v>3423</v>
      </c>
      <c r="I11" s="3152">
        <v>15</v>
      </c>
      <c r="J11" s="3152">
        <v>4</v>
      </c>
      <c r="K11" s="3152">
        <v>2003</v>
      </c>
      <c r="L11" s="3152">
        <v>105.06</v>
      </c>
      <c r="M11" s="3151" t="s">
        <v>2550</v>
      </c>
      <c r="N11" s="1404" t="s">
        <v>3451</v>
      </c>
    </row>
    <row r="14" spans="1:17" ht="57.6">
      <c r="C14" s="3151" t="s">
        <v>3468</v>
      </c>
    </row>
    <row r="15" spans="1:17" ht="43.2">
      <c r="C15" s="3151" t="s">
        <v>3469</v>
      </c>
    </row>
    <row r="16" spans="1:17" ht="28.8">
      <c r="C16" s="3151" t="s">
        <v>3470</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A7EC1-B23B-4486-A702-8F5C8FB5ED43}">
  <sheetPr>
    <tabColor rgb="FF7030A0"/>
  </sheetPr>
  <dimension ref="A1:N8"/>
  <sheetViews>
    <sheetView workbookViewId="0">
      <selection activeCell="A9" sqref="A9"/>
    </sheetView>
  </sheetViews>
  <sheetFormatPr defaultRowHeight="14.4"/>
  <cols>
    <col min="1" max="1" width="21.6640625" customWidth="1"/>
    <col min="8" max="8" width="11.6640625" bestFit="1" customWidth="1"/>
  </cols>
  <sheetData>
    <row r="1" spans="1:14">
      <c r="B1" s="1404" t="s">
        <v>3477</v>
      </c>
      <c r="C1" s="1404" t="s">
        <v>3476</v>
      </c>
      <c r="D1" s="1404" t="s">
        <v>3475</v>
      </c>
      <c r="E1" s="1404" t="s">
        <v>3474</v>
      </c>
      <c r="F1" s="1404" t="s">
        <v>3473</v>
      </c>
      <c r="L1" s="1404" t="s">
        <v>3492</v>
      </c>
      <c r="M1" s="1404" t="s">
        <v>3494</v>
      </c>
      <c r="N1" s="1404" t="s">
        <v>3493</v>
      </c>
    </row>
    <row r="2" spans="1:14">
      <c r="A2" s="1404" t="s">
        <v>3471</v>
      </c>
      <c r="B2" s="1404" t="s">
        <v>3472</v>
      </c>
      <c r="C2">
        <v>15</v>
      </c>
      <c r="D2">
        <v>8</v>
      </c>
      <c r="E2">
        <v>2002</v>
      </c>
      <c r="F2">
        <v>50025</v>
      </c>
      <c r="G2">
        <v>99.75</v>
      </c>
      <c r="H2" s="3166">
        <v>45666</v>
      </c>
      <c r="M2" s="1404" t="s">
        <v>3495</v>
      </c>
      <c r="N2" s="1404" t="s">
        <v>3496</v>
      </c>
    </row>
    <row r="3" spans="1:14">
      <c r="A3" s="1404" t="s">
        <v>3478</v>
      </c>
      <c r="B3" s="1404" t="s">
        <v>3479</v>
      </c>
      <c r="C3">
        <v>15</v>
      </c>
      <c r="D3">
        <v>9</v>
      </c>
      <c r="E3">
        <v>2002</v>
      </c>
      <c r="F3">
        <v>47234</v>
      </c>
      <c r="G3">
        <v>98.87</v>
      </c>
      <c r="H3" s="3166">
        <v>45643</v>
      </c>
      <c r="M3" s="1404" t="s">
        <v>3391</v>
      </c>
      <c r="N3" s="1404" t="s">
        <v>3497</v>
      </c>
    </row>
    <row r="4" spans="1:14">
      <c r="A4" s="1404" t="s">
        <v>3481</v>
      </c>
      <c r="B4" s="1404" t="s">
        <v>3480</v>
      </c>
      <c r="C4">
        <v>26</v>
      </c>
      <c r="D4">
        <v>14</v>
      </c>
      <c r="E4">
        <v>2003</v>
      </c>
      <c r="F4">
        <v>48253</v>
      </c>
      <c r="G4">
        <v>134.5</v>
      </c>
      <c r="H4" s="3166">
        <v>45510</v>
      </c>
    </row>
    <row r="8" spans="1:14">
      <c r="A8" s="1404" t="s">
        <v>3664</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9C0A4-74A7-4F25-9E34-658A314C5623}">
  <sheetPr>
    <tabColor rgb="FF7030A0"/>
  </sheetPr>
  <dimension ref="A1:BM8"/>
  <sheetViews>
    <sheetView workbookViewId="0">
      <selection activeCell="E9" sqref="E9"/>
    </sheetView>
  </sheetViews>
  <sheetFormatPr defaultRowHeight="14.4"/>
  <cols>
    <col min="11" max="11" width="4" customWidth="1"/>
    <col min="14" max="14" width="5.44140625" customWidth="1"/>
  </cols>
  <sheetData>
    <row r="1" spans="1:65" s="1155" customFormat="1" ht="15.6">
      <c r="A1" s="1155" t="s">
        <v>3516</v>
      </c>
      <c r="B1" s="1155" t="s">
        <v>3603</v>
      </c>
      <c r="C1" s="1155" t="s">
        <v>3580</v>
      </c>
      <c r="D1" s="1155" t="s">
        <v>3517</v>
      </c>
      <c r="E1" s="1155" t="s">
        <v>3518</v>
      </c>
      <c r="F1" s="1155" t="s">
        <v>3604</v>
      </c>
      <c r="G1" s="1155" t="s">
        <v>3519</v>
      </c>
      <c r="H1" s="1155" t="s">
        <v>3520</v>
      </c>
      <c r="I1" s="1155" t="s">
        <v>3521</v>
      </c>
      <c r="J1" s="1155" t="s">
        <v>3522</v>
      </c>
      <c r="K1" s="1155" t="s">
        <v>3605</v>
      </c>
      <c r="L1" s="1155" t="s">
        <v>3606</v>
      </c>
      <c r="M1" s="1155" t="s">
        <v>3607</v>
      </c>
      <c r="N1" s="1155" t="s">
        <v>3608</v>
      </c>
      <c r="O1" s="1155" t="s">
        <v>3523</v>
      </c>
      <c r="P1" s="1155" t="s">
        <v>3524</v>
      </c>
      <c r="Q1" s="1155" t="s">
        <v>3609</v>
      </c>
      <c r="R1" s="1155" t="s">
        <v>3539</v>
      </c>
      <c r="S1" s="1155" t="s">
        <v>3525</v>
      </c>
      <c r="T1" s="1155" t="s">
        <v>3526</v>
      </c>
      <c r="U1" s="1155" t="s">
        <v>3527</v>
      </c>
      <c r="V1" s="1155" t="s">
        <v>3610</v>
      </c>
      <c r="W1" s="1155" t="s">
        <v>3611</v>
      </c>
      <c r="X1" s="1155" t="s">
        <v>3612</v>
      </c>
      <c r="Y1" s="1155" t="s">
        <v>3528</v>
      </c>
      <c r="Z1" s="1155" t="s">
        <v>3581</v>
      </c>
      <c r="AA1" s="1155" t="s">
        <v>3613</v>
      </c>
      <c r="AB1" s="1155" t="s">
        <v>3529</v>
      </c>
      <c r="AC1" s="1155" t="s">
        <v>3530</v>
      </c>
      <c r="AD1" s="1155" t="s">
        <v>3614</v>
      </c>
      <c r="AE1" s="1155" t="s">
        <v>3615</v>
      </c>
      <c r="AF1" s="1155" t="s">
        <v>3616</v>
      </c>
      <c r="AG1" s="1155" t="s">
        <v>3617</v>
      </c>
      <c r="AH1" s="1155" t="s">
        <v>3531</v>
      </c>
      <c r="AI1" s="1155" t="s">
        <v>3532</v>
      </c>
      <c r="AJ1" s="1155" t="s">
        <v>3618</v>
      </c>
      <c r="AK1" s="1155" t="s">
        <v>3533</v>
      </c>
      <c r="AL1" s="1155" t="s">
        <v>3534</v>
      </c>
      <c r="AM1" s="1155" t="s">
        <v>3535</v>
      </c>
      <c r="AN1" s="1155" t="s">
        <v>3619</v>
      </c>
      <c r="AO1" s="1155" t="s">
        <v>3536</v>
      </c>
      <c r="AP1" s="1155" t="s">
        <v>3620</v>
      </c>
      <c r="AQ1" s="1155" t="s">
        <v>3621</v>
      </c>
      <c r="AR1" s="1155" t="s">
        <v>3537</v>
      </c>
      <c r="AS1" s="1155" t="s">
        <v>3622</v>
      </c>
      <c r="AT1" s="1155" t="s">
        <v>3582</v>
      </c>
      <c r="AU1" s="1155" t="s">
        <v>3623</v>
      </c>
      <c r="AV1" s="1155" t="s">
        <v>3538</v>
      </c>
      <c r="AW1" s="1155" t="s">
        <v>3624</v>
      </c>
      <c r="AX1" s="1155" t="s">
        <v>3625</v>
      </c>
      <c r="AY1" s="1155" t="s">
        <v>3626</v>
      </c>
      <c r="AZ1" s="1155" t="s">
        <v>3540</v>
      </c>
      <c r="BA1" s="1155" t="s">
        <v>3627</v>
      </c>
      <c r="BB1" s="1155" t="s">
        <v>3628</v>
      </c>
      <c r="BC1" s="1155" t="s">
        <v>3629</v>
      </c>
      <c r="BD1" s="1155" t="s">
        <v>3630</v>
      </c>
      <c r="BE1" s="1155" t="s">
        <v>3631</v>
      </c>
      <c r="BF1" s="1155" t="s">
        <v>3632</v>
      </c>
      <c r="BG1" s="1155" t="s">
        <v>3633</v>
      </c>
      <c r="BH1" s="1155" t="s">
        <v>3634</v>
      </c>
      <c r="BI1" s="1155" t="s">
        <v>3635</v>
      </c>
      <c r="BJ1" s="1155" t="s">
        <v>3636</v>
      </c>
      <c r="BK1" s="1155" t="s">
        <v>3637</v>
      </c>
      <c r="BL1" s="1155" t="s">
        <v>3638</v>
      </c>
      <c r="BM1" s="1155" t="s">
        <v>3639</v>
      </c>
    </row>
    <row r="2" spans="1:65" s="3510" customFormat="1">
      <c r="A2" s="3510" t="s">
        <v>3583</v>
      </c>
      <c r="B2" s="3510" t="s">
        <v>3640</v>
      </c>
      <c r="C2" s="3510" t="s">
        <v>3405</v>
      </c>
      <c r="D2" s="3510" t="s">
        <v>3641</v>
      </c>
      <c r="E2" s="3510" t="s">
        <v>3584</v>
      </c>
      <c r="F2" s="3510" t="s">
        <v>3585</v>
      </c>
      <c r="G2" s="3510" t="s">
        <v>3585</v>
      </c>
      <c r="H2" s="3510" t="s">
        <v>3586</v>
      </c>
      <c r="I2" s="3510">
        <v>30414.3</v>
      </c>
      <c r="J2" s="3510">
        <v>60828</v>
      </c>
      <c r="K2" s="3510">
        <v>0</v>
      </c>
      <c r="L2" s="3510">
        <v>0</v>
      </c>
      <c r="M2" s="3510">
        <v>0</v>
      </c>
      <c r="N2" s="3510">
        <v>0</v>
      </c>
      <c r="O2" s="3510" t="s">
        <v>3553</v>
      </c>
      <c r="P2" s="3510" t="s">
        <v>3554</v>
      </c>
      <c r="Q2" s="3516" t="s">
        <v>3662</v>
      </c>
      <c r="R2" s="3510">
        <v>40023</v>
      </c>
      <c r="S2" s="3510" t="s">
        <v>3556</v>
      </c>
      <c r="T2" s="3510" t="s">
        <v>3587</v>
      </c>
      <c r="U2" s="3510">
        <v>2</v>
      </c>
      <c r="V2" s="3510">
        <v>0</v>
      </c>
      <c r="W2" s="3510" t="s">
        <v>3543</v>
      </c>
      <c r="X2" s="3510" t="s">
        <v>3642</v>
      </c>
      <c r="Y2" s="3510" t="s">
        <v>3542</v>
      </c>
      <c r="Z2" s="3510" t="s">
        <v>3543</v>
      </c>
      <c r="AA2" s="3510" t="s">
        <v>3598</v>
      </c>
      <c r="AB2" s="3510" t="s">
        <v>3543</v>
      </c>
      <c r="AC2" s="3510" t="s">
        <v>3543</v>
      </c>
      <c r="AD2" s="3510" t="s">
        <v>3543</v>
      </c>
      <c r="AE2" s="3510" t="s">
        <v>3643</v>
      </c>
      <c r="AF2" s="3510" t="s">
        <v>3644</v>
      </c>
      <c r="AG2" s="3510" t="s">
        <v>3588</v>
      </c>
      <c r="AH2" s="3510" t="s">
        <v>3588</v>
      </c>
      <c r="AI2" s="3510" t="s">
        <v>3544</v>
      </c>
      <c r="AJ2" s="3510" t="s">
        <v>3645</v>
      </c>
      <c r="AK2" s="3510" t="s">
        <v>3589</v>
      </c>
      <c r="AL2" s="3510" t="s">
        <v>3646</v>
      </c>
      <c r="AM2" s="3510" t="s">
        <v>3557</v>
      </c>
      <c r="AN2" s="3510" t="s">
        <v>3543</v>
      </c>
      <c r="AO2" s="3510">
        <v>243200</v>
      </c>
      <c r="AP2" s="3510">
        <v>48700</v>
      </c>
      <c r="AQ2" s="3510" t="s">
        <v>3647</v>
      </c>
      <c r="AR2" s="3510">
        <v>243450</v>
      </c>
      <c r="AS2" s="3510">
        <v>79962.38</v>
      </c>
      <c r="AT2" s="3510">
        <v>80044.58</v>
      </c>
      <c r="AU2" s="3510">
        <v>5330.83</v>
      </c>
      <c r="AV2" s="3510">
        <v>5336.31</v>
      </c>
      <c r="AW2" s="3510">
        <v>39982</v>
      </c>
      <c r="AX2" s="3510" t="s">
        <v>3543</v>
      </c>
      <c r="AY2" s="3510" t="s">
        <v>3543</v>
      </c>
      <c r="AZ2" s="3510">
        <v>0.1</v>
      </c>
      <c r="BA2" s="3510">
        <v>279680</v>
      </c>
      <c r="BB2" s="3510" t="s">
        <v>3648</v>
      </c>
      <c r="BC2" s="3510" t="s">
        <v>3543</v>
      </c>
      <c r="BD2" s="3510" t="s">
        <v>3543</v>
      </c>
      <c r="BE2" s="3510">
        <v>45979</v>
      </c>
      <c r="BF2" s="3510">
        <v>15</v>
      </c>
      <c r="BG2" s="3510" t="s">
        <v>3543</v>
      </c>
      <c r="BH2" s="3510" t="s">
        <v>3649</v>
      </c>
      <c r="BI2" s="3510" t="s">
        <v>3543</v>
      </c>
      <c r="BJ2" s="3510" t="s">
        <v>3488</v>
      </c>
      <c r="BK2" s="3510" t="s">
        <v>3543</v>
      </c>
      <c r="BL2" s="3510" t="s">
        <v>3543</v>
      </c>
      <c r="BM2" s="3510" t="s">
        <v>3543</v>
      </c>
    </row>
    <row r="3" spans="1:65" s="3510" customFormat="1">
      <c r="A3" s="3510" t="s">
        <v>3590</v>
      </c>
      <c r="B3" s="3510" t="s">
        <v>3640</v>
      </c>
      <c r="C3" s="3510" t="s">
        <v>3405</v>
      </c>
      <c r="D3" s="3510" t="s">
        <v>3641</v>
      </c>
      <c r="E3" s="3510" t="s">
        <v>3591</v>
      </c>
      <c r="F3" s="3510" t="s">
        <v>3592</v>
      </c>
      <c r="G3" s="3510" t="s">
        <v>3592</v>
      </c>
      <c r="H3" s="3510" t="s">
        <v>3593</v>
      </c>
      <c r="I3" s="3510">
        <v>25777.5</v>
      </c>
      <c r="J3" s="3510">
        <v>56711</v>
      </c>
      <c r="K3" s="3510" t="s">
        <v>3543</v>
      </c>
      <c r="L3" s="3510" t="s">
        <v>3543</v>
      </c>
      <c r="M3" s="3510">
        <v>0</v>
      </c>
      <c r="N3" s="3510">
        <v>0</v>
      </c>
      <c r="O3" s="3510" t="s">
        <v>3553</v>
      </c>
      <c r="P3" s="3510" t="s">
        <v>3554</v>
      </c>
      <c r="Q3" s="3510" t="s">
        <v>3554</v>
      </c>
      <c r="R3" s="3510">
        <v>39322</v>
      </c>
      <c r="S3" s="3510" t="s">
        <v>3594</v>
      </c>
      <c r="T3" s="3510" t="s">
        <v>3595</v>
      </c>
      <c r="U3" s="3510">
        <v>2.2000000000000002</v>
      </c>
      <c r="V3" s="3510" t="s">
        <v>3543</v>
      </c>
      <c r="W3" s="3510" t="s">
        <v>3543</v>
      </c>
      <c r="X3" s="3510" t="s">
        <v>3650</v>
      </c>
      <c r="Y3" s="3510" t="s">
        <v>3542</v>
      </c>
      <c r="Z3" s="3510" t="s">
        <v>3543</v>
      </c>
      <c r="AA3" s="3510" t="s">
        <v>3598</v>
      </c>
      <c r="AB3" s="3510" t="s">
        <v>3543</v>
      </c>
      <c r="AC3" s="3510" t="s">
        <v>3543</v>
      </c>
      <c r="AD3" s="3510" t="s">
        <v>3543</v>
      </c>
      <c r="AE3" s="3510" t="s">
        <v>3651</v>
      </c>
      <c r="AF3" s="3510" t="s">
        <v>3652</v>
      </c>
      <c r="AG3" s="3510" t="s">
        <v>3596</v>
      </c>
      <c r="AH3" s="3510" t="s">
        <v>3596</v>
      </c>
      <c r="AI3" s="3510" t="s">
        <v>3544</v>
      </c>
      <c r="AJ3" s="3510" t="s">
        <v>3645</v>
      </c>
      <c r="AK3" s="3510" t="s">
        <v>3597</v>
      </c>
      <c r="AL3" s="3510" t="s">
        <v>3653</v>
      </c>
      <c r="AM3" s="3510" t="s">
        <v>3546</v>
      </c>
      <c r="AN3" s="3510" t="s">
        <v>3543</v>
      </c>
      <c r="AO3" s="3510">
        <v>223000</v>
      </c>
      <c r="AP3" s="3510">
        <v>45000</v>
      </c>
      <c r="AQ3" s="3510" t="s">
        <v>3654</v>
      </c>
      <c r="AR3" s="3510">
        <v>223000</v>
      </c>
      <c r="AS3" s="3510">
        <v>86509.55</v>
      </c>
      <c r="AT3" s="3510">
        <v>86509.55</v>
      </c>
      <c r="AU3" s="3510">
        <v>5767.3</v>
      </c>
      <c r="AV3" s="3510">
        <v>5767.3</v>
      </c>
      <c r="AW3" s="3510">
        <v>39322</v>
      </c>
      <c r="AX3" s="3510" t="s">
        <v>3543</v>
      </c>
      <c r="AY3" s="3510" t="s">
        <v>3543</v>
      </c>
      <c r="AZ3" s="3510">
        <v>0</v>
      </c>
      <c r="BA3" s="3510">
        <v>256450</v>
      </c>
      <c r="BB3" s="3510" t="s">
        <v>3648</v>
      </c>
      <c r="BC3" s="3510">
        <v>72000</v>
      </c>
      <c r="BD3" s="3510">
        <v>72000</v>
      </c>
      <c r="BE3" s="3510">
        <v>45221</v>
      </c>
      <c r="BF3" s="3510">
        <v>15</v>
      </c>
      <c r="BG3" s="3510">
        <v>32115</v>
      </c>
      <c r="BH3" s="3510" t="s">
        <v>3655</v>
      </c>
      <c r="BI3" s="3510" t="s">
        <v>3656</v>
      </c>
      <c r="BJ3" s="3510" t="s">
        <v>3449</v>
      </c>
      <c r="BK3" s="3510" t="s">
        <v>3593</v>
      </c>
      <c r="BL3" s="3511">
        <v>45329.000497685185</v>
      </c>
      <c r="BM3" s="3510">
        <v>223000</v>
      </c>
    </row>
    <row r="4" spans="1:65" s="3510" customFormat="1">
      <c r="A4" s="3510" t="s">
        <v>3550</v>
      </c>
      <c r="B4" s="3510" t="s">
        <v>3640</v>
      </c>
      <c r="C4" s="3510" t="s">
        <v>3405</v>
      </c>
      <c r="D4" s="3510" t="s">
        <v>3541</v>
      </c>
      <c r="E4" s="3510" t="s">
        <v>3547</v>
      </c>
      <c r="F4" s="3510" t="s">
        <v>3551</v>
      </c>
      <c r="G4" s="3510" t="s">
        <v>3551</v>
      </c>
      <c r="H4" s="3510" t="s">
        <v>3552</v>
      </c>
      <c r="I4" s="3510">
        <v>30556.98</v>
      </c>
      <c r="J4" s="3510">
        <v>70795</v>
      </c>
      <c r="K4" s="3510" t="s">
        <v>3543</v>
      </c>
      <c r="L4" s="3510" t="s">
        <v>3543</v>
      </c>
      <c r="M4" s="3510">
        <v>0</v>
      </c>
      <c r="N4" s="3510">
        <v>0</v>
      </c>
      <c r="O4" s="3510" t="s">
        <v>3553</v>
      </c>
      <c r="P4" s="3510" t="s">
        <v>3554</v>
      </c>
      <c r="Q4" s="3510" t="s">
        <v>3554</v>
      </c>
      <c r="R4" s="3510">
        <v>40116</v>
      </c>
      <c r="S4" s="3510" t="s">
        <v>3555</v>
      </c>
      <c r="T4" s="3510" t="s">
        <v>3599</v>
      </c>
      <c r="U4" s="3510">
        <v>2.3199999999999998</v>
      </c>
      <c r="V4" s="3510" t="s">
        <v>3543</v>
      </c>
      <c r="W4" s="3510" t="s">
        <v>3543</v>
      </c>
      <c r="X4" s="3510">
        <v>60</v>
      </c>
      <c r="Y4" s="3510" t="s">
        <v>3542</v>
      </c>
      <c r="Z4" s="3510" t="s">
        <v>3600</v>
      </c>
      <c r="AA4" s="3510" t="s">
        <v>3602</v>
      </c>
      <c r="AB4" s="3510" t="s">
        <v>3548</v>
      </c>
      <c r="AC4" s="3510" t="s">
        <v>3543</v>
      </c>
      <c r="AD4" s="3510" t="s">
        <v>3543</v>
      </c>
      <c r="AE4" s="3510" t="s">
        <v>3657</v>
      </c>
      <c r="AF4" s="3510" t="s">
        <v>3658</v>
      </c>
      <c r="AG4" s="3510" t="s">
        <v>3659</v>
      </c>
      <c r="AH4" s="3510" t="s">
        <v>3601</v>
      </c>
      <c r="AI4" s="3510" t="s">
        <v>3544</v>
      </c>
      <c r="AJ4" s="3510" t="s">
        <v>3645</v>
      </c>
      <c r="AK4" s="3510" t="s">
        <v>3549</v>
      </c>
      <c r="AL4" s="3510" t="s">
        <v>3545</v>
      </c>
      <c r="AM4" s="3510" t="s">
        <v>3546</v>
      </c>
      <c r="AN4" s="3510" t="s">
        <v>3543</v>
      </c>
      <c r="AO4" s="3510">
        <v>269000</v>
      </c>
      <c r="AP4" s="3510">
        <v>54000</v>
      </c>
      <c r="AQ4" s="3510" t="s">
        <v>3660</v>
      </c>
      <c r="AR4" s="3510">
        <v>284000</v>
      </c>
      <c r="AS4" s="3510">
        <v>88032.26</v>
      </c>
      <c r="AT4" s="3510">
        <v>92941.119999999995</v>
      </c>
      <c r="AU4" s="3510">
        <v>5868.82</v>
      </c>
      <c r="AV4" s="3510">
        <v>6196.07</v>
      </c>
      <c r="AW4" s="3510">
        <v>37997</v>
      </c>
      <c r="AX4" s="3510" t="s">
        <v>3543</v>
      </c>
      <c r="AY4" s="3510" t="s">
        <v>3543</v>
      </c>
      <c r="AZ4" s="3510">
        <v>5.58</v>
      </c>
      <c r="BA4" s="3510">
        <v>309350</v>
      </c>
      <c r="BB4" s="3510" t="s">
        <v>3648</v>
      </c>
      <c r="BC4" s="3510">
        <v>75800</v>
      </c>
      <c r="BD4" s="3510">
        <v>75800</v>
      </c>
      <c r="BE4" s="3510">
        <v>43697</v>
      </c>
      <c r="BF4" s="3510">
        <v>15</v>
      </c>
      <c r="BG4" s="3510">
        <v>32250</v>
      </c>
      <c r="BH4" s="3510" t="s">
        <v>3655</v>
      </c>
      <c r="BI4" s="3510" t="s">
        <v>3661</v>
      </c>
      <c r="BJ4" s="3510" t="s">
        <v>3488</v>
      </c>
      <c r="BK4" s="3510" t="s">
        <v>3543</v>
      </c>
      <c r="BL4" s="3511">
        <v>44894.000497685185</v>
      </c>
      <c r="BM4" s="3510">
        <v>284000</v>
      </c>
    </row>
    <row r="7" spans="1:65">
      <c r="E7">
        <v>2.48</v>
      </c>
    </row>
    <row r="8" spans="1:65">
      <c r="E8" t="str">
        <f>T2</f>
        <v>2</v>
      </c>
    </row>
  </sheetData>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EC70-DD01-4ECF-B695-7C20C715F51E}">
  <sheetPr>
    <tabColor rgb="FF7030A0"/>
  </sheetPr>
  <dimension ref="A1"/>
  <sheetViews>
    <sheetView topLeftCell="A52" workbookViewId="0">
      <selection activeCell="B69" sqref="B69"/>
    </sheetView>
  </sheetViews>
  <sheetFormatPr defaultRowHeight="14.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3CF9A-9D79-4CD9-A447-CBEC67A6F865}">
  <sheetPr>
    <tabColor rgb="FF7030A0"/>
  </sheetPr>
  <dimension ref="A1"/>
  <sheetViews>
    <sheetView topLeftCell="A109" workbookViewId="0">
      <selection activeCell="A120" sqref="A120"/>
    </sheetView>
  </sheetViews>
  <sheetFormatPr defaultRowHeight="14.4"/>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7.399999999999999">
      <c r="A3" s="3179" t="str">
        <f>IF(项目基本情况!B9="房地产市场价值","估价结果一览表（市场价值不需“结果表-1”）","估价结果一览表")</f>
        <v>估价结果一览表</v>
      </c>
      <c r="B3" s="3179"/>
      <c r="C3" s="3179"/>
      <c r="D3" s="3179"/>
      <c r="E3" s="3179"/>
    </row>
    <row r="4" spans="1:5" ht="18" thickBot="1">
      <c r="A4" s="1390"/>
      <c r="B4" s="3177" t="s">
        <v>917</v>
      </c>
      <c r="C4" s="3177"/>
      <c r="D4" s="3177"/>
      <c r="E4" s="1390"/>
    </row>
    <row r="5" spans="1:5" ht="16.2" thickTop="1">
      <c r="B5" s="3175" t="s">
        <v>909</v>
      </c>
      <c r="C5" s="1391" t="s">
        <v>910</v>
      </c>
      <c r="D5" s="797">
        <f ca="1">结果表!H101</f>
        <v>532</v>
      </c>
    </row>
    <row r="6" spans="1:5" ht="15.6">
      <c r="B6" s="3175"/>
      <c r="C6" s="1391" t="s">
        <v>911</v>
      </c>
      <c r="D6" s="797" t="str">
        <f ca="1">NUMBERSTRING(INT(D5*10000),2)&amp;"元整"</f>
        <v>伍佰叁拾贰万元整</v>
      </c>
    </row>
    <row r="7" spans="1:5" ht="15.6">
      <c r="B7" s="3180"/>
      <c r="C7" s="1392" t="s">
        <v>912</v>
      </c>
      <c r="D7" s="798">
        <f ca="1">结果表!H102</f>
        <v>50673</v>
      </c>
    </row>
    <row r="8" spans="1:5" ht="15.6">
      <c r="B8" s="3181" t="str">
        <f>结果表!E103</f>
        <v>2.估价师知悉的法定优先受偿款</v>
      </c>
      <c r="C8" s="1393" t="s">
        <v>913</v>
      </c>
      <c r="D8" s="798">
        <f>结果表!H103</f>
        <v>0</v>
      </c>
    </row>
    <row r="9" spans="1:5" ht="15.6">
      <c r="B9" s="3183"/>
      <c r="C9" s="1391" t="s">
        <v>911</v>
      </c>
      <c r="D9" s="797" t="str">
        <f>NUMBERSTRING(INT(D8*10000),2)&amp;"元整"</f>
        <v>零元整</v>
      </c>
    </row>
    <row r="10" spans="1:5" ht="15.6">
      <c r="B10" s="1394" t="s">
        <v>916</v>
      </c>
      <c r="C10" s="1395" t="s">
        <v>914</v>
      </c>
      <c r="D10" s="799">
        <f>结果表!H104</f>
        <v>0</v>
      </c>
    </row>
    <row r="11" spans="1:5" ht="15.6">
      <c r="B11" s="1394" t="s">
        <v>918</v>
      </c>
      <c r="C11" s="1395" t="s">
        <v>919</v>
      </c>
      <c r="D11" s="799">
        <f>结果表!H105</f>
        <v>0</v>
      </c>
    </row>
    <row r="12" spans="1:5" ht="15.6">
      <c r="B12" s="1394" t="s">
        <v>920</v>
      </c>
      <c r="C12" s="1395" t="s">
        <v>919</v>
      </c>
      <c r="D12" s="799">
        <f>结果表!H106</f>
        <v>0</v>
      </c>
    </row>
    <row r="13" spans="1:5" ht="15.6">
      <c r="B13" s="3174" t="str">
        <f>结果表!E107</f>
        <v>3.房地产抵押价值</v>
      </c>
      <c r="C13" s="1396" t="s">
        <v>910</v>
      </c>
      <c r="D13" s="800">
        <f ca="1">结果表!H107</f>
        <v>532</v>
      </c>
    </row>
    <row r="14" spans="1:5" ht="15.6">
      <c r="B14" s="3175"/>
      <c r="C14" s="1391" t="s">
        <v>911</v>
      </c>
      <c r="D14" s="797" t="str">
        <f ca="1">NUMBERSTRING(INT(D13*10000),2)&amp;"元整"</f>
        <v>伍佰叁拾贰万元整</v>
      </c>
    </row>
    <row r="15" spans="1:5" ht="15.6">
      <c r="B15" s="3180"/>
      <c r="C15" s="1392" t="s">
        <v>921</v>
      </c>
      <c r="D15" s="806">
        <f ca="1">结果表!H108</f>
        <v>50673</v>
      </c>
    </row>
    <row r="16" spans="1:5" ht="15.6">
      <c r="B16" s="3181" t="str">
        <f>结果表!E109</f>
        <v>——</v>
      </c>
      <c r="C16" s="1396" t="s">
        <v>922</v>
      </c>
      <c r="D16" s="1397" t="str">
        <f>结果表!H109</f>
        <v>——</v>
      </c>
    </row>
    <row r="17" spans="1:5" ht="15.6">
      <c r="B17" s="3182"/>
      <c r="C17" s="1391" t="s">
        <v>923</v>
      </c>
      <c r="D17" s="797" t="e">
        <f>NUMBERSTRING(INT(D16*10000),2)&amp;"元整"</f>
        <v>#VALUE!</v>
      </c>
    </row>
    <row r="18" spans="1:5" ht="15.6">
      <c r="B18" s="3183"/>
      <c r="C18" s="1392" t="s">
        <v>912</v>
      </c>
      <c r="D18" s="806" t="str">
        <f>结果表!H110</f>
        <v>——</v>
      </c>
    </row>
    <row r="19" spans="1:5" ht="15.6">
      <c r="B19" s="3174" t="str">
        <f>结果表!E111</f>
        <v>——</v>
      </c>
      <c r="C19" s="1396" t="s">
        <v>910</v>
      </c>
      <c r="D19" s="798" t="str">
        <f>结果表!H111</f>
        <v>——</v>
      </c>
    </row>
    <row r="20" spans="1:5" ht="15.6">
      <c r="B20" s="3175"/>
      <c r="C20" s="1391" t="s">
        <v>923</v>
      </c>
      <c r="D20" s="797" t="e">
        <f>NUMBERSTRING(INT(D19*10000),2)&amp;"元整"</f>
        <v>#VALUE!</v>
      </c>
    </row>
    <row r="21" spans="1:5" ht="16.2" thickBot="1">
      <c r="B21" s="3176"/>
      <c r="C21" s="1398" t="s">
        <v>921</v>
      </c>
      <c r="D21" s="807"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85CDE-9DA4-431C-AA23-0A2E716FFEA4}">
  <sheetPr>
    <tabColor rgb="FF7030A0"/>
  </sheetPr>
  <dimension ref="A1"/>
  <sheetViews>
    <sheetView tabSelected="1" topLeftCell="A25" workbookViewId="0">
      <selection activeCell="A107" sqref="A107"/>
    </sheetView>
  </sheetViews>
  <sheetFormatPr defaultRowHeight="14.4"/>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487" t="s">
        <v>2605</v>
      </c>
      <c r="B20" s="3480" t="s">
        <v>2626</v>
      </c>
      <c r="C20" s="2840" t="s">
        <v>2437</v>
      </c>
      <c r="D20" s="2841"/>
      <c r="E20" s="2842">
        <v>1</v>
      </c>
      <c r="F20" s="2843" t="s">
        <v>2438</v>
      </c>
      <c r="G20" s="2843"/>
    </row>
    <row r="21" spans="1:13" ht="19.5" customHeight="1">
      <c r="A21" s="3488"/>
      <c r="B21" s="3481"/>
      <c r="C21" s="2844" t="s">
        <v>2439</v>
      </c>
      <c r="D21" s="2845"/>
      <c r="E21" s="2846">
        <v>1</v>
      </c>
      <c r="F21" s="2843" t="s">
        <v>2440</v>
      </c>
      <c r="G21" s="2843"/>
    </row>
    <row r="22" spans="1:13" ht="19.5" customHeight="1">
      <c r="A22" s="3488"/>
      <c r="B22" s="3481"/>
      <c r="C22" s="2844" t="s">
        <v>2441</v>
      </c>
      <c r="D22" s="2845"/>
      <c r="E22" s="2846">
        <v>0.9</v>
      </c>
      <c r="F22" s="2843" t="s">
        <v>2442</v>
      </c>
      <c r="G22" s="2843"/>
    </row>
    <row r="23" spans="1:13" ht="19.5" customHeight="1">
      <c r="A23" s="3488"/>
      <c r="B23" s="3481"/>
      <c r="C23" s="2844" t="s">
        <v>2443</v>
      </c>
      <c r="D23" s="2845"/>
      <c r="E23" s="2846">
        <v>0.9</v>
      </c>
      <c r="F23" s="2843" t="s">
        <v>2444</v>
      </c>
      <c r="G23" s="2843"/>
    </row>
    <row r="24" spans="1:13" ht="19.5" customHeight="1">
      <c r="A24" s="3488"/>
      <c r="B24" s="3481"/>
      <c r="C24" s="2844" t="s">
        <v>2445</v>
      </c>
      <c r="D24" s="2845"/>
      <c r="E24" s="2846">
        <v>0.8</v>
      </c>
      <c r="F24" s="2843" t="s">
        <v>2446</v>
      </c>
      <c r="G24" s="2843"/>
    </row>
    <row r="25" spans="1:13" ht="19.5" customHeight="1" thickBot="1">
      <c r="A25" s="3489"/>
      <c r="B25" s="3482"/>
      <c r="C25" s="2847" t="s">
        <v>2447</v>
      </c>
      <c r="D25" s="2848"/>
      <c r="E25" s="2849">
        <v>0.8</v>
      </c>
      <c r="F25" s="2843" t="s">
        <v>2448</v>
      </c>
      <c r="G25" s="2843"/>
    </row>
    <row r="26" spans="1:13" ht="19.5" customHeight="1" thickBot="1">
      <c r="A26" s="2850" t="s">
        <v>2627</v>
      </c>
      <c r="B26" s="2851" t="s">
        <v>2626</v>
      </c>
      <c r="C26" s="2852" t="s">
        <v>2628</v>
      </c>
      <c r="D26" s="2853"/>
      <c r="E26" s="2854">
        <v>1</v>
      </c>
      <c r="F26" s="2843" t="s">
        <v>2449</v>
      </c>
      <c r="G26" s="2843"/>
    </row>
    <row r="27" spans="1:13" ht="19.5" customHeight="1">
      <c r="A27" s="3483" t="s">
        <v>2629</v>
      </c>
      <c r="B27" s="3480" t="s">
        <v>2610</v>
      </c>
      <c r="C27" s="2840" t="s">
        <v>2450</v>
      </c>
      <c r="D27" s="2841"/>
      <c r="E27" s="2842">
        <v>1</v>
      </c>
      <c r="F27" s="2843" t="s">
        <v>2451</v>
      </c>
      <c r="G27" s="2843"/>
    </row>
    <row r="28" spans="1:13" ht="19.5" customHeight="1">
      <c r="A28" s="3484"/>
      <c r="B28" s="3481"/>
      <c r="C28" s="2844" t="s">
        <v>2452</v>
      </c>
      <c r="D28" s="2845"/>
      <c r="E28" s="2846">
        <v>1</v>
      </c>
      <c r="F28" s="2843" t="s">
        <v>2453</v>
      </c>
      <c r="G28" s="2843"/>
    </row>
    <row r="29" spans="1:13" ht="19.5" customHeight="1">
      <c r="A29" s="3484"/>
      <c r="B29" s="3481"/>
      <c r="C29" s="2844" t="s">
        <v>2454</v>
      </c>
      <c r="D29" s="2845"/>
      <c r="E29" s="2846">
        <v>0.8</v>
      </c>
      <c r="F29" s="2843" t="s">
        <v>2455</v>
      </c>
      <c r="G29" s="2843"/>
    </row>
    <row r="30" spans="1:13" ht="19.5" customHeight="1">
      <c r="A30" s="3484"/>
      <c r="B30" s="3481"/>
      <c r="C30" s="2844" t="s">
        <v>2456</v>
      </c>
      <c r="D30" s="2845"/>
      <c r="E30" s="2846">
        <v>0.8</v>
      </c>
      <c r="F30" s="2843" t="s">
        <v>2457</v>
      </c>
      <c r="G30" s="2843"/>
    </row>
    <row r="31" spans="1:13" ht="19.5" customHeight="1">
      <c r="A31" s="3484"/>
      <c r="B31" s="3481"/>
      <c r="C31" s="2844" t="s">
        <v>2458</v>
      </c>
      <c r="D31" s="2845"/>
      <c r="E31" s="2846">
        <v>0.8</v>
      </c>
      <c r="F31" s="2843" t="s">
        <v>2459</v>
      </c>
      <c r="G31" s="2843"/>
    </row>
    <row r="32" spans="1:13" ht="19.5" customHeight="1">
      <c r="A32" s="3484"/>
      <c r="B32" s="3481"/>
      <c r="C32" s="2844" t="s">
        <v>2460</v>
      </c>
      <c r="D32" s="2845"/>
      <c r="E32" s="2846">
        <v>0.7</v>
      </c>
      <c r="F32" s="2843" t="s">
        <v>2461</v>
      </c>
      <c r="G32" s="2843"/>
    </row>
    <row r="33" spans="1:7" ht="19.5" customHeight="1">
      <c r="A33" s="3484"/>
      <c r="B33" s="3481"/>
      <c r="C33" s="2844" t="s">
        <v>2462</v>
      </c>
      <c r="D33" s="2845"/>
      <c r="E33" s="2846">
        <v>0.8</v>
      </c>
      <c r="F33" s="2843" t="s">
        <v>2463</v>
      </c>
      <c r="G33" s="2843"/>
    </row>
    <row r="34" spans="1:7" ht="19.5" customHeight="1">
      <c r="A34" s="3484"/>
      <c r="B34" s="3481"/>
      <c r="C34" s="2844" t="s">
        <v>2464</v>
      </c>
      <c r="D34" s="2845"/>
      <c r="E34" s="2846">
        <v>0.6</v>
      </c>
      <c r="F34" s="2843" t="s">
        <v>2465</v>
      </c>
      <c r="G34" s="2843"/>
    </row>
    <row r="35" spans="1:7" ht="19.5" customHeight="1">
      <c r="A35" s="3484"/>
      <c r="B35" s="3481"/>
      <c r="C35" s="2844" t="s">
        <v>2466</v>
      </c>
      <c r="D35" s="2845"/>
      <c r="E35" s="2846">
        <v>0.2</v>
      </c>
      <c r="F35" s="2843" t="s">
        <v>2467</v>
      </c>
      <c r="G35" s="2843"/>
    </row>
    <row r="36" spans="1:7" ht="19.5" customHeight="1">
      <c r="A36" s="3484"/>
      <c r="B36" s="3481"/>
      <c r="C36" s="2844" t="s">
        <v>2468</v>
      </c>
      <c r="D36" s="2845"/>
      <c r="E36" s="2846">
        <v>0.2</v>
      </c>
      <c r="F36" s="2843" t="s">
        <v>2469</v>
      </c>
      <c r="G36" s="2843"/>
    </row>
    <row r="37" spans="1:7" ht="19.5" customHeight="1">
      <c r="A37" s="3484"/>
      <c r="B37" s="3486" t="s">
        <v>2630</v>
      </c>
      <c r="C37" s="2844" t="s">
        <v>2470</v>
      </c>
      <c r="D37" s="2845"/>
      <c r="E37" s="2846">
        <v>0.6</v>
      </c>
      <c r="F37" s="2843" t="s">
        <v>2471</v>
      </c>
      <c r="G37" s="2843"/>
    </row>
    <row r="38" spans="1:7" ht="19.5" customHeight="1">
      <c r="A38" s="3484"/>
      <c r="B38" s="3481"/>
      <c r="C38" s="2844" t="s">
        <v>2472</v>
      </c>
      <c r="D38" s="2845"/>
      <c r="E38" s="2846">
        <v>0.6</v>
      </c>
      <c r="F38" s="2843" t="s">
        <v>2473</v>
      </c>
      <c r="G38" s="2843"/>
    </row>
    <row r="39" spans="1:7" ht="19.5" customHeight="1" thickBot="1">
      <c r="A39" s="3485"/>
      <c r="B39" s="3482"/>
      <c r="C39" s="2847" t="s">
        <v>2474</v>
      </c>
      <c r="D39" s="2848"/>
      <c r="E39" s="2849">
        <v>0.6</v>
      </c>
      <c r="F39" s="2843" t="s">
        <v>2475</v>
      </c>
      <c r="G39" s="2843"/>
    </row>
    <row r="40" spans="1:7" ht="19.5" customHeight="1" thickBot="1">
      <c r="A40" s="2850" t="s">
        <v>2607</v>
      </c>
      <c r="B40" s="2851" t="s">
        <v>2607</v>
      </c>
      <c r="C40" s="2852" t="s">
        <v>2631</v>
      </c>
      <c r="D40" s="2853"/>
      <c r="E40" s="2854">
        <v>1</v>
      </c>
      <c r="F40" s="2843" t="s">
        <v>2476</v>
      </c>
      <c r="G40" s="2843"/>
    </row>
    <row r="41" spans="1:7" ht="19.5" customHeight="1">
      <c r="A41" s="3487" t="s">
        <v>2608</v>
      </c>
      <c r="B41" s="3480" t="s">
        <v>2632</v>
      </c>
      <c r="C41" s="2840" t="s">
        <v>2477</v>
      </c>
      <c r="D41" s="2841"/>
      <c r="E41" s="2842">
        <v>1</v>
      </c>
      <c r="F41" s="2843" t="s">
        <v>2478</v>
      </c>
      <c r="G41" s="2843"/>
    </row>
    <row r="42" spans="1:7" ht="19.5" customHeight="1">
      <c r="A42" s="3488"/>
      <c r="B42" s="3481"/>
      <c r="C42" s="2844" t="s">
        <v>2479</v>
      </c>
      <c r="D42" s="2845"/>
      <c r="E42" s="2846">
        <v>1</v>
      </c>
      <c r="F42" s="2843" t="s">
        <v>2480</v>
      </c>
      <c r="G42" s="2843"/>
    </row>
    <row r="43" spans="1:7" ht="19.5" customHeight="1">
      <c r="A43" s="3488"/>
      <c r="B43" s="3490"/>
      <c r="C43" s="2844" t="s">
        <v>2481</v>
      </c>
      <c r="D43" s="2845"/>
      <c r="E43" s="2846">
        <v>1.5</v>
      </c>
      <c r="F43" s="2843" t="s">
        <v>2482</v>
      </c>
      <c r="G43" s="2843"/>
    </row>
    <row r="44" spans="1:7" ht="19.5" customHeight="1">
      <c r="A44" s="3488"/>
      <c r="B44" s="2855" t="s">
        <v>2633</v>
      </c>
      <c r="C44" s="2844" t="s">
        <v>2634</v>
      </c>
      <c r="D44" s="2845"/>
      <c r="E44" s="2846">
        <v>2</v>
      </c>
      <c r="F44" s="2843" t="s">
        <v>2483</v>
      </c>
      <c r="G44" s="2843"/>
    </row>
    <row r="45" spans="1:7" ht="19.5" customHeight="1">
      <c r="A45" s="3488"/>
      <c r="B45" s="3486" t="s">
        <v>2635</v>
      </c>
      <c r="C45" s="2844" t="s">
        <v>2484</v>
      </c>
      <c r="D45" s="2845"/>
      <c r="E45" s="2846">
        <v>1</v>
      </c>
      <c r="F45" s="2843" t="s">
        <v>2485</v>
      </c>
      <c r="G45" s="2843"/>
    </row>
    <row r="46" spans="1:7" ht="19.5" customHeight="1">
      <c r="A46" s="3488"/>
      <c r="B46" s="3481"/>
      <c r="C46" s="2844" t="s">
        <v>2486</v>
      </c>
      <c r="D46" s="2845"/>
      <c r="E46" s="2846">
        <v>1</v>
      </c>
      <c r="F46" s="2843" t="s">
        <v>2487</v>
      </c>
      <c r="G46" s="2843"/>
    </row>
    <row r="47" spans="1:7" ht="19.5" customHeight="1">
      <c r="A47" s="3488"/>
      <c r="B47" s="3481"/>
      <c r="C47" s="2844" t="s">
        <v>2488</v>
      </c>
      <c r="D47" s="2845"/>
      <c r="E47" s="2846">
        <v>1</v>
      </c>
      <c r="F47" s="2843" t="s">
        <v>2489</v>
      </c>
      <c r="G47" s="2843"/>
    </row>
    <row r="48" spans="1:7" ht="19.5" customHeight="1">
      <c r="A48" s="3488"/>
      <c r="B48" s="3481"/>
      <c r="C48" s="2844" t="s">
        <v>2490</v>
      </c>
      <c r="D48" s="2845"/>
      <c r="E48" s="2846">
        <v>1</v>
      </c>
      <c r="F48" s="2843" t="s">
        <v>2491</v>
      </c>
      <c r="G48" s="2843"/>
    </row>
    <row r="49" spans="1:7" ht="19.5" customHeight="1">
      <c r="A49" s="3488"/>
      <c r="B49" s="3481"/>
      <c r="C49" s="2844" t="s">
        <v>2492</v>
      </c>
      <c r="D49" s="2845"/>
      <c r="E49" s="2846">
        <v>1</v>
      </c>
      <c r="F49" s="2843" t="s">
        <v>2493</v>
      </c>
      <c r="G49" s="2843"/>
    </row>
    <row r="50" spans="1:7" ht="19.5" customHeight="1">
      <c r="A50" s="3488"/>
      <c r="B50" s="3481"/>
      <c r="C50" s="2844" t="s">
        <v>2494</v>
      </c>
      <c r="D50" s="2845"/>
      <c r="E50" s="2846">
        <v>1</v>
      </c>
      <c r="F50" s="2843" t="s">
        <v>2495</v>
      </c>
      <c r="G50" s="2843"/>
    </row>
    <row r="51" spans="1:7" ht="19.5" customHeight="1" thickBot="1">
      <c r="A51" s="3489"/>
      <c r="B51" s="3482"/>
      <c r="C51" s="2847" t="s">
        <v>2496</v>
      </c>
      <c r="D51" s="2848"/>
      <c r="E51" s="2849">
        <v>1</v>
      </c>
      <c r="F51" s="2843" t="s">
        <v>2497</v>
      </c>
      <c r="G51" s="2843"/>
    </row>
    <row r="52" spans="1:7" ht="19.5" customHeight="1">
      <c r="A52" s="2856"/>
      <c r="B52" s="2856"/>
      <c r="C52" s="2856"/>
      <c r="D52" s="2856"/>
      <c r="E52" s="2856"/>
      <c r="F52" s="2856"/>
      <c r="G52" s="2856"/>
    </row>
    <row r="54" spans="1:7" ht="19.5" customHeight="1">
      <c r="A54" s="2857"/>
      <c r="B54" s="2829" t="s">
        <v>2636</v>
      </c>
      <c r="C54" s="2829" t="s">
        <v>2636</v>
      </c>
      <c r="D54" s="2829" t="s">
        <v>2636</v>
      </c>
      <c r="E54" s="2832" t="s">
        <v>2636</v>
      </c>
      <c r="F54" s="2832" t="s">
        <v>2637</v>
      </c>
      <c r="G54" s="2832" t="s">
        <v>2638</v>
      </c>
    </row>
    <row r="55" spans="1:7" ht="19.5" customHeight="1">
      <c r="A55" s="2858"/>
      <c r="B55" s="2832" t="s">
        <v>2605</v>
      </c>
      <c r="C55" s="2832" t="s">
        <v>2605</v>
      </c>
      <c r="D55" s="2832" t="s">
        <v>2605</v>
      </c>
      <c r="E55" s="2829" t="s">
        <v>2606</v>
      </c>
      <c r="F55" s="2829" t="s">
        <v>2608</v>
      </c>
      <c r="G55" s="2829" t="s">
        <v>2639</v>
      </c>
    </row>
    <row r="56" spans="1:7" ht="19.5" customHeight="1">
      <c r="A56" s="2859"/>
      <c r="B56" s="2829">
        <v>1</v>
      </c>
      <c r="C56" s="2829">
        <v>2</v>
      </c>
      <c r="D56" s="2829">
        <v>3</v>
      </c>
      <c r="E56" s="2860" t="s">
        <v>2640</v>
      </c>
      <c r="F56" s="2860" t="s">
        <v>2640</v>
      </c>
      <c r="G56" s="2860" t="s">
        <v>2640</v>
      </c>
    </row>
    <row r="57" spans="1:7" ht="19.5" customHeight="1">
      <c r="A57" s="2861" t="s">
        <v>2593</v>
      </c>
      <c r="B57" s="2829">
        <v>0.7</v>
      </c>
      <c r="C57" s="2829">
        <v>0.4</v>
      </c>
      <c r="D57" s="2829">
        <v>0.3</v>
      </c>
      <c r="E57" s="2860">
        <v>0.3</v>
      </c>
      <c r="F57" s="2829">
        <v>0.3</v>
      </c>
      <c r="G57" s="2829">
        <v>0.2</v>
      </c>
    </row>
    <row r="58" spans="1:7" ht="19.5" customHeight="1">
      <c r="A58" s="2861" t="s">
        <v>2594</v>
      </c>
      <c r="B58" s="2829">
        <v>0.7</v>
      </c>
      <c r="C58" s="2829">
        <v>0.4</v>
      </c>
      <c r="D58" s="2829">
        <v>0.3</v>
      </c>
      <c r="E58" s="2829">
        <v>0.3</v>
      </c>
      <c r="F58" s="2829">
        <v>0.3</v>
      </c>
      <c r="G58" s="2829">
        <v>0.2</v>
      </c>
    </row>
    <row r="59" spans="1:7" ht="19.5" customHeight="1">
      <c r="A59" s="2861" t="s">
        <v>2595</v>
      </c>
      <c r="B59" s="2829">
        <v>0.6</v>
      </c>
      <c r="C59" s="2829">
        <v>0.3</v>
      </c>
      <c r="D59" s="2829">
        <v>0.25</v>
      </c>
      <c r="E59" s="2829">
        <v>0.25</v>
      </c>
      <c r="F59" s="2829">
        <v>0.25</v>
      </c>
      <c r="G59" s="2829">
        <v>0.15</v>
      </c>
    </row>
    <row r="60" spans="1:7" ht="19.5" customHeight="1">
      <c r="A60" s="2861" t="s">
        <v>2596</v>
      </c>
      <c r="B60" s="2829">
        <v>0.6</v>
      </c>
      <c r="C60" s="2829">
        <v>0.3</v>
      </c>
      <c r="D60" s="2829">
        <v>0.25</v>
      </c>
      <c r="E60" s="2829">
        <v>0.25</v>
      </c>
      <c r="F60" s="2829">
        <v>0.25</v>
      </c>
      <c r="G60" s="2829">
        <v>0.15</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0.5</v>
      </c>
      <c r="C64" s="2829">
        <v>0.2</v>
      </c>
      <c r="D64" s="2829">
        <v>0.2</v>
      </c>
      <c r="E64" s="2829">
        <v>0.2</v>
      </c>
      <c r="F64" s="2829">
        <v>0.2</v>
      </c>
      <c r="G64" s="2829">
        <v>0.1</v>
      </c>
    </row>
    <row r="65" spans="1:7" ht="19.5" customHeight="1">
      <c r="A65" s="2861" t="s">
        <v>2601</v>
      </c>
      <c r="B65" s="2829">
        <v>0.5</v>
      </c>
      <c r="C65" s="2829">
        <v>0.2</v>
      </c>
      <c r="D65" s="2829">
        <v>0.2</v>
      </c>
      <c r="E65" s="2829">
        <v>0.2</v>
      </c>
      <c r="F65" s="2829">
        <v>0.2</v>
      </c>
      <c r="G65" s="2829">
        <v>0.1</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70" spans="1:7" ht="19.5" customHeight="1">
      <c r="A70" s="2843"/>
      <c r="B70" s="2862"/>
      <c r="C70" s="2862"/>
      <c r="D70" s="2862" t="s">
        <v>2641</v>
      </c>
      <c r="E70" s="2862"/>
      <c r="F70" s="2862"/>
    </row>
    <row r="71" spans="1:7" ht="19.5" customHeight="1">
      <c r="A71" s="2855" t="s">
        <v>2642</v>
      </c>
      <c r="B71" s="2855" t="s">
        <v>2643</v>
      </c>
      <c r="C71" s="2855" t="s">
        <v>2644</v>
      </c>
      <c r="D71" s="2855" t="s">
        <v>2645</v>
      </c>
      <c r="E71" s="2855" t="s">
        <v>2646</v>
      </c>
      <c r="F71" s="2855" t="s">
        <v>2647</v>
      </c>
    </row>
    <row r="72" spans="1:7" ht="14.4">
      <c r="A72" s="2855"/>
      <c r="B72" s="2855"/>
      <c r="C72" s="2855" t="s">
        <v>2648</v>
      </c>
      <c r="D72" s="2855"/>
      <c r="E72" s="2855" t="s">
        <v>2619</v>
      </c>
      <c r="F72" s="2855" t="s">
        <v>2619</v>
      </c>
    </row>
    <row r="73" spans="1:7" ht="14.4">
      <c r="A73" s="2855">
        <v>1</v>
      </c>
      <c r="B73" s="3486" t="s">
        <v>2649</v>
      </c>
      <c r="C73" s="2829" t="s">
        <v>2650</v>
      </c>
      <c r="D73" s="2829" t="s">
        <v>2651</v>
      </c>
      <c r="E73" s="2855">
        <v>0.2</v>
      </c>
      <c r="F73" s="2855">
        <v>25</v>
      </c>
    </row>
    <row r="74" spans="1:7" ht="24">
      <c r="A74" s="2855">
        <v>2</v>
      </c>
      <c r="B74" s="3481"/>
      <c r="C74" s="2829" t="s">
        <v>2652</v>
      </c>
      <c r="D74" s="2829" t="s">
        <v>2653</v>
      </c>
      <c r="E74" s="2855">
        <v>0.2</v>
      </c>
      <c r="F74" s="2855">
        <v>25</v>
      </c>
    </row>
    <row r="75" spans="1:7" ht="24">
      <c r="A75" s="2855">
        <v>3</v>
      </c>
      <c r="B75" s="3481"/>
      <c r="C75" s="2829" t="s">
        <v>2654</v>
      </c>
      <c r="D75" s="2829" t="s">
        <v>2655</v>
      </c>
      <c r="E75" s="2855">
        <v>0.2</v>
      </c>
      <c r="F75" s="2855">
        <v>25</v>
      </c>
    </row>
    <row r="76" spans="1:7" ht="14.4">
      <c r="A76" s="2855">
        <v>4</v>
      </c>
      <c r="B76" s="3481"/>
      <c r="C76" s="2829" t="s">
        <v>2656</v>
      </c>
      <c r="D76" s="2829" t="s">
        <v>2657</v>
      </c>
      <c r="E76" s="2855">
        <v>0.15</v>
      </c>
      <c r="F76" s="2855">
        <v>20</v>
      </c>
    </row>
    <row r="77" spans="1:7" ht="24">
      <c r="A77" s="2855">
        <v>5</v>
      </c>
      <c r="B77" s="3481"/>
      <c r="C77" s="2829" t="s">
        <v>2658</v>
      </c>
      <c r="D77" s="2829" t="s">
        <v>2659</v>
      </c>
      <c r="E77" s="2855">
        <v>0.15</v>
      </c>
      <c r="F77" s="2855">
        <v>20</v>
      </c>
    </row>
    <row r="78" spans="1:7" ht="24">
      <c r="A78" s="2855">
        <v>6</v>
      </c>
      <c r="B78" s="3481"/>
      <c r="C78" s="2829" t="s">
        <v>2660</v>
      </c>
      <c r="D78" s="2829" t="s">
        <v>2661</v>
      </c>
      <c r="E78" s="2855">
        <v>0.15</v>
      </c>
      <c r="F78" s="2855">
        <v>20</v>
      </c>
    </row>
    <row r="79" spans="1:7" ht="24">
      <c r="A79" s="2855">
        <v>7</v>
      </c>
      <c r="B79" s="3481"/>
      <c r="C79" s="2829" t="s">
        <v>2662</v>
      </c>
      <c r="D79" s="2829" t="s">
        <v>2663</v>
      </c>
      <c r="E79" s="2855">
        <v>0.15</v>
      </c>
      <c r="F79" s="2855">
        <v>20</v>
      </c>
    </row>
    <row r="80" spans="1:7" ht="24">
      <c r="A80" s="2855">
        <v>8</v>
      </c>
      <c r="B80" s="3481"/>
      <c r="C80" s="2829" t="s">
        <v>2664</v>
      </c>
      <c r="D80" s="2829" t="s">
        <v>2665</v>
      </c>
      <c r="E80" s="2855">
        <v>0.1</v>
      </c>
      <c r="F80" s="2855">
        <v>15</v>
      </c>
    </row>
    <row r="81" spans="1:6" ht="24">
      <c r="A81" s="2855">
        <v>9</v>
      </c>
      <c r="B81" s="3481"/>
      <c r="C81" s="2829" t="s">
        <v>2666</v>
      </c>
      <c r="D81" s="2829" t="s">
        <v>2667</v>
      </c>
      <c r="E81" s="2855">
        <v>0.1</v>
      </c>
      <c r="F81" s="2855">
        <v>15</v>
      </c>
    </row>
    <row r="82" spans="1:6" ht="24">
      <c r="A82" s="2855">
        <v>10</v>
      </c>
      <c r="B82" s="3481"/>
      <c r="C82" s="2829" t="s">
        <v>2668</v>
      </c>
      <c r="D82" s="2829" t="s">
        <v>2669</v>
      </c>
      <c r="E82" s="2855">
        <v>0.1</v>
      </c>
      <c r="F82" s="2855">
        <v>15</v>
      </c>
    </row>
    <row r="83" spans="1:6" ht="24">
      <c r="A83" s="2855">
        <v>11</v>
      </c>
      <c r="B83" s="3481"/>
      <c r="C83" s="2829" t="s">
        <v>2670</v>
      </c>
      <c r="D83" s="2829" t="s">
        <v>2671</v>
      </c>
      <c r="E83" s="2855">
        <v>0.1</v>
      </c>
      <c r="F83" s="2855">
        <v>15</v>
      </c>
    </row>
    <row r="84" spans="1:6" ht="24">
      <c r="A84" s="2855">
        <v>12</v>
      </c>
      <c r="B84" s="3481"/>
      <c r="C84" s="2829" t="s">
        <v>2672</v>
      </c>
      <c r="D84" s="2829" t="s">
        <v>2673</v>
      </c>
      <c r="E84" s="2855">
        <v>0.1</v>
      </c>
      <c r="F84" s="2855">
        <v>15</v>
      </c>
    </row>
    <row r="85" spans="1:6" ht="24">
      <c r="A85" s="2855">
        <v>13</v>
      </c>
      <c r="B85" s="3481"/>
      <c r="C85" s="2829" t="s">
        <v>2674</v>
      </c>
      <c r="D85" s="2829" t="s">
        <v>2675</v>
      </c>
      <c r="E85" s="2855">
        <v>0.1</v>
      </c>
      <c r="F85" s="2855">
        <v>15</v>
      </c>
    </row>
    <row r="86" spans="1:6" ht="24">
      <c r="A86" s="2855">
        <v>14</v>
      </c>
      <c r="B86" s="3481"/>
      <c r="C86" s="2829" t="s">
        <v>2676</v>
      </c>
      <c r="D86" s="2829" t="s">
        <v>2677</v>
      </c>
      <c r="E86" s="2855">
        <v>0.1</v>
      </c>
      <c r="F86" s="2855">
        <v>15</v>
      </c>
    </row>
    <row r="87" spans="1:6" ht="24">
      <c r="A87" s="2855">
        <v>15</v>
      </c>
      <c r="B87" s="3481"/>
      <c r="C87" s="2829" t="s">
        <v>2678</v>
      </c>
      <c r="D87" s="2829" t="s">
        <v>2679</v>
      </c>
      <c r="E87" s="2855">
        <v>0.1</v>
      </c>
      <c r="F87" s="2855">
        <v>15</v>
      </c>
    </row>
    <row r="88" spans="1:6" ht="24">
      <c r="A88" s="2855">
        <v>16</v>
      </c>
      <c r="B88" s="3481"/>
      <c r="C88" s="2829" t="s">
        <v>2680</v>
      </c>
      <c r="D88" s="2829" t="s">
        <v>2681</v>
      </c>
      <c r="E88" s="2855">
        <v>0.1</v>
      </c>
      <c r="F88" s="2855">
        <v>15</v>
      </c>
    </row>
    <row r="89" spans="1:6" ht="24">
      <c r="A89" s="2855">
        <v>17</v>
      </c>
      <c r="B89" s="3490"/>
      <c r="C89" s="2829" t="s">
        <v>2682</v>
      </c>
      <c r="D89" s="2829" t="s">
        <v>2683</v>
      </c>
      <c r="E89" s="2855">
        <v>0.1</v>
      </c>
      <c r="F89" s="2855">
        <v>15</v>
      </c>
    </row>
    <row r="90" spans="1:6" ht="14.4">
      <c r="A90" s="2855">
        <v>18</v>
      </c>
      <c r="B90" s="3486" t="s">
        <v>2684</v>
      </c>
      <c r="C90" s="2829" t="s">
        <v>2685</v>
      </c>
      <c r="D90" s="2829" t="s">
        <v>2686</v>
      </c>
      <c r="E90" s="2855">
        <v>0.2</v>
      </c>
      <c r="F90" s="2855">
        <v>25</v>
      </c>
    </row>
    <row r="91" spans="1:6" ht="24">
      <c r="A91" s="2855">
        <v>19</v>
      </c>
      <c r="B91" s="3481"/>
      <c r="C91" s="2829" t="s">
        <v>2687</v>
      </c>
      <c r="D91" s="2829" t="s">
        <v>2688</v>
      </c>
      <c r="E91" s="2855">
        <v>0.2</v>
      </c>
      <c r="F91" s="2855">
        <v>25</v>
      </c>
    </row>
    <row r="92" spans="1:6" ht="14.4">
      <c r="A92" s="2855">
        <v>20</v>
      </c>
      <c r="B92" s="3481"/>
      <c r="C92" s="2829" t="s">
        <v>2689</v>
      </c>
      <c r="D92" s="2829" t="s">
        <v>2690</v>
      </c>
      <c r="E92" s="2855">
        <v>0.15</v>
      </c>
      <c r="F92" s="2855">
        <v>20</v>
      </c>
    </row>
    <row r="93" spans="1:6" ht="24">
      <c r="A93" s="2855">
        <v>21</v>
      </c>
      <c r="B93" s="3481"/>
      <c r="C93" s="2829" t="s">
        <v>2691</v>
      </c>
      <c r="D93" s="2829" t="s">
        <v>2692</v>
      </c>
      <c r="E93" s="2855">
        <v>0.15</v>
      </c>
      <c r="F93" s="2855">
        <v>20</v>
      </c>
    </row>
    <row r="94" spans="1:6" ht="24">
      <c r="A94" s="2855">
        <v>22</v>
      </c>
      <c r="B94" s="3481"/>
      <c r="C94" s="2829" t="s">
        <v>2693</v>
      </c>
      <c r="D94" s="2829" t="s">
        <v>2694</v>
      </c>
      <c r="E94" s="2855">
        <v>0.15</v>
      </c>
      <c r="F94" s="2855">
        <v>20</v>
      </c>
    </row>
    <row r="95" spans="1:6" ht="36">
      <c r="A95" s="2855">
        <v>23</v>
      </c>
      <c r="B95" s="3481"/>
      <c r="C95" s="2829" t="s">
        <v>2695</v>
      </c>
      <c r="D95" s="2829" t="s">
        <v>2696</v>
      </c>
      <c r="E95" s="2855">
        <v>0.15</v>
      </c>
      <c r="F95" s="2855">
        <v>20</v>
      </c>
    </row>
    <row r="96" spans="1:6" ht="24">
      <c r="A96" s="2855">
        <v>24</v>
      </c>
      <c r="B96" s="3481"/>
      <c r="C96" s="2829" t="s">
        <v>2697</v>
      </c>
      <c r="D96" s="2829" t="s">
        <v>2698</v>
      </c>
      <c r="E96" s="2855">
        <v>0.1</v>
      </c>
      <c r="F96" s="2855">
        <v>15</v>
      </c>
    </row>
    <row r="97" spans="1:6" ht="24">
      <c r="A97" s="2855">
        <v>25</v>
      </c>
      <c r="B97" s="3481"/>
      <c r="C97" s="2829" t="s">
        <v>2699</v>
      </c>
      <c r="D97" s="2829" t="s">
        <v>2700</v>
      </c>
      <c r="E97" s="2855">
        <v>0.1</v>
      </c>
      <c r="F97" s="2855">
        <v>15</v>
      </c>
    </row>
    <row r="98" spans="1:6" ht="24">
      <c r="A98" s="2855">
        <v>26</v>
      </c>
      <c r="B98" s="3481"/>
      <c r="C98" s="2829" t="s">
        <v>2701</v>
      </c>
      <c r="D98" s="2829" t="s">
        <v>2702</v>
      </c>
      <c r="E98" s="2855">
        <v>0.1</v>
      </c>
      <c r="F98" s="2855">
        <v>15</v>
      </c>
    </row>
    <row r="99" spans="1:6" ht="24">
      <c r="A99" s="2855">
        <v>27</v>
      </c>
      <c r="B99" s="3481"/>
      <c r="C99" s="2829" t="s">
        <v>2703</v>
      </c>
      <c r="D99" s="2829" t="s">
        <v>2704</v>
      </c>
      <c r="E99" s="2855">
        <v>0.1</v>
      </c>
      <c r="F99" s="2855">
        <v>15</v>
      </c>
    </row>
    <row r="100" spans="1:6" ht="24">
      <c r="A100" s="2855">
        <v>28</v>
      </c>
      <c r="B100" s="3481"/>
      <c r="C100" s="2829" t="s">
        <v>2705</v>
      </c>
      <c r="D100" s="2829" t="s">
        <v>2706</v>
      </c>
      <c r="E100" s="2855">
        <v>0.1</v>
      </c>
      <c r="F100" s="2855">
        <v>15</v>
      </c>
    </row>
    <row r="101" spans="1:6" ht="24">
      <c r="A101" s="2855">
        <v>29</v>
      </c>
      <c r="B101" s="3481"/>
      <c r="C101" s="2829" t="s">
        <v>2707</v>
      </c>
      <c r="D101" s="2829" t="s">
        <v>2708</v>
      </c>
      <c r="E101" s="2855">
        <v>0.1</v>
      </c>
      <c r="F101" s="2855">
        <v>15</v>
      </c>
    </row>
    <row r="102" spans="1:6" ht="24">
      <c r="A102" s="2855">
        <v>30</v>
      </c>
      <c r="B102" s="3481"/>
      <c r="C102" s="2829" t="s">
        <v>2709</v>
      </c>
      <c r="D102" s="2829" t="s">
        <v>2710</v>
      </c>
      <c r="E102" s="2855">
        <v>0.1</v>
      </c>
      <c r="F102" s="2855">
        <v>15</v>
      </c>
    </row>
    <row r="103" spans="1:6" ht="24">
      <c r="A103" s="2855">
        <v>31</v>
      </c>
      <c r="B103" s="3481"/>
      <c r="C103" s="2829" t="s">
        <v>2711</v>
      </c>
      <c r="D103" s="2829" t="s">
        <v>2712</v>
      </c>
      <c r="E103" s="2855">
        <v>0.1</v>
      </c>
      <c r="F103" s="2855">
        <v>15</v>
      </c>
    </row>
    <row r="104" spans="1:6" ht="24">
      <c r="A104" s="2855">
        <v>32</v>
      </c>
      <c r="B104" s="3481"/>
      <c r="C104" s="2829" t="s">
        <v>2713</v>
      </c>
      <c r="D104" s="2829" t="s">
        <v>2714</v>
      </c>
      <c r="E104" s="2855">
        <v>0.1</v>
      </c>
      <c r="F104" s="2855">
        <v>15</v>
      </c>
    </row>
    <row r="105" spans="1:6" ht="24">
      <c r="A105" s="2855">
        <v>33</v>
      </c>
      <c r="B105" s="3481"/>
      <c r="C105" s="2829" t="s">
        <v>2715</v>
      </c>
      <c r="D105" s="2829" t="s">
        <v>2716</v>
      </c>
      <c r="E105" s="2855">
        <v>0.1</v>
      </c>
      <c r="F105" s="2855">
        <v>15</v>
      </c>
    </row>
    <row r="106" spans="1:6" ht="24">
      <c r="A106" s="2855">
        <v>34</v>
      </c>
      <c r="B106" s="3490"/>
      <c r="C106" s="2829" t="s">
        <v>2717</v>
      </c>
      <c r="D106" s="2829" t="s">
        <v>2718</v>
      </c>
      <c r="E106" s="2855">
        <v>0.1</v>
      </c>
      <c r="F106" s="2855">
        <v>15</v>
      </c>
    </row>
    <row r="107" spans="1:6" ht="36">
      <c r="A107" s="2855">
        <v>35</v>
      </c>
      <c r="B107" s="3486" t="s">
        <v>2719</v>
      </c>
      <c r="C107" s="2855" t="s">
        <v>2720</v>
      </c>
      <c r="D107" s="2829" t="s">
        <v>2721</v>
      </c>
      <c r="E107" s="2855">
        <v>0.15</v>
      </c>
      <c r="F107" s="2855">
        <v>20</v>
      </c>
    </row>
    <row r="108" spans="1:6" ht="24">
      <c r="A108" s="2855">
        <v>36</v>
      </c>
      <c r="B108" s="3481"/>
      <c r="C108" s="2855" t="s">
        <v>2722</v>
      </c>
      <c r="D108" s="2829" t="s">
        <v>2723</v>
      </c>
      <c r="E108" s="2855">
        <v>0.15</v>
      </c>
      <c r="F108" s="2855">
        <v>20</v>
      </c>
    </row>
    <row r="109" spans="1:6" ht="24">
      <c r="A109" s="2855">
        <v>37</v>
      </c>
      <c r="B109" s="3481"/>
      <c r="C109" s="2855" t="s">
        <v>2724</v>
      </c>
      <c r="D109" s="2829" t="s">
        <v>2725</v>
      </c>
      <c r="E109" s="2855">
        <v>0.15</v>
      </c>
      <c r="F109" s="2855">
        <v>20</v>
      </c>
    </row>
    <row r="110" spans="1:6" ht="24">
      <c r="A110" s="2855">
        <v>38</v>
      </c>
      <c r="B110" s="3481"/>
      <c r="C110" s="2855" t="s">
        <v>2726</v>
      </c>
      <c r="D110" s="2829" t="s">
        <v>2727</v>
      </c>
      <c r="E110" s="2855">
        <v>0.1</v>
      </c>
      <c r="F110" s="2855">
        <v>15</v>
      </c>
    </row>
    <row r="111" spans="1:6" ht="24">
      <c r="A111" s="2855">
        <v>39</v>
      </c>
      <c r="B111" s="3481"/>
      <c r="C111" s="2855" t="s">
        <v>2728</v>
      </c>
      <c r="D111" s="2829" t="s">
        <v>2729</v>
      </c>
      <c r="E111" s="2855">
        <v>0.1</v>
      </c>
      <c r="F111" s="2855">
        <v>15</v>
      </c>
    </row>
    <row r="112" spans="1:6" ht="24">
      <c r="A112" s="2855">
        <v>40</v>
      </c>
      <c r="B112" s="3490"/>
      <c r="C112" s="2855" t="s">
        <v>2730</v>
      </c>
      <c r="D112" s="2829" t="s">
        <v>2731</v>
      </c>
      <c r="E112" s="2855">
        <v>0.1</v>
      </c>
      <c r="F112" s="2855">
        <v>15</v>
      </c>
    </row>
    <row r="113" spans="1:6" ht="24">
      <c r="A113" s="2855">
        <v>41</v>
      </c>
      <c r="B113" s="3491" t="s">
        <v>2732</v>
      </c>
      <c r="C113" s="2855" t="s">
        <v>2733</v>
      </c>
      <c r="D113" s="2829" t="s">
        <v>2734</v>
      </c>
      <c r="E113" s="2855">
        <v>0.1</v>
      </c>
      <c r="F113" s="2855">
        <v>15</v>
      </c>
    </row>
    <row r="114" spans="1:6" ht="24">
      <c r="A114" s="2855">
        <v>42</v>
      </c>
      <c r="B114" s="3491"/>
      <c r="C114" s="2855" t="s">
        <v>2735</v>
      </c>
      <c r="D114" s="2829" t="s">
        <v>2736</v>
      </c>
      <c r="E114" s="2855">
        <v>0.1</v>
      </c>
      <c r="F114" s="2855">
        <v>15</v>
      </c>
    </row>
    <row r="115" spans="1:6" ht="24">
      <c r="A115" s="2855">
        <v>43</v>
      </c>
      <c r="B115" s="3491"/>
      <c r="C115" s="2855" t="s">
        <v>2737</v>
      </c>
      <c r="D115" s="2829" t="s">
        <v>2738</v>
      </c>
      <c r="E115" s="2855">
        <v>0.1</v>
      </c>
      <c r="F115" s="2855">
        <v>15</v>
      </c>
    </row>
    <row r="116" spans="1:6" ht="24">
      <c r="A116" s="2855">
        <v>44</v>
      </c>
      <c r="B116" s="3486" t="s">
        <v>2739</v>
      </c>
      <c r="C116" s="2855" t="s">
        <v>2740</v>
      </c>
      <c r="D116" s="2829" t="s">
        <v>2741</v>
      </c>
      <c r="E116" s="2855">
        <v>0.1</v>
      </c>
      <c r="F116" s="2855">
        <v>15</v>
      </c>
    </row>
    <row r="117" spans="1:6" ht="24">
      <c r="A117" s="2855">
        <v>45</v>
      </c>
      <c r="B117" s="3490"/>
      <c r="C117" s="2829" t="s">
        <v>2742</v>
      </c>
      <c r="D117" s="2829" t="s">
        <v>2743</v>
      </c>
      <c r="E117" s="2855">
        <v>0.1</v>
      </c>
      <c r="F117" s="2855">
        <v>15</v>
      </c>
    </row>
    <row r="118" spans="1:6" ht="24">
      <c r="A118" s="2855">
        <v>46</v>
      </c>
      <c r="B118" s="3486" t="s">
        <v>2744</v>
      </c>
      <c r="C118" s="2855" t="s">
        <v>2745</v>
      </c>
      <c r="D118" s="2829" t="s">
        <v>2746</v>
      </c>
      <c r="E118" s="2855">
        <v>0.1</v>
      </c>
      <c r="F118" s="2855">
        <v>15</v>
      </c>
    </row>
    <row r="119" spans="1:6" ht="24">
      <c r="A119" s="2855">
        <v>47</v>
      </c>
      <c r="B119" s="3490"/>
      <c r="C119" s="2855" t="s">
        <v>2747</v>
      </c>
      <c r="D119" s="2829" t="s">
        <v>2748</v>
      </c>
      <c r="E119" s="2855">
        <v>0.1</v>
      </c>
      <c r="F119" s="2855">
        <v>15</v>
      </c>
    </row>
    <row r="120" spans="1:6" ht="24">
      <c r="A120" s="2855">
        <v>48</v>
      </c>
      <c r="B120" s="3486" t="s">
        <v>2749</v>
      </c>
      <c r="C120" s="2855" t="s">
        <v>2750</v>
      </c>
      <c r="D120" s="2829" t="s">
        <v>2751</v>
      </c>
      <c r="E120" s="2855">
        <v>0.1</v>
      </c>
      <c r="F120" s="2855">
        <v>15</v>
      </c>
    </row>
    <row r="121" spans="1:6" ht="24">
      <c r="A121" s="2855">
        <v>49</v>
      </c>
      <c r="B121" s="3490"/>
      <c r="C121" s="2855" t="s">
        <v>2752</v>
      </c>
      <c r="D121" s="2829" t="s">
        <v>2753</v>
      </c>
      <c r="E121" s="2855">
        <v>0.1</v>
      </c>
      <c r="F121" s="2855">
        <v>15</v>
      </c>
    </row>
    <row r="122" spans="1:6" ht="24">
      <c r="A122" s="2855">
        <v>50</v>
      </c>
      <c r="B122" s="3491" t="s">
        <v>2754</v>
      </c>
      <c r="C122" s="2855" t="s">
        <v>2755</v>
      </c>
      <c r="D122" s="2829" t="s">
        <v>2756</v>
      </c>
      <c r="E122" s="2855">
        <v>0.1</v>
      </c>
      <c r="F122" s="2855">
        <v>15</v>
      </c>
    </row>
    <row r="123" spans="1:6" ht="24">
      <c r="A123" s="2855">
        <v>51</v>
      </c>
      <c r="B123" s="3491"/>
      <c r="C123" s="2855" t="s">
        <v>2757</v>
      </c>
      <c r="D123" s="2829" t="s">
        <v>2758</v>
      </c>
      <c r="E123" s="2855">
        <v>0.1</v>
      </c>
      <c r="F123" s="2855">
        <v>15</v>
      </c>
    </row>
    <row r="124" spans="1:6" ht="24">
      <c r="A124" s="2855">
        <v>52</v>
      </c>
      <c r="B124" s="3491" t="s">
        <v>2759</v>
      </c>
      <c r="C124" s="2855" t="s">
        <v>2760</v>
      </c>
      <c r="D124" s="2829" t="s">
        <v>2761</v>
      </c>
      <c r="E124" s="2855">
        <v>0.1</v>
      </c>
      <c r="F124" s="2855">
        <v>15</v>
      </c>
    </row>
    <row r="125" spans="1:6" ht="24">
      <c r="A125" s="2855">
        <v>53</v>
      </c>
      <c r="B125" s="3491"/>
      <c r="C125" s="2855" t="s">
        <v>2762</v>
      </c>
      <c r="D125" s="2829" t="s">
        <v>2763</v>
      </c>
      <c r="E125" s="2855">
        <v>0.1</v>
      </c>
      <c r="F125" s="2855">
        <v>15</v>
      </c>
    </row>
    <row r="126" spans="1:6" ht="24">
      <c r="A126" s="2855">
        <v>54</v>
      </c>
      <c r="B126" s="2855" t="s">
        <v>2764</v>
      </c>
      <c r="C126" s="2855" t="s">
        <v>2765</v>
      </c>
      <c r="D126" s="2829" t="s">
        <v>2766</v>
      </c>
      <c r="E126" s="2855">
        <v>0.1</v>
      </c>
      <c r="F126" s="2855">
        <v>15</v>
      </c>
    </row>
    <row r="127" spans="1:6" ht="24">
      <c r="A127" s="2855">
        <v>55</v>
      </c>
      <c r="B127" s="3491" t="s">
        <v>2767</v>
      </c>
      <c r="C127" s="2855" t="s">
        <v>2768</v>
      </c>
      <c r="D127" s="2829" t="s">
        <v>2769</v>
      </c>
      <c r="E127" s="2855">
        <v>0.1</v>
      </c>
      <c r="F127" s="2855">
        <v>15</v>
      </c>
    </row>
    <row r="128" spans="1:6" ht="24">
      <c r="A128" s="2855">
        <v>56</v>
      </c>
      <c r="B128" s="3491"/>
      <c r="C128" s="2855" t="s">
        <v>2770</v>
      </c>
      <c r="D128" s="2829" t="s">
        <v>2771</v>
      </c>
      <c r="E128" s="2855">
        <v>0.1</v>
      </c>
      <c r="F128" s="2855">
        <v>15</v>
      </c>
    </row>
    <row r="129" spans="1:6" ht="24">
      <c r="A129" s="2855">
        <v>57</v>
      </c>
      <c r="B129" s="3491"/>
      <c r="C129" s="2855" t="s">
        <v>2772</v>
      </c>
      <c r="D129" s="2829" t="s">
        <v>2773</v>
      </c>
      <c r="E129" s="2855">
        <v>0.1</v>
      </c>
      <c r="F129" s="2855">
        <v>15</v>
      </c>
    </row>
    <row r="130" spans="1:6" ht="24">
      <c r="A130" s="2855">
        <v>58</v>
      </c>
      <c r="B130" s="3491" t="s">
        <v>2774</v>
      </c>
      <c r="C130" s="2855" t="s">
        <v>2775</v>
      </c>
      <c r="D130" s="2829" t="s">
        <v>2776</v>
      </c>
      <c r="E130" s="2855">
        <v>0.1</v>
      </c>
      <c r="F130" s="2855">
        <v>15</v>
      </c>
    </row>
    <row r="131" spans="1:6" ht="24">
      <c r="A131" s="2855">
        <v>59</v>
      </c>
      <c r="B131" s="3491"/>
      <c r="C131" s="2855" t="s">
        <v>2777</v>
      </c>
      <c r="D131" s="2829" t="s">
        <v>2778</v>
      </c>
      <c r="E131" s="2855">
        <v>0.1</v>
      </c>
      <c r="F131" s="2855">
        <v>15</v>
      </c>
    </row>
    <row r="132" spans="1:6" ht="24">
      <c r="A132" s="2855">
        <v>60</v>
      </c>
      <c r="B132" s="3486" t="s">
        <v>2779</v>
      </c>
      <c r="C132" s="2855" t="s">
        <v>2780</v>
      </c>
      <c r="D132" s="2829" t="s">
        <v>2781</v>
      </c>
      <c r="E132" s="2855">
        <v>0.1</v>
      </c>
      <c r="F132" s="2855">
        <v>15</v>
      </c>
    </row>
    <row r="133" spans="1:6" ht="24">
      <c r="A133" s="2855">
        <v>61</v>
      </c>
      <c r="B133" s="3490"/>
      <c r="C133" s="2855" t="s">
        <v>2782</v>
      </c>
      <c r="D133" s="2829" t="s">
        <v>2783</v>
      </c>
      <c r="E133" s="2855">
        <v>0.1</v>
      </c>
      <c r="F133" s="2855">
        <v>15</v>
      </c>
    </row>
    <row r="134" spans="1:6" ht="24">
      <c r="A134" s="2855">
        <v>62</v>
      </c>
      <c r="B134" s="2855" t="s">
        <v>2784</v>
      </c>
      <c r="C134" s="2855" t="s">
        <v>2785</v>
      </c>
      <c r="D134" s="2829" t="s">
        <v>2786</v>
      </c>
      <c r="E134" s="2855">
        <v>0.1</v>
      </c>
      <c r="F134" s="2855">
        <v>15</v>
      </c>
    </row>
    <row r="135" spans="1:6" ht="24">
      <c r="A135" s="2855">
        <v>63</v>
      </c>
      <c r="B135" s="3491" t="s">
        <v>2787</v>
      </c>
      <c r="C135" s="2855" t="s">
        <v>2788</v>
      </c>
      <c r="D135" s="2829" t="s">
        <v>2789</v>
      </c>
      <c r="E135" s="2855">
        <v>0.1</v>
      </c>
      <c r="F135" s="2855">
        <v>15</v>
      </c>
    </row>
    <row r="136" spans="1:6" ht="24">
      <c r="A136" s="2855">
        <v>64</v>
      </c>
      <c r="B136" s="3491"/>
      <c r="C136" s="2855" t="s">
        <v>2790</v>
      </c>
      <c r="D136" s="2829" t="s">
        <v>2791</v>
      </c>
      <c r="E136" s="2855">
        <v>0.1</v>
      </c>
      <c r="F136" s="2855">
        <v>15</v>
      </c>
    </row>
    <row r="137" spans="1:6" ht="24">
      <c r="A137" s="2855">
        <v>65</v>
      </c>
      <c r="B137" s="2855" t="s">
        <v>2792</v>
      </c>
      <c r="C137" s="2855" t="s">
        <v>2793</v>
      </c>
      <c r="D137" s="2829" t="s">
        <v>2794</v>
      </c>
      <c r="E137" s="2855">
        <v>0.1</v>
      </c>
      <c r="F137" s="2855">
        <v>15</v>
      </c>
    </row>
    <row r="138" spans="1:6" ht="14.4">
      <c r="A138" s="2855"/>
      <c r="B138" s="2855"/>
      <c r="C138" s="2855"/>
      <c r="D138" s="2855"/>
      <c r="E138" s="2855" t="s">
        <v>2795</v>
      </c>
      <c r="F138" s="285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topLeftCell="A169" zoomScale="70" zoomScaleNormal="70" workbookViewId="0">
      <selection activeCell="A199" sqref="A199:XFD200"/>
    </sheetView>
  </sheetViews>
  <sheetFormatPr defaultColWidth="9" defaultRowHeight="14.4"/>
  <cols>
    <col min="1" max="13" width="9" style="2877"/>
  </cols>
  <sheetData>
    <row r="1" spans="1:20" ht="16.2" thickBot="1">
      <c r="A1" s="2863" t="s">
        <v>2796</v>
      </c>
      <c r="B1" s="2863"/>
      <c r="C1" s="2863"/>
      <c r="D1" s="2863"/>
      <c r="E1" s="2863"/>
      <c r="F1" s="2863"/>
      <c r="G1" s="2863"/>
      <c r="H1" s="2863"/>
      <c r="I1" s="2863"/>
      <c r="J1" s="2863"/>
      <c r="K1" s="2863"/>
      <c r="L1" s="2863"/>
      <c r="M1" s="2863"/>
      <c r="N1" s="707"/>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1.0089999999999999</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0.95979999999999999</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26473</v>
      </c>
      <c r="C2" s="2" t="s">
        <v>106</v>
      </c>
      <c r="D2" s="191"/>
      <c r="E2" s="191"/>
      <c r="F2" s="191"/>
      <c r="G2" s="191"/>
    </row>
    <row r="3" spans="1:7" s="192" customFormat="1" ht="18" customHeight="1" thickBot="1">
      <c r="A3" s="195" t="s">
        <v>58</v>
      </c>
      <c r="B3" s="196">
        <f ca="1">ROUND(B2*10000/'数据-汇总表'!E3,0)</f>
        <v>2519798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2</v>
      </c>
      <c r="D9" s="795">
        <f>'数据-汇总表'!E5</f>
        <v>105.06</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105.06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2102</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2102</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26445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0.02</v>
      </c>
      <c r="G36" s="252" t="s">
        <v>35</v>
      </c>
    </row>
    <row r="37" spans="1:7" s="250" customFormat="1" ht="13.5" customHeight="1">
      <c r="A37" s="734" t="s">
        <v>353</v>
      </c>
      <c r="B37" s="207" t="s">
        <v>91</v>
      </c>
      <c r="C37" s="241">
        <f>ROUND(E37*D37*F34/10000,0)</f>
        <v>2</v>
      </c>
      <c r="D37" s="209">
        <f>'数据-汇总表'!E3</f>
        <v>105.06</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7" t="s">
        <v>94</v>
      </c>
    </row>
    <row r="43" spans="1:7" ht="13.5" customHeight="1">
      <c r="A43" s="734" t="s">
        <v>347</v>
      </c>
      <c r="B43" s="207" t="s">
        <v>426</v>
      </c>
      <c r="C43" s="230">
        <f ca="1">ROUND(IF('数据-取费表'!B22&lt;=1,C39*F22*'数据-取费表'!B21/2,C39*(POWER((1+F22),'数据-取费表'!B21/2)-1)),0)</f>
        <v>0</v>
      </c>
      <c r="D43" s="230"/>
      <c r="E43" s="230"/>
      <c r="F43" s="231"/>
      <c r="G43" s="3358"/>
    </row>
    <row r="44" spans="1:7" ht="13.5" customHeight="1">
      <c r="A44" s="734" t="s">
        <v>348</v>
      </c>
      <c r="B44" s="207" t="s">
        <v>428</v>
      </c>
      <c r="C44" s="230">
        <f ca="1">ROUND(IF('数据-取费表'!B22&lt;=1,C40*F22*'数据-取费表'!B21/2,C40*(POWER((1+F22),'数据-取费表'!B21/2)-1)),4)</f>
        <v>5.9999999999999995E-4</v>
      </c>
      <c r="D44" s="230"/>
      <c r="E44" s="230"/>
      <c r="F44" s="231"/>
      <c r="G44" s="3359"/>
    </row>
    <row r="45" spans="1:7" s="206" customFormat="1" ht="13.5" customHeight="1">
      <c r="A45" s="731" t="s">
        <v>341</v>
      </c>
      <c r="B45" s="236" t="s">
        <v>85</v>
      </c>
      <c r="C45" s="237">
        <f>C46</f>
        <v>3</v>
      </c>
      <c r="D45" s="227">
        <f>C47</f>
        <v>2E-3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39</v>
      </c>
      <c r="D49" s="224"/>
      <c r="E49" s="224"/>
      <c r="F49" s="256"/>
      <c r="G49" s="226" t="s">
        <v>435</v>
      </c>
    </row>
    <row r="50" spans="1:7" s="250" customFormat="1" ht="24">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28</v>
      </c>
      <c r="D51" s="224"/>
      <c r="E51" s="224"/>
      <c r="F51" s="256"/>
      <c r="G51" s="226" t="s">
        <v>37</v>
      </c>
    </row>
    <row r="52" spans="1:7" s="200" customFormat="1" ht="16.8" thickBot="1">
      <c r="A52" s="257" t="s">
        <v>38</v>
      </c>
      <c r="B52" s="258"/>
      <c r="C52" s="259">
        <f ca="1">C31+C51</f>
        <v>26473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Normal="80" zoomScaleSheetLayoutView="100" workbookViewId="0">
      <selection activeCell="D34" sqref="D34"/>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1925</v>
      </c>
      <c r="B1" s="189"/>
      <c r="C1" s="193" t="s">
        <v>1926</v>
      </c>
      <c r="D1" s="333">
        <f>SUM(D33:D34,D37:D42)</f>
        <v>105.06</v>
      </c>
      <c r="E1" s="1841"/>
      <c r="F1" s="1841"/>
      <c r="G1" s="1841"/>
      <c r="H1" s="1841"/>
      <c r="I1" s="1841"/>
      <c r="J1" s="1841"/>
      <c r="K1" s="1056"/>
      <c r="L1" s="1842" t="s">
        <v>1927</v>
      </c>
      <c r="M1" s="810">
        <f>SUMPRODUCT((区片价!B5:B9=I2)*(区片价!C3:G3=E2)*(区片价!C5:G9))</f>
        <v>0</v>
      </c>
      <c r="N1" s="813">
        <f>SUMPRODUCT((因素修正幅度!B5:B9=I2)*(因素修正幅度!C3:G3=E2)*(因素修正幅度!C5:G9))</f>
        <v>0</v>
      </c>
      <c r="O1" s="1843"/>
      <c r="P1" s="1843"/>
      <c r="Q1" s="1056"/>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6">
      <c r="A2" s="193" t="s">
        <v>1933</v>
      </c>
      <c r="B2" s="196">
        <f>C30</f>
        <v>158</v>
      </c>
      <c r="C2" s="1845" t="s">
        <v>1934</v>
      </c>
      <c r="D2" s="162" t="s">
        <v>1935</v>
      </c>
      <c r="E2" s="3118" t="s">
        <v>3424</v>
      </c>
      <c r="F2" s="162" t="s">
        <v>1936</v>
      </c>
      <c r="G2" s="163" t="str">
        <f>IF(E2="商业",项目基本情况!B37,IF(E2="办公",项目基本情况!C37,IF(E2="住宅",项目基本情况!D37,IF(E2="工业",项目基本情况!E37,项目基本情况!F37))))</f>
        <v>六级</v>
      </c>
      <c r="H2" s="162" t="s">
        <v>1937</v>
      </c>
      <c r="I2" s="163" t="str">
        <f>IF(E2="商业",项目基本情况!B38,IF(E2="办公",项目基本情况!C38,IF(E2="住宅",项目基本情况!D38,IF(E2="工业",项目基本情况!E38,项目基本情况!F38))))</f>
        <v>Ⅵ-10</v>
      </c>
      <c r="J2" s="1841"/>
      <c r="K2" s="1056"/>
      <c r="L2" s="1846" t="s">
        <v>1938</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1.5019</v>
      </c>
      <c r="T2" s="3061">
        <f t="shared" ref="T2:T16" si="0">ROUND($C$5*$C$22*$C$23*$C$24*S2*$C$28,0)</f>
        <v>22607</v>
      </c>
      <c r="U2" s="1129"/>
      <c r="V2" s="3061">
        <f>ROUND(T2*U2/10000,0)</f>
        <v>0</v>
      </c>
      <c r="W2" s="1132"/>
      <c r="X2" s="1132"/>
      <c r="Y2" s="1132"/>
      <c r="Z2" s="1132"/>
      <c r="AA2" s="1132"/>
      <c r="AB2" s="1132"/>
      <c r="AC2" s="1133"/>
      <c r="AD2" s="1134"/>
      <c r="AE2" s="1134"/>
      <c r="AF2" s="1134"/>
      <c r="AG2" s="1134"/>
      <c r="AH2" s="1134"/>
      <c r="AI2" s="1134"/>
      <c r="AJ2" s="1135"/>
    </row>
    <row r="3" spans="1:36" ht="15.6">
      <c r="A3" s="195" t="s">
        <v>1939</v>
      </c>
      <c r="B3" s="196">
        <f>ROUND(B2*10000/D1,0)</f>
        <v>15039</v>
      </c>
      <c r="C3" s="1845" t="s">
        <v>1940</v>
      </c>
      <c r="D3" s="162" t="s">
        <v>1941</v>
      </c>
      <c r="E3" s="3116" t="s">
        <v>3490</v>
      </c>
      <c r="F3" s="1847" t="s">
        <v>3491</v>
      </c>
      <c r="G3" s="708">
        <f>IF(F3="宗地容积率",'数据-汇总表'!I4,IF(F3="估价对象容积率",'数据-汇总表'!I6,'数据-汇总表'!I7))</f>
        <v>2.48</v>
      </c>
      <c r="H3" s="162" t="s">
        <v>1942</v>
      </c>
      <c r="I3" s="729"/>
      <c r="J3" s="1841" t="s">
        <v>1943</v>
      </c>
      <c r="K3" s="1056"/>
      <c r="L3" s="1846" t="s">
        <v>1944</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1.1838</v>
      </c>
      <c r="T3" s="3061">
        <f t="shared" si="0"/>
        <v>17819</v>
      </c>
      <c r="U3" s="1129"/>
      <c r="V3" s="3061">
        <f t="shared" ref="V3:V16" si="1">ROUND(T3*U3/10000,0)</f>
        <v>0</v>
      </c>
      <c r="W3" s="1132"/>
      <c r="X3" s="1132"/>
      <c r="Y3" s="1132"/>
      <c r="Z3" s="1132"/>
      <c r="AA3" s="1132"/>
      <c r="AB3" s="1132"/>
      <c r="AC3" s="1133"/>
      <c r="AD3" s="1134"/>
      <c r="AE3" s="1134"/>
      <c r="AF3" s="1134"/>
      <c r="AG3" s="1134"/>
      <c r="AH3" s="1134"/>
      <c r="AI3" s="1134"/>
      <c r="AJ3" s="1135"/>
    </row>
    <row r="4" spans="1:36" ht="15.6">
      <c r="A4" s="3462"/>
      <c r="B4" s="3463"/>
      <c r="C4" s="3463"/>
      <c r="D4" s="3464"/>
      <c r="E4" s="3464"/>
      <c r="F4" s="3464"/>
      <c r="G4" s="3464"/>
      <c r="H4" s="3464"/>
      <c r="I4" s="3464"/>
      <c r="J4" s="3465"/>
      <c r="K4" s="1056"/>
      <c r="L4" s="1846" t="s">
        <v>1945</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1.0004999999999999</v>
      </c>
      <c r="T4" s="3061">
        <f t="shared" si="0"/>
        <v>15060</v>
      </c>
      <c r="U4" s="1129"/>
      <c r="V4" s="3061">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1946</v>
      </c>
      <c r="C5" s="709">
        <f>ROUND(IF(E2="商业",C6*C7*C17+C20,(IF(E2="住宅",C6*C13*C17+C20,IF(E2="办公",C6*C12*C17+C20,C6+C20)))),0)</f>
        <v>14770</v>
      </c>
      <c r="D5" s="1251">
        <f>ROUND(C6*C17+C20,0)</f>
        <v>14770</v>
      </c>
      <c r="E5" s="1251"/>
      <c r="F5" s="1850"/>
      <c r="G5" s="1851"/>
      <c r="H5" s="1851"/>
      <c r="I5" s="1851"/>
      <c r="J5" s="1852"/>
      <c r="K5" s="1853"/>
      <c r="L5" s="1846" t="s">
        <v>1947</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0.88239999999999996</v>
      </c>
      <c r="T5" s="3061">
        <f t="shared" si="0"/>
        <v>13282</v>
      </c>
      <c r="U5" s="1129"/>
      <c r="V5" s="3061">
        <f t="shared" si="1"/>
        <v>0</v>
      </c>
      <c r="W5" s="1132"/>
      <c r="X5" s="1132"/>
      <c r="Y5" s="1132"/>
      <c r="Z5" s="1132"/>
      <c r="AA5" s="1132"/>
      <c r="AB5" s="1132"/>
      <c r="AC5" s="1854"/>
      <c r="AD5" s="1855"/>
      <c r="AE5" s="1855"/>
      <c r="AF5" s="1855"/>
      <c r="AG5" s="1855"/>
      <c r="AH5" s="1855"/>
      <c r="AI5" s="1855"/>
      <c r="AJ5" s="1856"/>
    </row>
    <row r="6" spans="1:36" ht="15.6" thickBot="1">
      <c r="A6" s="1858" t="s">
        <v>1948</v>
      </c>
      <c r="B6" s="1859" t="s">
        <v>1949</v>
      </c>
      <c r="C6" s="710">
        <f>SUMIF(L1:L12,G2,M1:M12)</f>
        <v>14770</v>
      </c>
      <c r="D6" s="1860"/>
      <c r="E6" s="1861"/>
      <c r="F6" s="1861"/>
      <c r="G6" s="1862"/>
      <c r="H6" s="1862"/>
      <c r="I6" s="1862"/>
      <c r="J6" s="1863"/>
      <c r="K6" s="1291"/>
      <c r="L6" s="1846" t="s">
        <v>1950</v>
      </c>
      <c r="M6" s="811">
        <f>SUMPRODUCT((区片价!B127:B189=I2)*(区片价!C3:G3=E2)*(区片价!C127:G189))</f>
        <v>14770</v>
      </c>
      <c r="N6" s="813">
        <f>SUMPRODUCT((因素修正幅度!B127:B189=I2)*(因素修正幅度!C3:G3=E2)*(因素修正幅度!C127:G189))</f>
        <v>0.121</v>
      </c>
      <c r="O6" s="1056"/>
      <c r="P6" s="1056"/>
      <c r="Q6" s="1056"/>
      <c r="R6" s="1128">
        <v>5</v>
      </c>
      <c r="S6" s="3061">
        <f>ROUND(SUMPRODUCT((B106:B110=R6)*(C105:N105=G2)*(C106:N110)),4)</f>
        <v>0.84799999999999998</v>
      </c>
      <c r="T6" s="3061">
        <f t="shared" si="0"/>
        <v>12764</v>
      </c>
      <c r="U6" s="1129"/>
      <c r="V6" s="3061">
        <f t="shared" si="1"/>
        <v>0</v>
      </c>
      <c r="W6" s="1132"/>
      <c r="X6" s="1132"/>
      <c r="Y6" s="1132"/>
      <c r="Z6" s="1132"/>
      <c r="AA6" s="1132"/>
      <c r="AB6" s="1132"/>
      <c r="AC6" s="1854"/>
      <c r="AD6" s="1855"/>
      <c r="AE6" s="1855"/>
      <c r="AF6" s="1855"/>
      <c r="AG6" s="1855"/>
      <c r="AH6" s="1855"/>
      <c r="AI6" s="1855"/>
      <c r="AJ6" s="1856"/>
    </row>
    <row r="7" spans="1:36" ht="24.6" thickBot="1">
      <c r="A7" s="3010" t="s">
        <v>3235</v>
      </c>
      <c r="B7" s="1864" t="s">
        <v>1951</v>
      </c>
      <c r="C7" s="711" t="e">
        <f>IF(C8="不临65条商业街",1,ROUND(1+(1.6*E8+1.2*E9+0.8*E10+0.4*E11)*C9,4))</f>
        <v>#DIV/0!</v>
      </c>
      <c r="D7" s="1865" t="s">
        <v>1952</v>
      </c>
      <c r="E7" s="730"/>
      <c r="F7" s="1866"/>
      <c r="G7" s="1867"/>
      <c r="H7" s="1867"/>
      <c r="I7" s="1867"/>
      <c r="J7" s="1868"/>
      <c r="K7" s="1291"/>
      <c r="L7" s="1846" t="s">
        <v>1953</v>
      </c>
      <c r="M7" s="811">
        <f>SUMPRODUCT((区片价!B190:B233=I2)*(区片价!C3:G3=E2)*(区片价!C190:G233))</f>
        <v>0</v>
      </c>
      <c r="N7" s="813">
        <f>SUMPRODUCT((因素修正幅度!B190:B233=I2)*(因素修正幅度!C3:G3=E2)*(因素修正幅度!C190:G233))</f>
        <v>0</v>
      </c>
      <c r="O7" s="1056"/>
      <c r="P7" s="1056"/>
      <c r="Q7" s="1056"/>
      <c r="R7" s="1128">
        <v>6</v>
      </c>
      <c r="S7" s="3115"/>
      <c r="T7" s="3061">
        <f t="shared" si="0"/>
        <v>0</v>
      </c>
      <c r="U7" s="1129"/>
      <c r="V7" s="3061">
        <f t="shared" si="1"/>
        <v>0</v>
      </c>
      <c r="W7" s="1266" t="s">
        <v>1954</v>
      </c>
      <c r="X7" s="1130" t="str">
        <f>G2</f>
        <v>六级</v>
      </c>
      <c r="Y7" s="1130" t="s">
        <v>1955</v>
      </c>
      <c r="Z7" s="1131">
        <f>G3</f>
        <v>2.48</v>
      </c>
      <c r="AA7" s="1132"/>
      <c r="AB7" s="1132"/>
      <c r="AC7" s="1133"/>
      <c r="AD7" s="1134"/>
      <c r="AE7" s="1134"/>
      <c r="AF7" s="1134"/>
      <c r="AG7" s="1134"/>
      <c r="AH7" s="1134"/>
      <c r="AI7" s="1134"/>
      <c r="AJ7" s="1135"/>
    </row>
    <row r="8" spans="1:36" ht="15">
      <c r="A8" s="3007"/>
      <c r="B8" s="162" t="s">
        <v>1956</v>
      </c>
      <c r="C8" s="1869"/>
      <c r="D8" s="712" t="s">
        <v>112</v>
      </c>
      <c r="E8" s="713" t="e">
        <f>ROUND(C11/E7,4)</f>
        <v>#DIV/0!</v>
      </c>
      <c r="F8" s="1870" t="s">
        <v>1957</v>
      </c>
      <c r="G8" s="1871"/>
      <c r="H8" s="1871"/>
      <c r="I8" s="1871"/>
      <c r="J8" s="1872"/>
      <c r="K8" s="1056"/>
      <c r="L8" s="1846" t="s">
        <v>1958</v>
      </c>
      <c r="M8" s="811">
        <f>SUMPRODUCT((区片价!B234:B276=I2)*(区片价!C3:G3=E2)*(区片价!C234:G276))</f>
        <v>0</v>
      </c>
      <c r="N8" s="813">
        <f>SUMPRODUCT((因素修正幅度!B234:B276=I2)*(因素修正幅度!C3:G3=E2)*(因素修正幅度!C234:G276))</f>
        <v>0</v>
      </c>
      <c r="O8" s="1056"/>
      <c r="P8" s="1056"/>
      <c r="Q8" s="1056"/>
      <c r="R8" s="1128">
        <v>7</v>
      </c>
      <c r="S8" s="1129"/>
      <c r="T8" s="3061">
        <f t="shared" si="0"/>
        <v>0</v>
      </c>
      <c r="U8" s="1129"/>
      <c r="V8" s="3061">
        <f t="shared" si="1"/>
        <v>0</v>
      </c>
      <c r="W8" s="3459" t="s">
        <v>1959</v>
      </c>
      <c r="X8" s="3460"/>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7"/>
      <c r="B9" s="162" t="s">
        <v>1972</v>
      </c>
      <c r="C9" s="714">
        <f>SUMIF(修正!C71:C138,C8,修正!E71:E138)</f>
        <v>0</v>
      </c>
      <c r="D9" s="163" t="s">
        <v>113</v>
      </c>
      <c r="E9" s="163" t="e">
        <f>ROUND(C11/E7,4)</f>
        <v>#DIV/0!</v>
      </c>
      <c r="F9" s="1870" t="s">
        <v>1973</v>
      </c>
      <c r="G9" s="1871"/>
      <c r="H9" s="1871"/>
      <c r="I9" s="1871"/>
      <c r="J9" s="1872"/>
      <c r="K9" s="1056"/>
      <c r="L9" s="1846" t="s">
        <v>1974</v>
      </c>
      <c r="M9" s="811">
        <f>SUMPRODUCT((区片价!B277:B326=I2)*(区片价!C3:G3=E2)*(区片价!C277:G326))</f>
        <v>0</v>
      </c>
      <c r="N9" s="813">
        <f>SUMPRODUCT((因素修正幅度!B277:B326=I2)*(因素修正幅度!C3:G3=E2)*(因素修正幅度!C277:G326))</f>
        <v>0</v>
      </c>
      <c r="O9" s="1056"/>
      <c r="P9" s="1056"/>
      <c r="Q9" s="1056"/>
      <c r="R9" s="1128">
        <v>8</v>
      </c>
      <c r="S9" s="1129"/>
      <c r="T9" s="3061">
        <f t="shared" si="0"/>
        <v>0</v>
      </c>
      <c r="U9" s="1129"/>
      <c r="V9" s="3061">
        <f t="shared" si="1"/>
        <v>0</v>
      </c>
      <c r="W9" s="3461"/>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1975</v>
      </c>
      <c r="C10" s="163">
        <f>SUMIF(修正!C71:C138,C8,修正!F71:F138)</f>
        <v>0</v>
      </c>
      <c r="D10" s="163" t="s">
        <v>114</v>
      </c>
      <c r="E10" s="163" t="e">
        <f>ROUND(C11/E7,4)</f>
        <v>#DIV/0!</v>
      </c>
      <c r="F10" s="1870" t="s">
        <v>1976</v>
      </c>
      <c r="G10" s="1871"/>
      <c r="H10" s="1871"/>
      <c r="I10" s="1871"/>
      <c r="J10" s="1872"/>
      <c r="K10" s="1056"/>
      <c r="L10" s="1846" t="s">
        <v>1977</v>
      </c>
      <c r="M10" s="811">
        <f>SUMPRODUCT((区片价!B327:B357=I2)*(区片价!C3:G3=E2)*(区片价!C327:G357))</f>
        <v>0</v>
      </c>
      <c r="N10" s="813">
        <f>SUMPRODUCT((因素修正幅度!B327:B357=I2)*(因素修正幅度!C3:G3=E2)*(因素修正幅度!C327:G357))</f>
        <v>0</v>
      </c>
      <c r="O10" s="1056"/>
      <c r="P10" s="1056"/>
      <c r="Q10" s="1056"/>
      <c r="R10" s="1128">
        <v>9</v>
      </c>
      <c r="S10" s="1129"/>
      <c r="T10" s="3061">
        <f t="shared" si="0"/>
        <v>0</v>
      </c>
      <c r="U10" s="1129"/>
      <c r="V10" s="3061">
        <f t="shared" si="1"/>
        <v>0</v>
      </c>
      <c r="W10" s="3461"/>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3" t="s">
        <v>1978</v>
      </c>
      <c r="C11" s="715">
        <f>C10/4</f>
        <v>0</v>
      </c>
      <c r="D11" s="715" t="s">
        <v>115</v>
      </c>
      <c r="E11" s="715" t="e">
        <f>ROUND(C11/E7,4)</f>
        <v>#DIV/0!</v>
      </c>
      <c r="F11" s="1874" t="s">
        <v>1979</v>
      </c>
      <c r="G11" s="1875"/>
      <c r="H11" s="1875"/>
      <c r="I11" s="1875"/>
      <c r="J11" s="1876"/>
      <c r="K11" s="1056"/>
      <c r="L11" s="1846" t="s">
        <v>1980</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8" thickBot="1">
      <c r="A12" s="3010" t="s">
        <v>3236</v>
      </c>
      <c r="B12" s="3011" t="s">
        <v>3237</v>
      </c>
      <c r="C12" s="3012"/>
      <c r="D12" s="3013" t="s">
        <v>3238</v>
      </c>
      <c r="E12" s="3014" t="s">
        <v>3239</v>
      </c>
      <c r="F12" s="3015"/>
      <c r="G12" s="3016"/>
      <c r="H12" s="3016"/>
      <c r="I12" s="3016"/>
      <c r="J12" s="3017"/>
      <c r="K12" s="1056"/>
      <c r="L12" s="1795" t="s">
        <v>1983</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24.6" thickBot="1">
      <c r="A13" s="3010" t="s">
        <v>3240</v>
      </c>
      <c r="B13" s="1877" t="s">
        <v>1981</v>
      </c>
      <c r="C13" s="711">
        <f>ROUND(C16*D16*E16*F16*G16*H16*I16*J16,4)</f>
        <v>1</v>
      </c>
      <c r="D13" s="1878" t="s">
        <v>1982</v>
      </c>
      <c r="E13" s="1879"/>
      <c r="F13" s="1879"/>
      <c r="G13" s="1880"/>
      <c r="H13" s="1880"/>
      <c r="I13" s="1880"/>
      <c r="J13" s="1881"/>
      <c r="K13" s="1056"/>
      <c r="L13" s="3"/>
      <c r="M13" s="4"/>
      <c r="N13" s="3008"/>
      <c r="O13" s="1056"/>
      <c r="P13" s="1056"/>
      <c r="Q13" s="1056"/>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24">
      <c r="A14" s="3006"/>
      <c r="B14" s="1882" t="s">
        <v>1984</v>
      </c>
      <c r="C14" s="1883" t="s">
        <v>1985</v>
      </c>
      <c r="D14" s="1260" t="s">
        <v>1986</v>
      </c>
      <c r="E14" s="27" t="s">
        <v>1987</v>
      </c>
      <c r="F14" s="3018" t="s">
        <v>3241</v>
      </c>
      <c r="G14" s="3018" t="s">
        <v>3241</v>
      </c>
      <c r="H14" s="3018" t="s">
        <v>3241</v>
      </c>
      <c r="I14" s="3018" t="s">
        <v>3241</v>
      </c>
      <c r="J14" s="3018" t="s">
        <v>3241</v>
      </c>
      <c r="K14" s="1056"/>
      <c r="L14" s="1056"/>
      <c r="M14" s="1056"/>
      <c r="N14" s="1056"/>
      <c r="O14" s="1056"/>
      <c r="P14" s="1056"/>
      <c r="Q14" s="1056"/>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3242</v>
      </c>
      <c r="G15" s="1927"/>
      <c r="H15" s="3019"/>
      <c r="I15" s="3020"/>
      <c r="J15" s="3021"/>
      <c r="K15" s="1056"/>
      <c r="L15" s="1056"/>
      <c r="M15" s="1056"/>
      <c r="N15" s="1056"/>
      <c r="O15" s="1056"/>
      <c r="P15" s="1056"/>
      <c r="Q15" s="1056"/>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6" thickBot="1">
      <c r="A16" s="3006"/>
      <c r="B16" s="3024" t="s">
        <v>1988</v>
      </c>
      <c r="C16" s="3022">
        <v>1</v>
      </c>
      <c r="D16" s="3022">
        <v>1</v>
      </c>
      <c r="E16" s="3022">
        <v>1</v>
      </c>
      <c r="F16" s="3022">
        <v>1</v>
      </c>
      <c r="G16" s="3022">
        <v>1</v>
      </c>
      <c r="H16" s="3022">
        <v>1</v>
      </c>
      <c r="I16" s="3022">
        <v>1</v>
      </c>
      <c r="J16" s="3023">
        <v>1</v>
      </c>
      <c r="K16" s="1056"/>
      <c r="L16" s="1843"/>
      <c r="M16" s="1843"/>
      <c r="N16" s="1843"/>
      <c r="O16" s="1843"/>
      <c r="P16" s="1843"/>
      <c r="Q16" s="1056"/>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ht="24">
      <c r="A17" s="3033" t="s">
        <v>3243</v>
      </c>
      <c r="B17" s="3025" t="s">
        <v>3244</v>
      </c>
      <c r="C17" s="3034">
        <f>ROUND(IF(OR(E2="工业",E2="公共服务"),1,IF(AND(E18=0,E19=0),1,IF(AND(E18=J24,E19=G19),0.8,IF(E19=0,1+E17*(-0.2),1+E17*G17*(-0.2))))),4)</f>
        <v>1</v>
      </c>
      <c r="D17" s="3026" t="s">
        <v>3245</v>
      </c>
      <c r="E17" s="3034">
        <f>ROUND(G18/I18,2)</f>
        <v>0</v>
      </c>
      <c r="F17" s="3026" t="s">
        <v>3248</v>
      </c>
      <c r="G17" s="3034" t="e">
        <f>ROUND(E19/G19,2)</f>
        <v>#DIV/0!</v>
      </c>
      <c r="H17" s="3034"/>
      <c r="I17" s="3034"/>
      <c r="J17" s="3035"/>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6"/>
      <c r="B18" s="2308"/>
      <c r="C18" s="3032"/>
      <c r="D18" s="3027" t="s">
        <v>3246</v>
      </c>
      <c r="E18" s="2355"/>
      <c r="F18" s="3028" t="s">
        <v>3249</v>
      </c>
      <c r="G18" s="3032">
        <f>ROUND(1-(1/(POWER(1+G24,E18))),4)</f>
        <v>0</v>
      </c>
      <c r="H18" s="3028" t="s">
        <v>3251</v>
      </c>
      <c r="I18" s="3032">
        <f>ROUND(1-(1/(POWER(1+G24,J24))),4)</f>
        <v>0.96709999999999996</v>
      </c>
      <c r="J18" s="3037"/>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0"/>
    </row>
    <row r="19" spans="1:37" s="1857" customFormat="1" ht="14.4" thickBot="1">
      <c r="A19" s="3038"/>
      <c r="B19" s="3039"/>
      <c r="C19" s="3040"/>
      <c r="D19" s="3040" t="s">
        <v>3247</v>
      </c>
      <c r="E19" s="3041"/>
      <c r="F19" s="3042" t="s">
        <v>3250</v>
      </c>
      <c r="G19" s="3041"/>
      <c r="H19" s="3040"/>
      <c r="I19" s="3040"/>
      <c r="J19" s="3043"/>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3"/>
      <c r="AH19" s="1979"/>
      <c r="AI19" s="561"/>
      <c r="AJ19" s="561"/>
      <c r="AK19" s="1898"/>
    </row>
    <row r="20" spans="1:37" s="1857" customFormat="1" ht="13.8">
      <c r="A20" s="3466" t="s">
        <v>3252</v>
      </c>
      <c r="B20" s="159" t="s">
        <v>1993</v>
      </c>
      <c r="C20" s="3029">
        <f>ROUND(IF(F21="与级别开发程度一致",0,(G21-E21)/C21),0)</f>
        <v>0</v>
      </c>
      <c r="D20" s="3044" t="s">
        <v>1997</v>
      </c>
      <c r="E20" s="3045"/>
      <c r="F20" s="3472" t="s">
        <v>1994</v>
      </c>
      <c r="G20" s="3473"/>
      <c r="H20" s="3030"/>
      <c r="I20" s="3030"/>
      <c r="J20" s="3031"/>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7" customFormat="1" ht="27" thickBot="1">
      <c r="A21" s="3467"/>
      <c r="B21" s="2001" t="s">
        <v>1996</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3502</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7" customFormat="1" ht="15" thickBot="1">
      <c r="A22" s="1995" t="s">
        <v>363</v>
      </c>
      <c r="B22" s="1996" t="s">
        <v>1999</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1" t="s">
        <v>364</v>
      </c>
      <c r="B23" s="1892" t="s">
        <v>2000</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1.0561</v>
      </c>
      <c r="D23" s="1895" t="s">
        <v>2001</v>
      </c>
      <c r="E23" s="717">
        <v>44197</v>
      </c>
      <c r="F23" s="1895" t="s">
        <v>2002</v>
      </c>
      <c r="G23" s="718">
        <f>'数据-取费表'!B2</f>
        <v>45727</v>
      </c>
      <c r="H23" s="3046" t="s">
        <v>3254</v>
      </c>
      <c r="I23" s="3047" t="str">
        <f>IF(H23="季度增幅（自定义）",SUMIF(N25:N28,E2,O25:O28),"")</f>
        <v/>
      </c>
      <c r="J23" s="3139" t="s">
        <v>3253</v>
      </c>
      <c r="K23" s="1061"/>
      <c r="L23" s="1896" t="s">
        <v>2003</v>
      </c>
      <c r="M23" s="1240">
        <f>ROUND(SUMIF(地价!B2:G2,E2,地价!B16:G16),0)</f>
        <v>687</v>
      </c>
      <c r="N23" s="1897" t="s">
        <v>2004</v>
      </c>
      <c r="O23" s="719">
        <f>ROUNDDOWN(DATEDIF(E23,G23,"M")/3,0)</f>
        <v>16</v>
      </c>
      <c r="P23" s="1057"/>
      <c r="Q23" s="2550"/>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2005</v>
      </c>
      <c r="C24" s="720">
        <f>ROUND(POWER(1+G24,J24-I24)*(POWER(1+G24,I24)-1)/(POWER(1+G24,J24)-1),4)</f>
        <v>0.9244</v>
      </c>
      <c r="D24" s="1901" t="s">
        <v>2006</v>
      </c>
      <c r="E24" s="1247">
        <f>存贷款利率!E27/100</f>
        <v>4.3499999999999997E-2</v>
      </c>
      <c r="F24" s="1901" t="s">
        <v>1998</v>
      </c>
      <c r="G24" s="724">
        <f>SUMIF(M30:Q30,E2,M33:Q33)</f>
        <v>0.05</v>
      </c>
      <c r="H24" s="1901" t="s">
        <v>2007</v>
      </c>
      <c r="I24" s="725">
        <f>SUMIF('数据-取费表'!C6:C15,E2,'数据-取费表'!F6:F15)/COUNTIF('数据-取费表'!C6:C15,E2)</f>
        <v>46</v>
      </c>
      <c r="J24" s="726">
        <f>IF(E2="住宅",70,IF(E2="商业",40,50))</f>
        <v>70</v>
      </c>
      <c r="K24" s="1061"/>
      <c r="L24" s="1902" t="s">
        <v>2008</v>
      </c>
      <c r="M24" s="1241">
        <f>ROUND(SUMPRODUCT((地价!A4:A16=YEAR(G23)&amp;"-"&amp;ROUNDUP(MONTH(G23)/3,0))*(地价!B2:G2=E2)*(地价!B4:G16)),0)</f>
        <v>0</v>
      </c>
      <c r="N24" s="1903" t="s">
        <v>2009</v>
      </c>
      <c r="O24" s="1904" t="s">
        <v>2010</v>
      </c>
      <c r="P24" s="1905" t="s">
        <v>2011</v>
      </c>
      <c r="Q24" s="1843"/>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6" t="s">
        <v>366</v>
      </c>
      <c r="B25" s="1907" t="s">
        <v>3333</v>
      </c>
      <c r="C25" s="461">
        <f>IF(B25="容积率修正",IF(G3&lt;10,D26,J26),C27)</f>
        <v>1.0018</v>
      </c>
      <c r="D25" s="1908"/>
      <c r="E25" s="1908"/>
      <c r="F25" s="1908"/>
      <c r="G25" s="1908"/>
      <c r="H25" s="1908"/>
      <c r="I25" s="1908"/>
      <c r="J25" s="1909"/>
      <c r="K25" s="1061"/>
      <c r="L25" s="2550"/>
      <c r="M25" s="2550"/>
      <c r="N25" s="1910" t="s">
        <v>2012</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2013</v>
      </c>
      <c r="B26" s="1911" t="s">
        <v>2014</v>
      </c>
      <c r="C26" s="1911" t="s">
        <v>3255</v>
      </c>
      <c r="D26" s="1262">
        <f>IF(E26=G26,F26,IF(G3&lt;10,ROUND(F26+(H26-F26)*(G3-E26)/(G26-E26),4),"——"))</f>
        <v>1.0018</v>
      </c>
      <c r="E26" s="708">
        <f>ROUNDDOWN(G3,1)</f>
        <v>2.4</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1.0092000000000001</v>
      </c>
      <c r="G26" s="708">
        <f>ROUNDUP(G3,1)</f>
        <v>2.5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3256</v>
      </c>
      <c r="J26" s="374" t="str">
        <f>IF(G3&gt;=10,D115,"——")</f>
        <v>——</v>
      </c>
      <c r="K26" s="1061"/>
      <c r="L26" s="2550"/>
      <c r="M26" s="2550"/>
      <c r="N26" s="1910" t="s">
        <v>2015</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2016</v>
      </c>
      <c r="B27" s="1912" t="s">
        <v>2017</v>
      </c>
      <c r="C27" s="791">
        <f>ROUND(IF(I3&lt;6,SUMPRODUCT((B106:B110=I3)*(C105:N105=G2)*(C106:N110)),SUMIF(C105:N105,G2,C112:N112)),4)</f>
        <v>0</v>
      </c>
      <c r="D27" s="1841"/>
      <c r="E27" s="1841"/>
      <c r="F27" s="1913"/>
      <c r="G27" s="1914"/>
      <c r="H27" s="1915"/>
      <c r="I27" s="1916"/>
      <c r="J27" s="1917"/>
      <c r="K27" s="1056"/>
      <c r="L27" s="1843"/>
      <c r="M27" s="1843"/>
      <c r="N27" s="1910" t="s">
        <v>2018</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2019</v>
      </c>
      <c r="C28" s="716">
        <f>SUMIF(A47:A101,E2,B47:B101)</f>
        <v>1.0439000000000001</v>
      </c>
      <c r="D28" s="1893"/>
      <c r="E28" s="1918"/>
      <c r="F28" s="1918"/>
      <c r="G28" s="1918"/>
      <c r="H28" s="1918"/>
      <c r="I28" s="1918"/>
      <c r="J28" s="1919"/>
      <c r="K28" s="1061"/>
      <c r="L28" s="2550"/>
      <c r="M28" s="2550"/>
      <c r="N28" s="1920"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2021</v>
      </c>
      <c r="C29" s="721"/>
      <c r="D29" s="1867"/>
      <c r="E29" s="1867"/>
      <c r="F29" s="1922"/>
      <c r="G29" s="1867"/>
      <c r="H29" s="1867"/>
      <c r="I29" s="1867"/>
      <c r="J29" s="1868"/>
      <c r="K29" s="1056"/>
      <c r="L29" s="1843"/>
      <c r="M29" s="1843"/>
      <c r="N29" s="2547" t="s">
        <v>2022</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2023</v>
      </c>
      <c r="C30" s="2144">
        <f>IF(B25="容积率修正",E33+SUM(E37:E42),SUM(V2:V16)+SUM(E37:E42))</f>
        <v>158</v>
      </c>
      <c r="D30" s="1924"/>
      <c r="E30" s="1841"/>
      <c r="F30" s="1925"/>
      <c r="G30" s="1841"/>
      <c r="H30" s="1841"/>
      <c r="I30" s="1841"/>
      <c r="J30" s="1926"/>
      <c r="K30" s="1056"/>
      <c r="L30" s="3053" t="s">
        <v>1935</v>
      </c>
      <c r="M30" s="3054" t="s">
        <v>1989</v>
      </c>
      <c r="N30" s="3054" t="s">
        <v>1990</v>
      </c>
      <c r="O30" s="3054" t="s">
        <v>1991</v>
      </c>
      <c r="P30" s="3054" t="s">
        <v>1992</v>
      </c>
      <c r="Q30" s="3057" t="s">
        <v>3260</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2024</v>
      </c>
      <c r="C31" s="722">
        <f>E34+SUM(I37:I42)</f>
        <v>0</v>
      </c>
      <c r="D31" s="1928"/>
      <c r="E31" s="1929"/>
      <c r="F31" s="1930"/>
      <c r="G31" s="1929"/>
      <c r="H31" s="1929"/>
      <c r="I31" s="1929"/>
      <c r="J31" s="1931"/>
      <c r="K31" s="1056"/>
      <c r="L31" s="3055" t="s">
        <v>1995</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2025</v>
      </c>
      <c r="C32" s="1934" t="s">
        <v>2026</v>
      </c>
      <c r="D32" s="1934" t="s">
        <v>2027</v>
      </c>
      <c r="E32" s="1935" t="s">
        <v>2028</v>
      </c>
      <c r="F32" s="1936"/>
      <c r="G32" s="1880"/>
      <c r="H32" s="1880"/>
      <c r="I32" s="1880"/>
      <c r="J32" s="1881"/>
      <c r="K32" s="1056"/>
      <c r="L32" s="3056" t="s">
        <v>1998</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2029</v>
      </c>
      <c r="C33" s="167">
        <f>ROUND(C5*C22*C23*C24*C25*C28,0)</f>
        <v>15079</v>
      </c>
      <c r="D33" s="1939">
        <f>'数据-汇总表'!E19</f>
        <v>105.06</v>
      </c>
      <c r="E33" s="727">
        <f>ROUND(C33*D33/10000,0)</f>
        <v>158</v>
      </c>
      <c r="F33" s="3048" t="s">
        <v>3258</v>
      </c>
      <c r="G33" s="1940"/>
      <c r="H33" s="1940"/>
      <c r="I33" s="1940"/>
      <c r="J33" s="1941"/>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2030</v>
      </c>
      <c r="C34" s="179">
        <f>ROUND(IF(E2="工业",C33*M42,IF(B25="楼层修正",SUM(V2:V16)*M41*10000/D34,C33*M41)),0)</f>
        <v>3770</v>
      </c>
      <c r="D34" s="1944"/>
      <c r="E34" s="727">
        <f>ROUND(IF(B25="楼层修正",SUM(V2:V16)*M40,C34*D34/10000),0)</f>
        <v>0</v>
      </c>
      <c r="F34" s="1945" t="s">
        <v>2031</v>
      </c>
      <c r="G34" s="1946"/>
      <c r="H34" s="1946"/>
      <c r="I34" s="1946"/>
      <c r="J34" s="1947"/>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2032</v>
      </c>
      <c r="C35" s="3049" t="s">
        <v>3259</v>
      </c>
      <c r="D35" s="1880"/>
      <c r="E35" s="1950"/>
      <c r="F35" s="1950"/>
      <c r="G35" s="1878" t="s">
        <v>2033</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2026</v>
      </c>
      <c r="D36" s="433" t="s">
        <v>2027</v>
      </c>
      <c r="E36" s="433" t="s">
        <v>2028</v>
      </c>
      <c r="F36" s="333" t="s">
        <v>2034</v>
      </c>
      <c r="G36" s="1953" t="s">
        <v>2026</v>
      </c>
      <c r="H36" s="1953" t="s">
        <v>2027</v>
      </c>
      <c r="I36" s="1953" t="s">
        <v>2028</v>
      </c>
      <c r="J36" s="235"/>
      <c r="K36" s="1963" t="s">
        <v>3263</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470"/>
      <c r="B37" s="1954" t="s">
        <v>2035</v>
      </c>
      <c r="C37" s="167">
        <f>ROUND(D5*C22*C23*C24*C28*F37,0)</f>
        <v>9031</v>
      </c>
      <c r="D37" s="1939"/>
      <c r="E37" s="163">
        <f>ROUND(C37*D37/10000,0)</f>
        <v>0</v>
      </c>
      <c r="F37" s="163">
        <f>SUMIF(修正!A57:A68,G2,修正!B57:B68)</f>
        <v>0.6</v>
      </c>
      <c r="G37" s="163">
        <f>ROUND(IF(E2="工业",C37*$M$42,C37*$M$41),0)</f>
        <v>2258</v>
      </c>
      <c r="H37" s="163">
        <f>D37</f>
        <v>0</v>
      </c>
      <c r="I37" s="163">
        <f>ROUND(G37*H37/10000,0)</f>
        <v>0</v>
      </c>
      <c r="J37" s="2752"/>
      <c r="K37" s="3059" t="s">
        <v>3264</v>
      </c>
      <c r="L37" s="1963">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71"/>
      <c r="B38" s="1883" t="s">
        <v>2036</v>
      </c>
      <c r="C38" s="167">
        <f>ROUND(D5*C22*C23*C24*C28*F38,0)</f>
        <v>4516</v>
      </c>
      <c r="D38" s="1939"/>
      <c r="E38" s="163">
        <f t="shared" ref="E38:E42" si="4">ROUND(C38*D38/10000,0)</f>
        <v>0</v>
      </c>
      <c r="F38" s="163">
        <f>SUMIF(修正!A57:A68,G2,修正!C57:C68)</f>
        <v>0.3</v>
      </c>
      <c r="G38" s="163">
        <f>ROUND(IF(E2="工业",C38*$M$42,C38*$M$41),0)</f>
        <v>1129</v>
      </c>
      <c r="H38" s="163">
        <f t="shared" ref="H38:H42" si="5">D38</f>
        <v>0</v>
      </c>
      <c r="I38" s="163">
        <f t="shared" ref="I38:I42" si="6">ROUND(G38*H38/10000,0)</f>
        <v>0</v>
      </c>
      <c r="J38" s="2751"/>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471"/>
      <c r="B39" s="1883" t="s">
        <v>3257</v>
      </c>
      <c r="C39" s="167">
        <f>ROUND(D5*C22*C23*C24*C28*F39,0)</f>
        <v>3763</v>
      </c>
      <c r="D39" s="1939"/>
      <c r="E39" s="163">
        <f t="shared" si="4"/>
        <v>0</v>
      </c>
      <c r="F39" s="163">
        <f>SUMIF(修正!A57:A68,G2,修正!D57:D68)</f>
        <v>0.25</v>
      </c>
      <c r="G39" s="163">
        <f>ROUND(IF(E2="工业",C39*$M$42,C39*$M$41),0)</f>
        <v>941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2037</v>
      </c>
      <c r="C40" s="163">
        <f>ROUND(D5*C22*C23*C24*C28*F40,0)</f>
        <v>3763</v>
      </c>
      <c r="D40" s="1939"/>
      <c r="E40" s="163">
        <f t="shared" si="4"/>
        <v>0</v>
      </c>
      <c r="F40" s="167">
        <f>SUMIF(修正!A57:A68,G2,修正!E57:E68)</f>
        <v>0.25</v>
      </c>
      <c r="G40" s="163">
        <f>ROUND(IF(E2="工业",C40*$M$42,C40*$M$41),0)</f>
        <v>941</v>
      </c>
      <c r="H40" s="163">
        <f t="shared" si="5"/>
        <v>0</v>
      </c>
      <c r="I40" s="163">
        <f t="shared" si="6"/>
        <v>0</v>
      </c>
      <c r="J40" s="939"/>
      <c r="L40" s="1956" t="s">
        <v>2038</v>
      </c>
      <c r="M40" s="1957"/>
      <c r="Z40" s="1057"/>
      <c r="AA40" s="1057"/>
      <c r="AB40" s="1057"/>
      <c r="AC40" s="1057"/>
      <c r="AD40" s="1057"/>
      <c r="AE40" s="1057"/>
      <c r="AF40" s="1057"/>
      <c r="AG40" s="1057"/>
      <c r="AH40" s="1057"/>
      <c r="AI40" s="1057"/>
      <c r="AJ40" s="1057"/>
    </row>
    <row r="41" spans="1:37" s="1056" customFormat="1">
      <c r="A41" s="1955"/>
      <c r="B41" s="1883" t="s">
        <v>2039</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60" t="s">
        <v>3265</v>
      </c>
      <c r="M41" s="1958">
        <v>0.25</v>
      </c>
      <c r="Z41" s="1057"/>
      <c r="AA41" s="1057"/>
      <c r="AB41" s="1057"/>
      <c r="AC41" s="1057"/>
      <c r="AD41" s="1057"/>
      <c r="AE41" s="1057"/>
      <c r="AF41" s="1057"/>
      <c r="AG41" s="1057"/>
      <c r="AH41" s="1057"/>
      <c r="AI41" s="1057"/>
      <c r="AJ41" s="1057"/>
    </row>
    <row r="42" spans="1:37" s="1056" customFormat="1" ht="13.8" thickBot="1">
      <c r="A42" s="1942"/>
      <c r="B42" s="1959" t="s">
        <v>2040</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1992</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2120</v>
      </c>
      <c r="C44" s="333">
        <f>ROUND(POWER(1+E44,H44-G44)*(POWER(1+E44,G44)-1)/(POWER(1+E44,H44)-1),4)</f>
        <v>0</v>
      </c>
      <c r="D44" s="163" t="s">
        <v>1998</v>
      </c>
      <c r="E44" s="1990">
        <f>G24</f>
        <v>0.05</v>
      </c>
      <c r="F44" s="163" t="s">
        <v>2007</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2041</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4.4">
      <c r="A48" s="1966" t="s">
        <v>2042</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5.2">
      <c r="A49" s="1969" t="s">
        <v>2043</v>
      </c>
      <c r="B49" s="1261" t="s">
        <v>2044</v>
      </c>
      <c r="C49" s="1261" t="s">
        <v>2045</v>
      </c>
      <c r="D49" s="1261" t="s">
        <v>2046</v>
      </c>
      <c r="E49" s="701" t="s">
        <v>2047</v>
      </c>
      <c r="F49" s="1970" t="s">
        <v>2048</v>
      </c>
      <c r="G49" s="1261" t="s">
        <v>310</v>
      </c>
      <c r="H49" s="1971" t="s">
        <v>2049</v>
      </c>
      <c r="I49" s="1261" t="s">
        <v>2050</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9" t="s">
        <v>2051</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2052</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3267</v>
      </c>
      <c r="B52" s="1261">
        <f>估价对象房地状况!C19</f>
        <v>0</v>
      </c>
      <c r="C52" s="1886"/>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2053</v>
      </c>
      <c r="B53" s="1973" t="s">
        <v>2054</v>
      </c>
      <c r="C53" s="1886"/>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2055</v>
      </c>
      <c r="B54" s="1261">
        <f>估价对象房地状况!C24</f>
        <v>0</v>
      </c>
      <c r="C54" s="1886"/>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2056</v>
      </c>
      <c r="B55" s="1974" t="s">
        <v>2057</v>
      </c>
      <c r="C55" s="1886"/>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2058</v>
      </c>
      <c r="B56" s="1239" t="str">
        <f>估价对象房地状况!C21</f>
        <v>估价对象所在区域公共配套设施齐备情况</v>
      </c>
      <c r="C56" s="1886"/>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2059</v>
      </c>
      <c r="B57" s="1261" t="str">
        <f>估价对象房地状况!C22</f>
        <v>估价对象所在区域基础设施水平</v>
      </c>
      <c r="C57" s="1886"/>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2060</v>
      </c>
      <c r="B58" s="1977" t="str">
        <f>估价对象房地状况!C20</f>
        <v>区域自然环境：；人文环境；综合评价环境状况一般</v>
      </c>
      <c r="C58" s="1886"/>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2061</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2043</v>
      </c>
      <c r="B60" s="1261"/>
      <c r="C60" s="1261" t="s">
        <v>2045</v>
      </c>
      <c r="D60" s="1261" t="s">
        <v>2046</v>
      </c>
      <c r="E60" s="701" t="s">
        <v>2047</v>
      </c>
      <c r="F60" s="1970" t="s">
        <v>2062</v>
      </c>
      <c r="G60" s="1261" t="s">
        <v>310</v>
      </c>
      <c r="H60" s="1971" t="s">
        <v>2049</v>
      </c>
      <c r="I60" s="1261" t="s">
        <v>2050</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2063</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9" t="s">
        <v>2052</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3267</v>
      </c>
      <c r="B63" s="1261">
        <f>估价对象房地状况!C19</f>
        <v>0</v>
      </c>
      <c r="C63" s="1886"/>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9" t="s">
        <v>2053</v>
      </c>
      <c r="B64" s="1973" t="s">
        <v>2054</v>
      </c>
      <c r="C64" s="1886"/>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2055</v>
      </c>
      <c r="B65" s="1261">
        <f>估价对象房地状况!C24</f>
        <v>0</v>
      </c>
      <c r="C65" s="1886"/>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9" t="s">
        <v>2056</v>
      </c>
      <c r="B66" s="1974" t="s">
        <v>2057</v>
      </c>
      <c r="C66" s="1886"/>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9" t="s">
        <v>2058</v>
      </c>
      <c r="B67" s="1239" t="str">
        <f>估价对象房地状况!C21</f>
        <v>估价对象所在区域公共配套设施齐备情况</v>
      </c>
      <c r="C67" s="1886"/>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9" t="s">
        <v>2059</v>
      </c>
      <c r="B68" s="1239" t="str">
        <f>估价对象房地状况!C22</f>
        <v>估价对象所在区域基础设施水平</v>
      </c>
      <c r="C68" s="1886"/>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6" t="s">
        <v>2060</v>
      </c>
      <c r="B69" s="1978" t="str">
        <f>估价对象房地状况!C20</f>
        <v>区域自然环境：；人文环境；综合评价环境状况一般</v>
      </c>
      <c r="C69" s="1886"/>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6" t="s">
        <v>2064</v>
      </c>
      <c r="B70" s="1967">
        <f>1+E72</f>
        <v>1.0439000000000001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2043</v>
      </c>
      <c r="B71" s="1261"/>
      <c r="C71" s="1261" t="s">
        <v>2045</v>
      </c>
      <c r="D71" s="1261" t="s">
        <v>2046</v>
      </c>
      <c r="E71" s="701" t="s">
        <v>2047</v>
      </c>
      <c r="F71" s="1970" t="s">
        <v>2062</v>
      </c>
      <c r="G71" s="1261" t="s">
        <v>310</v>
      </c>
      <c r="H71" s="1971" t="s">
        <v>2049</v>
      </c>
      <c r="I71" s="1261" t="s">
        <v>2050</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9" t="s">
        <v>2065</v>
      </c>
      <c r="B72" s="1972" t="str">
        <f>估价对象房地状况!C15</f>
        <v>估价对象周边居住用地比例、居住小区规模和社区发展完善程度，综合评价居住社区成熟度一般</v>
      </c>
      <c r="C72" s="1886" t="s">
        <v>3505</v>
      </c>
      <c r="D72" s="1002">
        <f t="shared" ref="D72:D80" si="17">SUMIF($J$71:$N$71,C72,J72:N72)</f>
        <v>1.21E-2</v>
      </c>
      <c r="E72" s="702">
        <f>ROUND(SUM(D72:D80),4)</f>
        <v>4.3900000000000002E-2</v>
      </c>
      <c r="F72" s="1674">
        <f>IF(E2="住宅",SUMIF(L1:L12,G2,N1:N12),"——")</f>
        <v>0.121</v>
      </c>
      <c r="G72" s="1000">
        <v>1.21E-2</v>
      </c>
      <c r="H72" s="1003">
        <f t="shared" ref="H72:H80" si="18">IFERROR(ROUNDDOWN($F$72*I72/2,4),"——")</f>
        <v>1.21E-2</v>
      </c>
      <c r="I72" s="3066">
        <v>0.2</v>
      </c>
      <c r="J72" s="1001">
        <f t="shared" ref="J72:J80" si="19">K72+$G72</f>
        <v>2.4199999999999999E-2</v>
      </c>
      <c r="K72" s="1001">
        <f t="shared" ref="K72:K80" si="20">$L72+$G72</f>
        <v>1.21E-2</v>
      </c>
      <c r="L72" s="1001">
        <v>0</v>
      </c>
      <c r="M72" s="1001">
        <f t="shared" ref="M72:N80" si="21">L72-$G72</f>
        <v>-1.21E-2</v>
      </c>
      <c r="N72" s="1001">
        <f t="shared" si="21"/>
        <v>-2.4199999999999999E-2</v>
      </c>
      <c r="AA72" s="1057"/>
      <c r="AB72" s="1057"/>
      <c r="AC72" s="1057"/>
      <c r="AD72" s="1057"/>
      <c r="AE72" s="1057"/>
      <c r="AF72" s="1057"/>
      <c r="AG72" s="1057"/>
      <c r="AH72" s="1057"/>
      <c r="AI72" s="1057"/>
      <c r="AJ72" s="1057"/>
      <c r="AK72" s="1057"/>
    </row>
    <row r="73" spans="1:37" s="1056" customFormat="1" ht="52.8">
      <c r="A73" s="1969" t="s">
        <v>2052</v>
      </c>
      <c r="B73" s="1261" t="str">
        <f>估价对象房地状况!C18</f>
        <v>估价对象周边道路状况、公共交通通达情况、停车便捷程度，综合评价交通便捷度较好</v>
      </c>
      <c r="C73" s="1886" t="s">
        <v>3506</v>
      </c>
      <c r="D73" s="1002">
        <f t="shared" si="17"/>
        <v>0</v>
      </c>
      <c r="E73" s="705"/>
      <c r="F73" s="1674"/>
      <c r="G73" s="1000">
        <v>1.5699999999999999E-2</v>
      </c>
      <c r="H73" s="1003">
        <f t="shared" si="18"/>
        <v>1.5699999999999999E-2</v>
      </c>
      <c r="I73" s="3066">
        <v>0.26</v>
      </c>
      <c r="J73" s="1001">
        <f t="shared" si="19"/>
        <v>3.1399999999999997E-2</v>
      </c>
      <c r="K73" s="1001">
        <f t="shared" si="20"/>
        <v>1.5699999999999999E-2</v>
      </c>
      <c r="L73" s="1001">
        <v>0</v>
      </c>
      <c r="M73" s="1001">
        <f t="shared" si="21"/>
        <v>-1.5699999999999999E-2</v>
      </c>
      <c r="N73" s="1001">
        <f t="shared" si="21"/>
        <v>-3.1399999999999997E-2</v>
      </c>
      <c r="AA73" s="1057"/>
      <c r="AB73" s="1057"/>
      <c r="AC73" s="1057"/>
      <c r="AD73" s="1057"/>
      <c r="AE73" s="1057"/>
      <c r="AF73" s="1057"/>
      <c r="AG73" s="1057"/>
      <c r="AH73" s="1057"/>
      <c r="AI73" s="1057"/>
      <c r="AJ73" s="1057"/>
      <c r="AK73" s="1057"/>
    </row>
    <row r="74" spans="1:37" s="1843" customFormat="1" ht="48">
      <c r="A74" s="3068" t="s">
        <v>3267</v>
      </c>
      <c r="B74" s="1261">
        <f>估价对象房地状况!C19</f>
        <v>0</v>
      </c>
      <c r="C74" s="1886" t="s">
        <v>3505</v>
      </c>
      <c r="D74" s="1002">
        <f t="shared" si="17"/>
        <v>6.0000000000000001E-3</v>
      </c>
      <c r="E74" s="705"/>
      <c r="F74" s="1674"/>
      <c r="G74" s="1000">
        <v>6.0000000000000001E-3</v>
      </c>
      <c r="H74" s="1003">
        <f t="shared" si="18"/>
        <v>6.0000000000000001E-3</v>
      </c>
      <c r="I74" s="3066">
        <v>0.1</v>
      </c>
      <c r="J74" s="1001">
        <f t="shared" si="19"/>
        <v>1.2E-2</v>
      </c>
      <c r="K74" s="1001">
        <f t="shared" si="20"/>
        <v>6.0000000000000001E-3</v>
      </c>
      <c r="L74" s="1001">
        <v>0</v>
      </c>
      <c r="M74" s="1001">
        <f t="shared" si="21"/>
        <v>-6.0000000000000001E-3</v>
      </c>
      <c r="N74" s="1001">
        <f t="shared" si="21"/>
        <v>-1.2E-2</v>
      </c>
      <c r="O74" s="1056"/>
      <c r="P74" s="1056"/>
      <c r="Q74" s="1056"/>
      <c r="AA74" s="1979"/>
      <c r="AB74" s="1057"/>
      <c r="AC74" s="1057"/>
      <c r="AD74" s="1057"/>
      <c r="AE74" s="1057"/>
      <c r="AF74" s="1057"/>
      <c r="AG74" s="1057"/>
      <c r="AH74" s="1979"/>
      <c r="AI74" s="1979"/>
      <c r="AJ74" s="1979"/>
      <c r="AK74" s="1979"/>
    </row>
    <row r="75" spans="1:37" ht="13.8">
      <c r="A75" s="1969" t="s">
        <v>2066</v>
      </c>
      <c r="B75" s="1261">
        <f>估价对象房地状况!C24</f>
        <v>0</v>
      </c>
      <c r="C75" s="1886" t="s">
        <v>3507</v>
      </c>
      <c r="D75" s="1002">
        <f t="shared" si="17"/>
        <v>-3.0000000000000001E-3</v>
      </c>
      <c r="E75" s="705"/>
      <c r="F75" s="1674"/>
      <c r="G75" s="1000">
        <v>3.0000000000000001E-3</v>
      </c>
      <c r="H75" s="1003">
        <f t="shared" si="18"/>
        <v>3.0000000000000001E-3</v>
      </c>
      <c r="I75" s="3066">
        <v>0.05</v>
      </c>
      <c r="J75" s="1001">
        <f t="shared" si="19"/>
        <v>6.0000000000000001E-3</v>
      </c>
      <c r="K75" s="1001">
        <f t="shared" si="20"/>
        <v>3.0000000000000001E-3</v>
      </c>
      <c r="L75" s="1001">
        <v>0</v>
      </c>
      <c r="M75" s="1001">
        <f t="shared" si="21"/>
        <v>-3.0000000000000001E-3</v>
      </c>
      <c r="N75" s="1001">
        <f t="shared" si="21"/>
        <v>-6.0000000000000001E-3</v>
      </c>
      <c r="O75" s="1056"/>
      <c r="P75" s="1056"/>
      <c r="Q75" s="1843"/>
      <c r="Z75" s="1844"/>
      <c r="AA75" s="1894"/>
      <c r="AG75" s="1058"/>
      <c r="AK75" s="1894"/>
    </row>
    <row r="76" spans="1:37" ht="26.4">
      <c r="A76" s="1969" t="s">
        <v>2058</v>
      </c>
      <c r="B76" s="1239" t="str">
        <f>估价对象房地状况!C21</f>
        <v>估价对象所在区域公共配套设施齐备情况</v>
      </c>
      <c r="C76" s="1886" t="s">
        <v>3505</v>
      </c>
      <c r="D76" s="1002">
        <f t="shared" si="17"/>
        <v>4.7999999999999996E-3</v>
      </c>
      <c r="E76" s="705"/>
      <c r="F76" s="1674"/>
      <c r="G76" s="1000">
        <v>4.7999999999999996E-3</v>
      </c>
      <c r="H76" s="1003">
        <f t="shared" si="18"/>
        <v>4.7999999999999996E-3</v>
      </c>
      <c r="I76" s="3066">
        <v>0.08</v>
      </c>
      <c r="J76" s="1001">
        <f t="shared" si="19"/>
        <v>9.5999999999999992E-3</v>
      </c>
      <c r="K76" s="1001">
        <f t="shared" si="20"/>
        <v>4.7999999999999996E-3</v>
      </c>
      <c r="L76" s="1001">
        <v>0</v>
      </c>
      <c r="M76" s="1001">
        <f t="shared" si="21"/>
        <v>-4.7999999999999996E-3</v>
      </c>
      <c r="N76" s="1001">
        <f t="shared" si="21"/>
        <v>-9.5999999999999992E-3</v>
      </c>
      <c r="O76" s="1056"/>
      <c r="P76" s="1056"/>
      <c r="Z76" s="1844"/>
      <c r="AA76" s="1894"/>
      <c r="AG76" s="1058"/>
      <c r="AK76" s="1894"/>
    </row>
    <row r="77" spans="1:37" ht="26.4">
      <c r="A77" s="1969" t="s">
        <v>2059</v>
      </c>
      <c r="B77" s="1239" t="str">
        <f>估价对象房地状况!C22</f>
        <v>估价对象所在区域基础设施水平</v>
      </c>
      <c r="C77" s="1886" t="s">
        <v>3508</v>
      </c>
      <c r="D77" s="1002">
        <f t="shared" si="17"/>
        <v>1.0800000000000001E-2</v>
      </c>
      <c r="E77" s="705"/>
      <c r="F77" s="1674"/>
      <c r="G77" s="1000">
        <v>5.4000000000000003E-3</v>
      </c>
      <c r="H77" s="1003">
        <f t="shared" si="18"/>
        <v>5.4000000000000003E-3</v>
      </c>
      <c r="I77" s="3066">
        <v>0.09</v>
      </c>
      <c r="J77" s="1001">
        <f t="shared" si="19"/>
        <v>1.0800000000000001E-2</v>
      </c>
      <c r="K77" s="1001">
        <f t="shared" si="20"/>
        <v>5.4000000000000003E-3</v>
      </c>
      <c r="L77" s="1001">
        <v>0</v>
      </c>
      <c r="M77" s="1001">
        <f t="shared" si="21"/>
        <v>-5.4000000000000003E-3</v>
      </c>
      <c r="N77" s="1001">
        <f t="shared" si="21"/>
        <v>-1.0800000000000001E-2</v>
      </c>
      <c r="O77" s="1056"/>
      <c r="P77" s="1056"/>
      <c r="Z77" s="1844"/>
      <c r="AA77" s="1894"/>
      <c r="AG77" s="1058"/>
      <c r="AK77" s="1894"/>
    </row>
    <row r="78" spans="1:37" ht="36">
      <c r="A78" s="1969" t="s">
        <v>2056</v>
      </c>
      <c r="B78" s="1974" t="s">
        <v>2057</v>
      </c>
      <c r="C78" s="1886" t="s">
        <v>3505</v>
      </c>
      <c r="D78" s="1002">
        <f t="shared" si="17"/>
        <v>3.0000000000000001E-3</v>
      </c>
      <c r="E78" s="705"/>
      <c r="F78" s="1674"/>
      <c r="G78" s="1000">
        <v>3.0000000000000001E-3</v>
      </c>
      <c r="H78" s="1003">
        <f t="shared" si="18"/>
        <v>3.0000000000000001E-3</v>
      </c>
      <c r="I78" s="3066">
        <v>0.05</v>
      </c>
      <c r="J78" s="1001">
        <f t="shared" si="19"/>
        <v>6.0000000000000001E-3</v>
      </c>
      <c r="K78" s="1001">
        <f t="shared" si="20"/>
        <v>3.0000000000000001E-3</v>
      </c>
      <c r="L78" s="1001">
        <v>0</v>
      </c>
      <c r="M78" s="1001">
        <f t="shared" si="21"/>
        <v>-3.0000000000000001E-3</v>
      </c>
      <c r="N78" s="1001">
        <f t="shared" si="21"/>
        <v>-6.0000000000000001E-3</v>
      </c>
      <c r="O78" s="1843"/>
      <c r="P78" s="1843"/>
      <c r="Z78" s="1844"/>
      <c r="AA78" s="1894"/>
      <c r="AG78" s="1058"/>
      <c r="AK78" s="1894"/>
    </row>
    <row r="79" spans="1:37" ht="39.6">
      <c r="A79" s="1969" t="s">
        <v>2060</v>
      </c>
      <c r="B79" s="1972" t="str">
        <f>估价对象房地状况!C20</f>
        <v>区域自然环境：；人文环境；综合评价环境状况一般</v>
      </c>
      <c r="C79" s="1886" t="s">
        <v>3505</v>
      </c>
      <c r="D79" s="1002">
        <f t="shared" si="17"/>
        <v>7.1999999999999998E-3</v>
      </c>
      <c r="E79" s="705"/>
      <c r="F79" s="1674"/>
      <c r="G79" s="1000">
        <v>7.1999999999999998E-3</v>
      </c>
      <c r="H79" s="1003">
        <f t="shared" si="18"/>
        <v>7.1999999999999998E-3</v>
      </c>
      <c r="I79" s="3066">
        <v>0.12</v>
      </c>
      <c r="J79" s="1001">
        <f t="shared" si="19"/>
        <v>1.44E-2</v>
      </c>
      <c r="K79" s="1001">
        <f t="shared" si="20"/>
        <v>7.1999999999999998E-3</v>
      </c>
      <c r="L79" s="1001">
        <v>0</v>
      </c>
      <c r="M79" s="1001">
        <f t="shared" si="21"/>
        <v>-7.1999999999999998E-3</v>
      </c>
      <c r="N79" s="1001">
        <f t="shared" si="21"/>
        <v>-1.44E-2</v>
      </c>
      <c r="Z79" s="1844"/>
      <c r="AA79" s="1894"/>
      <c r="AG79" s="1058"/>
      <c r="AK79" s="1894"/>
    </row>
    <row r="80" spans="1:37" ht="36.6" thickBot="1">
      <c r="A80" s="1976" t="s">
        <v>2067</v>
      </c>
      <c r="B80" s="1980"/>
      <c r="C80" s="1886" t="s">
        <v>3505</v>
      </c>
      <c r="D80" s="1002">
        <f t="shared" si="17"/>
        <v>3.0000000000000001E-3</v>
      </c>
      <c r="E80" s="706"/>
      <c r="F80" s="1674"/>
      <c r="G80" s="1000">
        <v>3.0000000000000001E-3</v>
      </c>
      <c r="H80" s="1003">
        <f t="shared" si="18"/>
        <v>3.0000000000000001E-3</v>
      </c>
      <c r="I80" s="3067">
        <v>0.05</v>
      </c>
      <c r="J80" s="1001">
        <f t="shared" si="19"/>
        <v>6.0000000000000001E-3</v>
      </c>
      <c r="K80" s="1001">
        <f t="shared" si="20"/>
        <v>3.0000000000000001E-3</v>
      </c>
      <c r="L80" s="1001">
        <v>0</v>
      </c>
      <c r="M80" s="1001">
        <f t="shared" si="21"/>
        <v>-3.0000000000000001E-3</v>
      </c>
      <c r="N80" s="1001">
        <f t="shared" si="21"/>
        <v>-6.0000000000000001E-3</v>
      </c>
      <c r="Z80" s="1844"/>
      <c r="AA80" s="1894"/>
      <c r="AG80" s="1058"/>
      <c r="AK80" s="1894"/>
    </row>
    <row r="81" spans="1:37" ht="14.4">
      <c r="A81" s="1966" t="s">
        <v>2068</v>
      </c>
      <c r="B81" s="1967">
        <f>1+E83</f>
        <v>1</v>
      </c>
      <c r="C81" s="699"/>
      <c r="D81" s="699"/>
      <c r="E81" s="700"/>
      <c r="F81" s="1968"/>
      <c r="G81" s="3"/>
      <c r="H81" s="3"/>
      <c r="I81" s="3"/>
      <c r="J81" s="4"/>
      <c r="K81" s="4"/>
      <c r="L81" s="4"/>
      <c r="M81" s="4"/>
      <c r="N81" s="4"/>
      <c r="Z81" s="1844"/>
      <c r="AA81" s="1894"/>
      <c r="AG81" s="1058"/>
      <c r="AK81" s="1894"/>
    </row>
    <row r="82" spans="1:37" ht="25.2">
      <c r="A82" s="1969" t="s">
        <v>2043</v>
      </c>
      <c r="B82" s="1261"/>
      <c r="C82" s="1261" t="s">
        <v>2045</v>
      </c>
      <c r="D82" s="1261" t="s">
        <v>2046</v>
      </c>
      <c r="E82" s="701" t="s">
        <v>2047</v>
      </c>
      <c r="F82" s="1970" t="s">
        <v>2062</v>
      </c>
      <c r="G82" s="1261" t="s">
        <v>310</v>
      </c>
      <c r="H82" s="1971" t="s">
        <v>2049</v>
      </c>
      <c r="I82" s="1261" t="s">
        <v>2050</v>
      </c>
      <c r="J82" s="530" t="s">
        <v>1721</v>
      </c>
      <c r="K82" s="530" t="s">
        <v>1722</v>
      </c>
      <c r="L82" s="530" t="s">
        <v>1723</v>
      </c>
      <c r="M82" s="530" t="s">
        <v>1724</v>
      </c>
      <c r="N82" s="530" t="s">
        <v>1725</v>
      </c>
      <c r="Z82" s="1844"/>
      <c r="AA82" s="1894"/>
      <c r="AG82" s="1058"/>
      <c r="AK82" s="1894"/>
    </row>
    <row r="83" spans="1:37" ht="39.6">
      <c r="A83" s="1969" t="s">
        <v>2069</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52.8">
      <c r="A84" s="1969" t="s">
        <v>2052</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4"/>
      <c r="AA84" s="1894"/>
      <c r="AG84" s="1058"/>
      <c r="AK84" s="1894"/>
    </row>
    <row r="85" spans="1:37" ht="48">
      <c r="A85" s="3068" t="s">
        <v>3268</v>
      </c>
      <c r="B85" s="1261">
        <f>估价对象房地状况!G17</f>
        <v>0</v>
      </c>
      <c r="C85" s="1886"/>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4"/>
      <c r="AA85" s="1894"/>
      <c r="AG85" s="1058"/>
      <c r="AK85" s="1894"/>
    </row>
    <row r="86" spans="1:37" ht="13.8">
      <c r="A86" s="1969" t="s">
        <v>2066</v>
      </c>
      <c r="B86" s="1261">
        <f>估价对象房地状况!G22</f>
        <v>0</v>
      </c>
      <c r="C86" s="1886"/>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4"/>
      <c r="AA86" s="1894"/>
      <c r="AG86" s="1058"/>
      <c r="AK86" s="1894"/>
    </row>
    <row r="87" spans="1:37" ht="26.4">
      <c r="A87" s="1969" t="s">
        <v>2058</v>
      </c>
      <c r="B87" s="1239" t="str">
        <f>估价对象房地状况!G19</f>
        <v>估价对象所在区域公共配套设施齐备情况</v>
      </c>
      <c r="C87" s="1886"/>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6.4">
      <c r="A88" s="1969" t="s">
        <v>2059</v>
      </c>
      <c r="B88" s="1239" t="str">
        <f>估价对象房地状况!G20</f>
        <v>估价对象所在区域基础设施水平</v>
      </c>
      <c r="C88" s="1886"/>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36">
      <c r="A89" s="1969" t="s">
        <v>2056</v>
      </c>
      <c r="B89" s="1974" t="s">
        <v>2070</v>
      </c>
      <c r="C89" s="1886"/>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6" t="s">
        <v>2071</v>
      </c>
      <c r="B90" s="1981" t="str">
        <f>估价对象房地状况!G18</f>
        <v>该园区内是否有污染型企业，绿化情况，卫生条件，整体环境状况判断</v>
      </c>
      <c r="C90" s="1886"/>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3.8">
      <c r="A91" s="3076" t="s">
        <v>2610</v>
      </c>
      <c r="B91" s="3077">
        <f>1+E93</f>
        <v>1</v>
      </c>
      <c r="C91" s="3070"/>
      <c r="D91" s="3071"/>
      <c r="E91" s="1674"/>
      <c r="F91" s="1674"/>
      <c r="G91" s="3072"/>
      <c r="H91" s="3073"/>
      <c r="I91" s="3074"/>
      <c r="J91" s="3075"/>
      <c r="K91" s="3075"/>
      <c r="L91" s="3075"/>
      <c r="M91" s="3075"/>
      <c r="N91" s="3075"/>
    </row>
    <row r="92" spans="1:37" ht="25.2">
      <c r="A92" s="3078" t="s">
        <v>3269</v>
      </c>
      <c r="B92" s="2308"/>
      <c r="C92" s="2308" t="s">
        <v>3278</v>
      </c>
      <c r="D92" s="2308" t="s">
        <v>3279</v>
      </c>
      <c r="E92" s="3050" t="s">
        <v>3280</v>
      </c>
      <c r="F92" s="3080" t="s">
        <v>3281</v>
      </c>
      <c r="G92" s="2308" t="s">
        <v>3282</v>
      </c>
      <c r="H92" s="3087" t="s">
        <v>3285</v>
      </c>
      <c r="I92" s="2308" t="s">
        <v>3286</v>
      </c>
      <c r="J92" s="2149" t="s">
        <v>3287</v>
      </c>
      <c r="K92" s="2149" t="s">
        <v>3288</v>
      </c>
      <c r="L92" s="2149" t="s">
        <v>3289</v>
      </c>
      <c r="M92" s="2149" t="s">
        <v>3290</v>
      </c>
      <c r="N92" s="2149" t="s">
        <v>3291</v>
      </c>
    </row>
    <row r="93" spans="1:37" ht="24">
      <c r="A93" s="3068" t="s">
        <v>3270</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52.8">
      <c r="A94" s="3078" t="s">
        <v>3271</v>
      </c>
      <c r="B94" s="3069" t="str">
        <f>估价对象房地状况!C18</f>
        <v>估价对象周边道路状况、公共交通通达情况、停车便捷程度，综合评价交通便捷度较好</v>
      </c>
      <c r="C94" s="1886"/>
      <c r="D94" s="2308">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48">
      <c r="A95" s="3068" t="s">
        <v>3267</v>
      </c>
      <c r="B95" s="3069">
        <f>估价对象房地状况!C19</f>
        <v>0</v>
      </c>
      <c r="C95" s="1886"/>
      <c r="D95" s="2308">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7.200000000000003">
      <c r="A96" s="3078" t="s">
        <v>3272</v>
      </c>
      <c r="B96" s="3084" t="s">
        <v>3283</v>
      </c>
      <c r="C96" s="1886"/>
      <c r="D96" s="2308">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3273</v>
      </c>
      <c r="B97" s="3069">
        <f>估价对象房地状况!C24</f>
        <v>0</v>
      </c>
      <c r="C97" s="1886"/>
      <c r="D97" s="2308">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36">
      <c r="A98" s="3078" t="s">
        <v>3274</v>
      </c>
      <c r="B98" s="3085" t="s">
        <v>3284</v>
      </c>
      <c r="C98" s="1886"/>
      <c r="D98" s="2308">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6.4">
      <c r="A99" s="3078" t="s">
        <v>3275</v>
      </c>
      <c r="B99" s="3069" t="str">
        <f>估价对象房地状况!C21</f>
        <v>估价对象所在区域公共配套设施齐备情况</v>
      </c>
      <c r="C99" s="1886"/>
      <c r="D99" s="2308">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6.4">
      <c r="A100" s="3078" t="s">
        <v>3276</v>
      </c>
      <c r="B100" s="3069" t="str">
        <f>估价对象房地状况!C22</f>
        <v>估价对象所在区域基础设施水平</v>
      </c>
      <c r="C100" s="1886"/>
      <c r="D100" s="2308">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40.200000000000003" thickBot="1">
      <c r="A101" s="3079" t="s">
        <v>3277</v>
      </c>
      <c r="B101" s="3086" t="str">
        <f>估价对象房地状况!C20</f>
        <v>区域自然环境：；人文环境；综合评价环境状况一般</v>
      </c>
      <c r="C101" s="1886"/>
      <c r="D101" s="2308">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468" t="s">
        <v>3292</v>
      </c>
      <c r="B103" s="3468"/>
      <c r="C103" s="3468"/>
      <c r="D103" s="3468"/>
      <c r="E103" s="3468"/>
      <c r="F103" s="3468"/>
      <c r="G103" s="3468"/>
      <c r="H103" s="3468"/>
      <c r="I103" s="3468"/>
      <c r="J103" s="3468"/>
      <c r="K103" s="1666"/>
      <c r="L103" s="1666"/>
      <c r="M103" s="1666"/>
      <c r="N103" s="1666"/>
    </row>
    <row r="104" spans="1:14">
      <c r="A104" s="3469" t="s">
        <v>3293</v>
      </c>
      <c r="B104" s="3469" t="s">
        <v>3294</v>
      </c>
      <c r="C104" s="3088" t="s">
        <v>3295</v>
      </c>
      <c r="D104" s="3089"/>
      <c r="E104" s="3089"/>
      <c r="F104" s="3089"/>
      <c r="G104" s="3089"/>
      <c r="H104" s="3089"/>
      <c r="I104" s="3089"/>
      <c r="J104" s="3090"/>
      <c r="K104" s="3091"/>
      <c r="L104" s="3091"/>
      <c r="M104" s="3091"/>
      <c r="N104" s="3091"/>
    </row>
    <row r="105" spans="1:14">
      <c r="A105" s="3469"/>
      <c r="B105" s="3469"/>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55"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6"/>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6"/>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6"/>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6"/>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6"/>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7"/>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58" t="s">
        <v>3309</v>
      </c>
      <c r="B113" s="3458"/>
      <c r="C113" s="3458"/>
      <c r="D113" s="3458"/>
      <c r="E113" s="3458"/>
      <c r="F113" s="3458"/>
      <c r="G113" s="3458"/>
      <c r="H113" s="3458"/>
      <c r="I113" s="3458"/>
      <c r="J113" s="3458"/>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8" thickBot="1">
      <c r="A115" s="3095"/>
      <c r="B115" s="3095"/>
      <c r="C115" s="3095"/>
      <c r="D115" s="3095"/>
      <c r="E115" s="3095"/>
      <c r="F115" s="3095"/>
      <c r="G115" s="3095"/>
      <c r="H115" s="3095"/>
      <c r="I115" s="3095"/>
      <c r="J115" s="3095"/>
      <c r="K115" s="1963"/>
      <c r="L115" s="3095"/>
      <c r="M115" s="3095"/>
      <c r="N115" s="3095"/>
    </row>
    <row r="116" spans="1:14" ht="25.8" thickBot="1">
      <c r="A116" s="3096" t="s">
        <v>3310</v>
      </c>
      <c r="B116" s="3112">
        <f>G3</f>
        <v>2.48</v>
      </c>
      <c r="C116" s="3097" t="s">
        <v>3311</v>
      </c>
      <c r="D116" s="3098">
        <f>SUMPRODUCT((A118:A122=F116)*(B117:M117=H116)*B118:M122)</f>
        <v>0.90100000000000002</v>
      </c>
      <c r="E116" s="162" t="s">
        <v>3312</v>
      </c>
      <c r="F116" s="3099" t="str">
        <f>E2</f>
        <v>住宅</v>
      </c>
      <c r="G116" s="162" t="s">
        <v>3313</v>
      </c>
      <c r="H116" s="3099" t="str">
        <f>G2</f>
        <v>六级</v>
      </c>
      <c r="I116" s="162"/>
      <c r="J116" s="3100"/>
      <c r="K116" s="3100"/>
      <c r="L116" s="3100"/>
      <c r="M116" s="3100"/>
      <c r="N116" s="3095"/>
    </row>
    <row r="117" spans="1:14">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c r="A118" s="3055" t="s">
        <v>3326</v>
      </c>
      <c r="B118" s="3087">
        <f>ROUND(0.9968-0.011*B116,4)</f>
        <v>0.96950000000000003</v>
      </c>
      <c r="C118" s="3087">
        <f>B118</f>
        <v>0.96950000000000003</v>
      </c>
      <c r="D118" s="3087">
        <f>ROUND(0.949-0.014*B116,4)</f>
        <v>0.9143</v>
      </c>
      <c r="E118" s="3087">
        <f>D118</f>
        <v>0.9143</v>
      </c>
      <c r="F118" s="3087">
        <f>E118</f>
        <v>0.9143</v>
      </c>
      <c r="G118" s="3087">
        <f>F118</f>
        <v>0.9143</v>
      </c>
      <c r="H118" s="3087">
        <f>G118</f>
        <v>0.9143</v>
      </c>
      <c r="I118" s="3087">
        <f>ROUND(0.8486-0.018*B116,4)</f>
        <v>0.80400000000000005</v>
      </c>
      <c r="J118" s="3087">
        <f t="shared" ref="J118:M122" si="35">I118</f>
        <v>0.80400000000000005</v>
      </c>
      <c r="K118" s="3087">
        <f t="shared" si="35"/>
        <v>0.80400000000000005</v>
      </c>
      <c r="L118" s="3087">
        <f t="shared" si="35"/>
        <v>0.80400000000000005</v>
      </c>
      <c r="M118" s="3107">
        <f t="shared" si="35"/>
        <v>0.80400000000000005</v>
      </c>
      <c r="N118" s="3095"/>
    </row>
    <row r="119" spans="1:14">
      <c r="A119" s="3055" t="s">
        <v>3327</v>
      </c>
      <c r="B119" s="3087">
        <f>ROUND(0.993-0.0112*B116,4)</f>
        <v>0.96519999999999995</v>
      </c>
      <c r="C119" s="3087">
        <f>B119</f>
        <v>0.96519999999999995</v>
      </c>
      <c r="D119" s="3087">
        <f>ROUND(0.9415-0.0142*B116,4)</f>
        <v>0.90629999999999999</v>
      </c>
      <c r="E119" s="3087">
        <f t="shared" ref="E119:H120" si="36">D119</f>
        <v>0.90629999999999999</v>
      </c>
      <c r="F119" s="3087">
        <f t="shared" si="36"/>
        <v>0.90629999999999999</v>
      </c>
      <c r="G119" s="3087">
        <f t="shared" si="36"/>
        <v>0.90629999999999999</v>
      </c>
      <c r="H119" s="3087">
        <f t="shared" si="36"/>
        <v>0.90629999999999999</v>
      </c>
      <c r="I119" s="3087">
        <f>ROUND(0.838-0.0182*B116,4)</f>
        <v>0.79290000000000005</v>
      </c>
      <c r="J119" s="3087">
        <f t="shared" si="35"/>
        <v>0.79290000000000005</v>
      </c>
      <c r="K119" s="3087">
        <f t="shared" si="35"/>
        <v>0.79290000000000005</v>
      </c>
      <c r="L119" s="3087">
        <f t="shared" si="35"/>
        <v>0.79290000000000005</v>
      </c>
      <c r="M119" s="3107">
        <f t="shared" si="35"/>
        <v>0.79290000000000005</v>
      </c>
      <c r="N119" s="3095"/>
    </row>
    <row r="120" spans="1:14">
      <c r="A120" s="3055" t="s">
        <v>3328</v>
      </c>
      <c r="B120" s="3087">
        <f>ROUND(0.9448-0.0115*B116,4)</f>
        <v>0.9163</v>
      </c>
      <c r="C120" s="3087">
        <f>B120</f>
        <v>0.9163</v>
      </c>
      <c r="D120" s="3087">
        <f>ROUND(0.937-0.0145*B116,4)</f>
        <v>0.90100000000000002</v>
      </c>
      <c r="E120" s="3087">
        <f t="shared" si="36"/>
        <v>0.90100000000000002</v>
      </c>
      <c r="F120" s="3087">
        <f t="shared" si="36"/>
        <v>0.90100000000000002</v>
      </c>
      <c r="G120" s="3087">
        <f t="shared" si="36"/>
        <v>0.90100000000000002</v>
      </c>
      <c r="H120" s="3087">
        <f t="shared" si="36"/>
        <v>0.90100000000000002</v>
      </c>
      <c r="I120" s="3087">
        <f>ROUND(0.7965-0.0185*B116,4)</f>
        <v>0.75060000000000004</v>
      </c>
      <c r="J120" s="3087">
        <f t="shared" si="35"/>
        <v>0.75060000000000004</v>
      </c>
      <c r="K120" s="3087">
        <f t="shared" si="35"/>
        <v>0.75060000000000004</v>
      </c>
      <c r="L120" s="3087">
        <f t="shared" si="35"/>
        <v>0.75060000000000004</v>
      </c>
      <c r="M120" s="3107">
        <f t="shared" si="35"/>
        <v>0.75060000000000004</v>
      </c>
      <c r="N120" s="3095"/>
    </row>
    <row r="121" spans="1:14" ht="13.8" thickBot="1">
      <c r="A121" s="3108" t="s">
        <v>3329</v>
      </c>
      <c r="B121" s="3109">
        <f>ROUND(0.7836-0.012*B116,4)</f>
        <v>0.75380000000000003</v>
      </c>
      <c r="C121" s="3109">
        <f>B121</f>
        <v>0.75380000000000003</v>
      </c>
      <c r="D121" s="3109">
        <f>ROUND(0.753-0.015*B116,4)</f>
        <v>0.71579999999999999</v>
      </c>
      <c r="E121" s="3109">
        <f>D121</f>
        <v>0.71579999999999999</v>
      </c>
      <c r="F121" s="3109">
        <f>E121</f>
        <v>0.71579999999999999</v>
      </c>
      <c r="G121" s="3109">
        <f>ROUND(0.6612-0.018*B116,4)</f>
        <v>0.61660000000000004</v>
      </c>
      <c r="H121" s="3109">
        <f>G121</f>
        <v>0.61660000000000004</v>
      </c>
      <c r="I121" s="3109">
        <f>ROUND(0.5905-0.019*B116,4)</f>
        <v>0.54339999999999999</v>
      </c>
      <c r="J121" s="3109">
        <f t="shared" si="35"/>
        <v>0.54339999999999999</v>
      </c>
      <c r="K121" s="3109">
        <f t="shared" si="35"/>
        <v>0.54339999999999999</v>
      </c>
      <c r="L121" s="3109">
        <f t="shared" si="35"/>
        <v>0.54339999999999999</v>
      </c>
      <c r="M121" s="3110">
        <f t="shared" si="35"/>
        <v>0.54339999999999999</v>
      </c>
      <c r="N121" s="3095"/>
    </row>
    <row r="122" spans="1:14">
      <c r="A122" s="3111" t="s">
        <v>2610</v>
      </c>
      <c r="B122" s="3087">
        <f>ROUND(0.9404-0.0106*B116,4)</f>
        <v>0.91410000000000002</v>
      </c>
      <c r="C122" s="3087">
        <f>B122</f>
        <v>0.91410000000000002</v>
      </c>
      <c r="D122" s="3087">
        <f>ROUND(0.8955-0.0135*B116,4)</f>
        <v>0.86199999999999999</v>
      </c>
      <c r="E122" s="3087">
        <f t="shared" ref="E122:H122" si="37">D122</f>
        <v>0.86199999999999999</v>
      </c>
      <c r="F122" s="3087">
        <f t="shared" si="37"/>
        <v>0.86199999999999999</v>
      </c>
      <c r="G122" s="3087">
        <f t="shared" si="37"/>
        <v>0.86199999999999999</v>
      </c>
      <c r="H122" s="3087">
        <f t="shared" si="37"/>
        <v>0.86199999999999999</v>
      </c>
      <c r="I122" s="3087">
        <f>ROUND(0.7632-0.0166*B116,4)</f>
        <v>0.72199999999999998</v>
      </c>
      <c r="J122" s="3087">
        <f t="shared" si="35"/>
        <v>0.72199999999999998</v>
      </c>
      <c r="K122" s="3087">
        <f t="shared" si="35"/>
        <v>0.72199999999999998</v>
      </c>
      <c r="L122" s="3087">
        <f t="shared" si="35"/>
        <v>0.72199999999999998</v>
      </c>
      <c r="M122" s="3107">
        <f t="shared" si="35"/>
        <v>0.72199999999999998</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2" zoomScale="70" zoomScaleNormal="70" zoomScaleSheetLayoutView="70" workbookViewId="0">
      <selection activeCell="L55" sqref="L5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3425</v>
      </c>
      <c r="D1" s="1270" t="s">
        <v>43</v>
      </c>
      <c r="E1" s="1271" t="s">
        <v>678</v>
      </c>
      <c r="F1" s="999">
        <f ca="1">J53</f>
        <v>38</v>
      </c>
      <c r="G1" s="1285">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54068</v>
      </c>
      <c r="D5" s="1272" t="s">
        <v>889</v>
      </c>
      <c r="E5" s="1008"/>
      <c r="F5" s="1009"/>
      <c r="G5" s="1291"/>
      <c r="H5" s="291">
        <v>1</v>
      </c>
      <c r="I5" s="292" t="s">
        <v>888</v>
      </c>
      <c r="J5" s="1007">
        <f ca="1">J6+J10+J12</f>
        <v>0</v>
      </c>
      <c r="K5" s="1272" t="s">
        <v>889</v>
      </c>
      <c r="L5" s="1008"/>
      <c r="M5" s="1009"/>
    </row>
    <row r="6" spans="1:37" ht="18" customHeight="1">
      <c r="A6" s="1006" t="s">
        <v>398</v>
      </c>
      <c r="B6" s="3407" t="s">
        <v>694</v>
      </c>
      <c r="C6" s="1011">
        <f ca="1">ROUND(F6*F8*F7*(1-F9),0)</f>
        <v>54000</v>
      </c>
      <c r="D6" s="147" t="s">
        <v>2104</v>
      </c>
      <c r="E6" s="294" t="s">
        <v>696</v>
      </c>
      <c r="F6" s="295">
        <f ca="1">INDIRECT("'数据-取费表'!u"&amp;$G$1)</f>
        <v>5000</v>
      </c>
      <c r="G6" s="1291"/>
      <c r="H6" s="1006" t="s">
        <v>398</v>
      </c>
      <c r="I6" s="3407" t="s">
        <v>694</v>
      </c>
      <c r="J6" s="293">
        <f ca="1">ROUND(M6*M8*M7*(1-M9),0)</f>
        <v>0</v>
      </c>
      <c r="K6" s="1283" t="s">
        <v>2105</v>
      </c>
      <c r="L6" s="294" t="s">
        <v>696</v>
      </c>
      <c r="M6" s="295">
        <f ca="1">INDIRECT("'数据-取费表'!z"&amp;$G$1)</f>
        <v>0</v>
      </c>
    </row>
    <row r="7" spans="1:37" ht="18" customHeight="1">
      <c r="A7" s="1010"/>
      <c r="B7" s="3408"/>
      <c r="C7" s="1012"/>
      <c r="D7" s="299"/>
      <c r="E7" s="1013" t="s">
        <v>697</v>
      </c>
      <c r="F7" s="295">
        <f ca="1">IF(INDIRECT("'数据-取费表'!ah"&amp;$G$1)="",INDIRECT("'数据-取费表'!k"&amp;$G$1),INDIRECT("'数据-取费表'!ah"&amp;$G$1))</f>
        <v>1</v>
      </c>
      <c r="G7" s="1291"/>
      <c r="H7" s="296"/>
      <c r="I7" s="3408"/>
      <c r="J7" s="298"/>
      <c r="K7" s="299"/>
      <c r="L7" s="294" t="s">
        <v>697</v>
      </c>
      <c r="M7" s="295">
        <f ca="1">F7</f>
        <v>1</v>
      </c>
    </row>
    <row r="8" spans="1:37" ht="18" customHeight="1">
      <c r="A8" s="296"/>
      <c r="B8" s="3408"/>
      <c r="C8" s="298"/>
      <c r="D8" s="299"/>
      <c r="E8" s="294" t="s">
        <v>698</v>
      </c>
      <c r="F8" s="295">
        <f ca="1">INDIRECT("'数据-取费表'!ai"&amp;$G$1)</f>
        <v>12</v>
      </c>
      <c r="G8" s="1291"/>
      <c r="H8" s="296"/>
      <c r="I8" s="3408"/>
      <c r="J8" s="298"/>
      <c r="K8" s="299"/>
      <c r="L8" s="294" t="s">
        <v>698</v>
      </c>
      <c r="M8" s="295">
        <f ca="1">INDIRECT("'数据-取费表'!ai"&amp;$G$1)</f>
        <v>12</v>
      </c>
    </row>
    <row r="9" spans="1:37" ht="18" customHeight="1">
      <c r="A9" s="296"/>
      <c r="B9" s="3409"/>
      <c r="C9" s="298"/>
      <c r="D9" s="299"/>
      <c r="E9" s="294" t="s">
        <v>699</v>
      </c>
      <c r="F9" s="304">
        <f ca="1">INDIRECT("'数据-取费表'!w"&amp;$G$1)</f>
        <v>0.1</v>
      </c>
      <c r="G9" s="1291"/>
      <c r="H9" s="296"/>
      <c r="I9" s="3409"/>
      <c r="J9" s="298"/>
      <c r="K9" s="299"/>
      <c r="L9" s="305" t="s">
        <v>699</v>
      </c>
      <c r="M9" s="306">
        <f ca="1">INDIRECT("'数据-取费表'!ab"&amp;$G$1)</f>
        <v>0</v>
      </c>
    </row>
    <row r="10" spans="1:37" ht="18" customHeight="1">
      <c r="A10" s="1006" t="s">
        <v>402</v>
      </c>
      <c r="B10" s="1273" t="s">
        <v>700</v>
      </c>
      <c r="C10" s="308">
        <f ca="1">ROUND(IF(F10="押一",C6/12*F11,IF(F10="押二",C6/12*2*F11,IF(F10="押三",C6/12*3*F11,C11*F11))),0)</f>
        <v>68</v>
      </c>
      <c r="D10" s="150" t="s">
        <v>2114</v>
      </c>
      <c r="E10" s="305" t="s">
        <v>701</v>
      </c>
      <c r="F10" s="1053" t="s">
        <v>3486</v>
      </c>
      <c r="G10" s="1291"/>
      <c r="H10" s="1006" t="s">
        <v>402</v>
      </c>
      <c r="I10" s="1273" t="s">
        <v>700</v>
      </c>
      <c r="J10" s="293">
        <f ca="1">ROUND(IF(M10="押一",J6/12*M11,IF(M10="押二",J6/12*2*M11,IF(M10="押三",J6/12*3*M11,J11*M11))),0)</f>
        <v>0</v>
      </c>
      <c r="K10" s="1284" t="s">
        <v>2116</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276211</v>
      </c>
      <c r="D13" s="1018" t="s">
        <v>705</v>
      </c>
      <c r="E13" s="1018" t="s">
        <v>706</v>
      </c>
      <c r="F13" s="1019">
        <f ca="1">INDIRECT("'数据-取费表'!y"&amp;$G$1)</f>
        <v>0.72</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262650</v>
      </c>
      <c r="D14" s="1256" t="s">
        <v>708</v>
      </c>
      <c r="E14" s="1254"/>
      <c r="F14" s="311"/>
      <c r="G14" s="1291"/>
      <c r="H14" s="928" t="s">
        <v>398</v>
      </c>
      <c r="I14" s="294" t="s">
        <v>709</v>
      </c>
      <c r="J14" s="21">
        <f ca="1">C29</f>
        <v>383626</v>
      </c>
      <c r="K14" s="12"/>
      <c r="L14" s="759"/>
      <c r="M14" s="760"/>
    </row>
    <row r="15" spans="1:37" s="1303" customFormat="1" ht="18" customHeight="1" thickBot="1">
      <c r="A15" s="928" t="s">
        <v>399</v>
      </c>
      <c r="B15" s="294" t="s">
        <v>710</v>
      </c>
      <c r="C15" s="21">
        <f ca="1">ROUND(C14*F15,0)</f>
        <v>13133</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5253</v>
      </c>
      <c r="D16" s="294" t="s">
        <v>711</v>
      </c>
      <c r="E16" s="294" t="s">
        <v>712</v>
      </c>
      <c r="F16" s="314">
        <f ca="1">IF(INDIRECT("'数据-取费表'!c"&amp;$G$1)="住宅",'数据-取费表'!B34,0)</f>
        <v>0.02</v>
      </c>
      <c r="G16" s="1291"/>
      <c r="H16" s="1016" t="s">
        <v>393</v>
      </c>
      <c r="I16" s="1017" t="s">
        <v>714</v>
      </c>
      <c r="J16" s="302">
        <f ca="1">ROUND(J17+J22+J23+J24,0)</f>
        <v>3836</v>
      </c>
      <c r="K16" s="1024" t="s">
        <v>715</v>
      </c>
      <c r="L16" s="1025"/>
      <c r="M16" s="1009"/>
    </row>
    <row r="17" spans="1:37" s="1303" customFormat="1" ht="18" customHeight="1">
      <c r="A17" s="928" t="s">
        <v>681</v>
      </c>
      <c r="B17" s="294" t="s">
        <v>716</v>
      </c>
      <c r="C17" s="21">
        <f ca="1">ROUND(F17*(F43+INDIRECT("'数据-取费表'!S"&amp;$G$1)),0)</f>
        <v>21012</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5253</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307301</v>
      </c>
      <c r="D19" s="123" t="s">
        <v>726</v>
      </c>
      <c r="E19" s="1268"/>
      <c r="F19" s="23"/>
      <c r="G19" s="1291"/>
      <c r="H19" s="928" t="s">
        <v>399</v>
      </c>
      <c r="I19" s="294" t="s">
        <v>727</v>
      </c>
      <c r="J19" s="21">
        <f ca="1">IF(K19="按租金收入计税",ROUND(J6*M19/(1+'数据-取费表'!C42),0),ROUND(C29*M19*0.7,0))</f>
        <v>0</v>
      </c>
      <c r="K19" s="1277" t="s">
        <v>3334</v>
      </c>
      <c r="L19" s="294" t="s">
        <v>712</v>
      </c>
      <c r="M19" s="314">
        <f>IF(K19="按租金收入计税",'数据-取费表'!B51,'数据-取费表'!B50)</f>
        <v>0.12</v>
      </c>
    </row>
    <row r="20" spans="1:37" s="1303" customFormat="1" ht="18" customHeight="1">
      <c r="A20" s="928" t="s">
        <v>402</v>
      </c>
      <c r="B20" s="294" t="s">
        <v>728</v>
      </c>
      <c r="C20" s="21">
        <f ca="1">ROUND(C19*F20,0)</f>
        <v>6146</v>
      </c>
      <c r="D20" s="315" t="s">
        <v>729</v>
      </c>
      <c r="E20" s="294" t="s">
        <v>712</v>
      </c>
      <c r="F20" s="314">
        <f>'数据-取费表'!B37</f>
        <v>0.02</v>
      </c>
      <c r="G20" s="1302"/>
      <c r="H20" s="928" t="s">
        <v>680</v>
      </c>
      <c r="I20" s="147" t="s">
        <v>730</v>
      </c>
      <c r="J20" s="22">
        <f ca="1">ROUND(M20*M21,0)</f>
        <v>0</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3836</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9717</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-3836</v>
      </c>
      <c r="K25" s="1032" t="s">
        <v>753</v>
      </c>
      <c r="L25" s="1033"/>
      <c r="M25" s="1034"/>
    </row>
    <row r="26" spans="1:37" ht="18" customHeight="1">
      <c r="A26" s="928" t="s">
        <v>397</v>
      </c>
      <c r="B26" s="294" t="s">
        <v>754</v>
      </c>
      <c r="C26" s="21">
        <f ca="1">ROUND((C19+C20)*F26,0)</f>
        <v>31345</v>
      </c>
      <c r="D26" s="315" t="s">
        <v>755</v>
      </c>
      <c r="E26" s="305" t="s">
        <v>756</v>
      </c>
      <c r="F26" s="304">
        <f ca="1">INDIRECT("'数据-取费表'!q"&amp;$G$1)</f>
        <v>0.1</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383626</v>
      </c>
      <c r="D29" s="1029"/>
      <c r="E29" s="1027"/>
      <c r="F29" s="1030"/>
      <c r="G29" s="1302"/>
      <c r="H29" s="325" t="s">
        <v>396</v>
      </c>
      <c r="I29" s="326" t="s">
        <v>768</v>
      </c>
      <c r="J29" s="327">
        <f ca="1">ROUND(J26/(1+F40)^F41,0)</f>
        <v>0</v>
      </c>
      <c r="K29" s="328" t="s">
        <v>769</v>
      </c>
      <c r="L29" s="329"/>
      <c r="M29" s="330">
        <f ca="1">INDIRECT("'数据-取费表'!k"&amp;$G$1)</f>
        <v>105.06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13704</v>
      </c>
      <c r="D30" s="1024" t="s">
        <v>715</v>
      </c>
      <c r="E30" s="1025"/>
      <c r="F30" s="1009"/>
      <c r="G30" s="1291"/>
      <c r="H30" s="2468"/>
      <c r="I30" s="1304"/>
      <c r="J30" s="1305"/>
      <c r="K30" s="121"/>
      <c r="L30" s="2469"/>
      <c r="M30" s="2470"/>
    </row>
    <row r="31" spans="1:37" ht="18" customHeight="1">
      <c r="A31" s="928" t="s">
        <v>398</v>
      </c>
      <c r="B31" s="294" t="s">
        <v>719</v>
      </c>
      <c r="C31" s="2139">
        <f ca="1">ROUND(IF(AND(项目基本情况!B11="自然人",项目基本情况!B10="北京市"),C6*F31/(1+'数据-取费表'!C42),C32+C33+C34),0)</f>
        <v>9051</v>
      </c>
      <c r="D31" s="1256" t="s">
        <v>720</v>
      </c>
      <c r="E31" s="1255" t="s">
        <v>770</v>
      </c>
      <c r="F31" s="2138" t="str">
        <f>IF(项目基本情况!B11="企业","——",IF(M47="住宅",IF(F6*F7*F8/12/(1+'数据-取费表'!F30)&gt;100000,4%,2.5%),IF(F6*F7*F8/12/(1+'数据-取费表'!F30)&gt;100000,12%,7%)))</f>
        <v>——</v>
      </c>
      <c r="G31" s="1291"/>
      <c r="H31" s="2567" t="s">
        <v>2304</v>
      </c>
      <c r="I31" s="1304"/>
      <c r="J31" s="1305"/>
      <c r="K31" s="121"/>
      <c r="L31" s="2469"/>
      <c r="M31" s="2470"/>
    </row>
    <row r="32" spans="1:37" ht="18" customHeight="1">
      <c r="A32" s="928" t="s">
        <v>397</v>
      </c>
      <c r="B32" s="294" t="s">
        <v>723</v>
      </c>
      <c r="C32" s="21">
        <f ca="1">IF(项目基本情况!B11="自然人","——",ROUND(C6*F32/(1+'数据-取费表'!C42),0))</f>
        <v>2880</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6171</v>
      </c>
      <c r="D33" s="1277" t="s">
        <v>3334</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f ca="1">IF(项目基本情况!B11="自然人","——",ROUND(F34*F35,0))</f>
        <v>0</v>
      </c>
      <c r="D34" s="316" t="s">
        <v>731</v>
      </c>
      <c r="E34" s="294" t="s">
        <v>732</v>
      </c>
      <c r="F34" s="317">
        <f>'数据-取费表'!B52</f>
        <v>3</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3836</v>
      </c>
      <c r="D36" s="1255" t="s">
        <v>771</v>
      </c>
      <c r="E36" s="294" t="s">
        <v>712</v>
      </c>
      <c r="F36" s="320">
        <f ca="1">INDIRECT("'数据-取费表'!Ak"&amp;$G$1)</f>
        <v>0.01</v>
      </c>
      <c r="G36" s="1291"/>
      <c r="H36" s="2471"/>
      <c r="I36" s="1304"/>
      <c r="J36" s="1305"/>
      <c r="K36" s="2329"/>
      <c r="L36" s="2471"/>
      <c r="M36" s="2471"/>
    </row>
    <row r="37" spans="1:18" ht="18" customHeight="1">
      <c r="A37" s="928" t="s">
        <v>437</v>
      </c>
      <c r="B37" s="294" t="s">
        <v>742</v>
      </c>
      <c r="C37" s="21">
        <f ca="1">ROUND(C13*F37,0)</f>
        <v>276</v>
      </c>
      <c r="D37" s="1255" t="s">
        <v>743</v>
      </c>
      <c r="E37" s="294" t="s">
        <v>744</v>
      </c>
      <c r="F37" s="321">
        <f ca="1">INDIRECT("'数据-取费表'!Al"&amp;$G$1)</f>
        <v>1E-3</v>
      </c>
      <c r="G37" s="1291"/>
      <c r="H37" s="2471"/>
      <c r="I37" s="1304"/>
      <c r="J37" s="1305"/>
      <c r="K37" s="2329"/>
      <c r="L37" s="2471"/>
      <c r="M37" s="2471"/>
    </row>
    <row r="38" spans="1:18" ht="18" customHeight="1" thickBot="1">
      <c r="A38" s="1026" t="s">
        <v>684</v>
      </c>
      <c r="B38" s="1027" t="s">
        <v>728</v>
      </c>
      <c r="C38" s="1028">
        <f ca="1">ROUND(C5*F38,0)</f>
        <v>541</v>
      </c>
      <c r="D38" s="1029" t="s">
        <v>748</v>
      </c>
      <c r="E38" s="1027" t="s">
        <v>744</v>
      </c>
      <c r="F38" s="1023">
        <f ca="1">INDIRECT("'数据-取费表'!Am"&amp;$G$1)</f>
        <v>0.01</v>
      </c>
      <c r="G38" s="1291"/>
      <c r="H38" s="2471"/>
      <c r="I38" s="1304"/>
      <c r="J38" s="1305"/>
      <c r="K38" s="2469"/>
      <c r="L38" s="2471"/>
      <c r="M38" s="2471"/>
    </row>
    <row r="39" spans="1:18" ht="24.6" customHeight="1" thickTop="1">
      <c r="A39" s="1016" t="s">
        <v>394</v>
      </c>
      <c r="B39" s="1031" t="s">
        <v>772</v>
      </c>
      <c r="C39" s="302">
        <f ca="1">C5-C30</f>
        <v>40364</v>
      </c>
      <c r="D39" s="1032" t="s">
        <v>773</v>
      </c>
      <c r="E39" s="1033"/>
      <c r="F39" s="1034"/>
      <c r="G39" s="1291"/>
      <c r="H39" s="2471"/>
      <c r="I39" s="1304"/>
      <c r="J39" s="1305"/>
      <c r="K39" s="2469"/>
      <c r="L39" s="2471"/>
      <c r="M39" s="2471"/>
    </row>
    <row r="40" spans="1:18" ht="18" customHeight="1">
      <c r="A40" s="291" t="s">
        <v>395</v>
      </c>
      <c r="B40" s="292" t="s">
        <v>774</v>
      </c>
      <c r="C40" s="293">
        <f ca="1">ROUND(C39*(1-((1+F42)/(1+F40))^F41)/(F40-F42),0)</f>
        <v>833265</v>
      </c>
      <c r="D40" s="316" t="s">
        <v>758</v>
      </c>
      <c r="E40" s="294" t="s">
        <v>759</v>
      </c>
      <c r="F40" s="304">
        <f ca="1">INDIRECT("'数据-取费表'!I"&amp;$G$1)</f>
        <v>5.5E-2</v>
      </c>
      <c r="G40" s="1291"/>
      <c r="H40" s="1365">
        <f ca="1">C39/C5</f>
        <v>0.74654139232078121</v>
      </c>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38</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ROUND(C40/F43,0)</f>
        <v>7931</v>
      </c>
      <c r="D43" s="328" t="s">
        <v>777</v>
      </c>
      <c r="E43" s="329" t="s">
        <v>778</v>
      </c>
      <c r="F43" s="330">
        <f ca="1">INDIRECT("'数据-取费表'!k"&amp;$G$1)</f>
        <v>105.06</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7" t="s">
        <v>3350</v>
      </c>
      <c r="B45" s="1306"/>
      <c r="C45" s="1375">
        <f ca="1">ROUND((C68-C40)/10000,4)</f>
        <v>-89.825400000000002</v>
      </c>
      <c r="D45" s="3128" t="s">
        <v>3351</v>
      </c>
      <c r="E45" s="1306"/>
      <c r="F45" s="1306"/>
      <c r="O45" s="1309" t="s">
        <v>808</v>
      </c>
      <c r="P45" s="1365"/>
      <c r="Q45" s="1365"/>
      <c r="R45" s="1365"/>
    </row>
    <row r="46" spans="1:18" s="1291" customFormat="1" ht="13.8" thickBot="1">
      <c r="A46" s="1310" t="s">
        <v>809</v>
      </c>
      <c r="C46" s="1311">
        <f ca="1">ROUND(C45,0)</f>
        <v>-90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2" t="s">
        <v>687</v>
      </c>
      <c r="B47" s="924" t="s">
        <v>688</v>
      </c>
      <c r="C47" s="924" t="s">
        <v>689</v>
      </c>
      <c r="D47" s="924" t="s">
        <v>690</v>
      </c>
      <c r="E47" s="995" t="s">
        <v>691</v>
      </c>
      <c r="F47" s="996"/>
      <c r="G47" s="681"/>
      <c r="I47" s="1320" t="s">
        <v>815</v>
      </c>
      <c r="J47" s="1321" t="s">
        <v>3422</v>
      </c>
      <c r="K47" s="1322" t="s">
        <v>816</v>
      </c>
      <c r="L47" s="1323">
        <f ca="1">INDIRECT("'数据-取费表'!d"&amp;$G$1)</f>
        <v>70</v>
      </c>
      <c r="M47" s="1287" t="str">
        <f>IF(ISNUMBER(FIND("住宅",C1)),"住宅","非住宅")</f>
        <v>非住宅</v>
      </c>
      <c r="O47" s="1324" t="s">
        <v>403</v>
      </c>
      <c r="P47" s="1325" t="s">
        <v>817</v>
      </c>
      <c r="Q47" s="1326">
        <f ca="1">C40+J29</f>
        <v>833265</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3487</v>
      </c>
      <c r="K48" s="1329" t="s">
        <v>820</v>
      </c>
      <c r="L48" s="1330">
        <f ca="1">INDIRECT("'数据-取费表'!f"&amp;$G$1)</f>
        <v>46</v>
      </c>
      <c r="O48" s="1324" t="s">
        <v>404</v>
      </c>
      <c r="P48" s="1325" t="s">
        <v>821</v>
      </c>
      <c r="Q48" s="1326" t="str">
        <f ca="1">J60</f>
        <v>0</v>
      </c>
      <c r="R48" s="1326" t="s">
        <v>822</v>
      </c>
    </row>
    <row r="49" spans="1:18" s="1291" customFormat="1" ht="13.8" thickBot="1">
      <c r="A49" s="921" t="s">
        <v>439</v>
      </c>
      <c r="B49" s="1278" t="s">
        <v>779</v>
      </c>
      <c r="C49" s="1051">
        <f ca="1">ROUND(F49*F51*F50*(1-F52),0)</f>
        <v>0</v>
      </c>
      <c r="D49" s="992" t="s">
        <v>695</v>
      </c>
      <c r="E49" s="1279" t="s">
        <v>780</v>
      </c>
      <c r="F49" s="997"/>
      <c r="H49" s="682"/>
      <c r="I49" s="1327" t="s">
        <v>823</v>
      </c>
      <c r="J49" s="1331">
        <f>'数据-取费表'!M18</f>
        <v>2003</v>
      </c>
      <c r="K49" s="1329" t="s">
        <v>824</v>
      </c>
      <c r="L49" s="1332"/>
      <c r="O49" s="1333" t="s">
        <v>405</v>
      </c>
      <c r="P49" s="1325" t="s">
        <v>825</v>
      </c>
      <c r="Q49" s="1326">
        <f ca="1">C29</f>
        <v>383626</v>
      </c>
      <c r="R49" s="1326" t="s">
        <v>818</v>
      </c>
    </row>
    <row r="50" spans="1:18" s="1291" customFormat="1" ht="13.8" thickBot="1">
      <c r="A50" s="922"/>
      <c r="B50" s="925"/>
      <c r="C50" s="926"/>
      <c r="D50" s="899"/>
      <c r="E50" s="993" t="s">
        <v>697</v>
      </c>
      <c r="F50" s="994">
        <f ca="1">F7</f>
        <v>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8" thickBot="1">
      <c r="A51" s="923"/>
      <c r="B51" s="925"/>
      <c r="C51" s="926"/>
      <c r="D51" s="899"/>
      <c r="E51" s="927" t="s">
        <v>698</v>
      </c>
      <c r="F51" s="295">
        <f ca="1">F8</f>
        <v>12</v>
      </c>
      <c r="I51" s="1337" t="s">
        <v>829</v>
      </c>
      <c r="J51" s="1330">
        <f>IF(J49="",J50,J49+J50-YEAR('数据-取费表'!B2))</f>
        <v>38</v>
      </c>
      <c r="K51" s="1338" t="s">
        <v>830</v>
      </c>
      <c r="L51" s="1339">
        <f ca="1">ROUND(-PV(INDIRECT("'数据-取费表'!h"&amp;$G$1),J51,(C39-C13*C76),0),0)</f>
        <v>354719</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38</v>
      </c>
      <c r="R52" s="1326" t="s">
        <v>835</v>
      </c>
    </row>
    <row r="53" spans="1:18" s="1291" customFormat="1" ht="30.75" customHeight="1" thickBot="1">
      <c r="A53" s="1048" t="s">
        <v>440</v>
      </c>
      <c r="B53" s="315" t="s">
        <v>700</v>
      </c>
      <c r="C53" s="308">
        <f ca="1">ROUND(IF(F53="押一",C49/12*F11,IF(F53="押二",C49/12*2*F11,IF(F53="押三",C49/12*3*F11,C54*F11))),0)</f>
        <v>0</v>
      </c>
      <c r="D53" s="150" t="s">
        <v>2117</v>
      </c>
      <c r="E53" s="305" t="s">
        <v>701</v>
      </c>
      <c r="F53" s="1053"/>
      <c r="I53" s="1343" t="s">
        <v>836</v>
      </c>
      <c r="J53" s="2005">
        <f ca="1">IF(M47="住宅",IF(D1="——",MAX(J51,L48),MAX(J51,L48-'数据-取费表'!B24)),IF(D1="——",MIN(J51,L48),MIN(J51,L48-'数据-取费表'!B24)))</f>
        <v>38</v>
      </c>
      <c r="K53" s="3405" t="s">
        <v>837</v>
      </c>
      <c r="L53" s="3406"/>
      <c r="O53" s="1324" t="s">
        <v>409</v>
      </c>
      <c r="P53" s="1325" t="s">
        <v>838</v>
      </c>
      <c r="Q53" s="1326">
        <f ca="1">Q47+Q48</f>
        <v>833265</v>
      </c>
      <c r="R53" s="1326" t="s">
        <v>410</v>
      </c>
    </row>
    <row r="54" spans="1:18" s="1291" customFormat="1" ht="13.8"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276211</v>
      </c>
      <c r="D56" s="1351"/>
      <c r="E56" s="1352"/>
      <c r="F56" s="1344"/>
      <c r="I56" s="1353" t="s">
        <v>842</v>
      </c>
      <c r="J56" s="1354" t="s">
        <v>3488</v>
      </c>
      <c r="K56" s="1327" t="s">
        <v>843</v>
      </c>
      <c r="L56" s="1330">
        <f ca="1">IF(L48&lt;J51,"——",L48-J51)</f>
        <v>8</v>
      </c>
      <c r="O56" s="1324" t="s">
        <v>403</v>
      </c>
      <c r="P56" s="1325" t="s">
        <v>817</v>
      </c>
      <c r="Q56" s="1326">
        <f ca="1">C40+J29</f>
        <v>833265</v>
      </c>
      <c r="R56" s="1326" t="s">
        <v>818</v>
      </c>
    </row>
    <row r="57" spans="1:18" s="1291" customFormat="1" ht="24.6" thickBot="1">
      <c r="A57" s="1355"/>
      <c r="B57" s="896" t="s">
        <v>767</v>
      </c>
      <c r="C57" s="230">
        <f ca="1">C29</f>
        <v>383626</v>
      </c>
      <c r="D57" s="1356"/>
      <c r="E57" s="1357"/>
      <c r="F57" s="1358"/>
      <c r="I57" s="1359" t="s">
        <v>844</v>
      </c>
      <c r="J57" s="1360" t="str">
        <f ca="1">IF(OR(M47="住宅",J51&lt;L48,J56="是"),"——",J51-L48)</f>
        <v>——</v>
      </c>
      <c r="K57" s="1327" t="s">
        <v>892</v>
      </c>
      <c r="L57" s="1330">
        <f ca="1">IF(L48&lt;J51,"——",IF(L55="比较法",L49,IF(L55="基准地价",L50,L51)))</f>
        <v>354719</v>
      </c>
      <c r="O57" s="1324" t="s">
        <v>404</v>
      </c>
      <c r="P57" s="1325" t="s">
        <v>893</v>
      </c>
      <c r="Q57" s="1326" t="e">
        <f ca="1">L60</f>
        <v>#DIV/0!</v>
      </c>
      <c r="R57" s="1326" t="s">
        <v>894</v>
      </c>
    </row>
    <row r="58" spans="1:18" s="1291" customFormat="1" ht="24.6" thickBot="1">
      <c r="A58" s="307" t="s">
        <v>393</v>
      </c>
      <c r="B58" s="904" t="s">
        <v>714</v>
      </c>
      <c r="C58" s="308">
        <f ca="1">ROUND(C59+C64+C65+C66,0)</f>
        <v>4112</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t="str">
        <f ca="1">IF(OR(M47="住宅",J51&lt;L48,J56="是"),"0",ROUND(J59/(1+J52)^J53,0))</f>
        <v>0</v>
      </c>
      <c r="K60" s="1364" t="s">
        <v>854</v>
      </c>
      <c r="L60" s="1363" t="e">
        <f ca="1">IF(OR(M47="住宅",L48&lt;J51),0,ROUND(L57*(L58/L59-1),0))</f>
        <v>#DIV/0!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IF(项目基本情况!B11="自然人","——",IF(D61="按租金收入计税",ROUND(C49*F61/(1+'数据-取费表'!C42),0),IF(D61="按房产原值计税",ROUND(C57*F61*0.7,0),INDIRECT("'数据-取费表'!Aj"&amp;$G$1))))</f>
        <v>0</v>
      </c>
      <c r="D61" s="1277" t="s">
        <v>3334</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IF(项目基本情况!B11="自然人","——",ROUND(F62*F63,0))</f>
        <v>0</v>
      </c>
      <c r="D62" s="911" t="s">
        <v>786</v>
      </c>
      <c r="E62" s="896" t="s">
        <v>787</v>
      </c>
      <c r="F62" s="317">
        <f t="shared" si="0"/>
        <v>3</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ROUND(C57*F64,0)</f>
        <v>3836</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ROUND(C56*F65,0)</f>
        <v>276</v>
      </c>
      <c r="D65" s="910" t="s">
        <v>743</v>
      </c>
      <c r="E65" s="896" t="s">
        <v>744</v>
      </c>
      <c r="F65" s="321">
        <f t="shared" ca="1" si="0"/>
        <v>1E-3</v>
      </c>
      <c r="I65" s="1366" t="s">
        <v>867</v>
      </c>
      <c r="J65" s="610">
        <v>40</v>
      </c>
      <c r="K65" s="610">
        <v>30</v>
      </c>
      <c r="L65" s="610">
        <v>50</v>
      </c>
      <c r="M65" s="1368">
        <v>0.02</v>
      </c>
      <c r="O65" s="1324" t="s">
        <v>403</v>
      </c>
      <c r="P65" s="1325" t="s">
        <v>868</v>
      </c>
      <c r="Q65" s="1326">
        <f ca="1">C40+J29</f>
        <v>833265</v>
      </c>
      <c r="R65" s="1326" t="s">
        <v>818</v>
      </c>
    </row>
    <row r="66" spans="1:18" s="1291" customFormat="1" ht="16.2" thickBot="1">
      <c r="A66" s="928" t="s">
        <v>793</v>
      </c>
      <c r="B66" s="896" t="s">
        <v>728</v>
      </c>
      <c r="C66" s="21">
        <f ca="1">ROUND(C48*F66,0)</f>
        <v>0</v>
      </c>
      <c r="D66" s="910" t="s">
        <v>794</v>
      </c>
      <c r="E66" s="896" t="s">
        <v>712</v>
      </c>
      <c r="F66" s="304">
        <f t="shared" ca="1" si="0"/>
        <v>0.01</v>
      </c>
      <c r="O66" s="1324" t="s">
        <v>404</v>
      </c>
      <c r="P66" s="1325" t="s">
        <v>846</v>
      </c>
      <c r="Q66" s="1326" t="e">
        <f ca="1">L60</f>
        <v>#DIV/0!</v>
      </c>
      <c r="R66" s="1326" t="s">
        <v>869</v>
      </c>
    </row>
    <row r="67" spans="1:18" s="1291" customFormat="1" ht="24.6" thickBot="1">
      <c r="A67" s="903" t="s">
        <v>394</v>
      </c>
      <c r="B67" s="913" t="s">
        <v>752</v>
      </c>
      <c r="C67" s="308">
        <f ca="1">C48-C58</f>
        <v>-4112</v>
      </c>
      <c r="D67" s="909" t="s">
        <v>753</v>
      </c>
      <c r="E67" s="914"/>
      <c r="F67" s="915"/>
      <c r="O67" s="1333" t="s">
        <v>405</v>
      </c>
      <c r="P67" s="1325" t="s">
        <v>850</v>
      </c>
      <c r="Q67" s="1369">
        <f ca="1">L51</f>
        <v>354719</v>
      </c>
      <c r="R67" s="1326" t="s">
        <v>870</v>
      </c>
    </row>
    <row r="68" spans="1:18" s="1291" customFormat="1" ht="16.2" thickBot="1">
      <c r="A68" s="893" t="s">
        <v>395</v>
      </c>
      <c r="B68" s="894" t="s">
        <v>774</v>
      </c>
      <c r="C68" s="293">
        <f ca="1">ROUND(C67*(1-((1+F70)/(1+F68))^F69)/(F68-F70),0)</f>
        <v>-64989</v>
      </c>
      <c r="D68" s="911" t="s">
        <v>758</v>
      </c>
      <c r="E68" s="896" t="s">
        <v>759</v>
      </c>
      <c r="F68" s="304">
        <f ca="1">F40</f>
        <v>5.5E-2</v>
      </c>
      <c r="O68" s="1333" t="s">
        <v>406</v>
      </c>
      <c r="P68" s="1370" t="s">
        <v>871</v>
      </c>
      <c r="Q68" s="1326">
        <f ca="1">ROUND(Q69-Q70*Q71,0)</f>
        <v>21029</v>
      </c>
      <c r="R68" s="1326" t="s">
        <v>414</v>
      </c>
    </row>
    <row r="69" spans="1:18" s="1291" customFormat="1" ht="13.8" thickBot="1">
      <c r="A69" s="897"/>
      <c r="B69" s="898"/>
      <c r="C69" s="298"/>
      <c r="D69" s="916" t="s">
        <v>762</v>
      </c>
      <c r="E69" s="896" t="s">
        <v>763</v>
      </c>
      <c r="F69" s="324">
        <f ca="1">F41</f>
        <v>38</v>
      </c>
      <c r="O69" s="1333" t="s">
        <v>411</v>
      </c>
      <c r="P69" s="1370" t="s">
        <v>872</v>
      </c>
      <c r="Q69" s="1326">
        <f ca="1">C39</f>
        <v>40364</v>
      </c>
      <c r="R69" s="1326" t="s">
        <v>818</v>
      </c>
    </row>
    <row r="70" spans="1:18" s="1291" customFormat="1" ht="13.8" thickBot="1">
      <c r="A70" s="900"/>
      <c r="B70" s="901"/>
      <c r="C70" s="302"/>
      <c r="D70" s="912"/>
      <c r="E70" s="896" t="s">
        <v>766</v>
      </c>
      <c r="F70" s="991"/>
      <c r="O70" s="1333" t="s">
        <v>412</v>
      </c>
      <c r="P70" s="1370" t="s">
        <v>873</v>
      </c>
      <c r="Q70" s="1326">
        <f ca="1">C13</f>
        <v>276211</v>
      </c>
      <c r="R70" s="1326" t="s">
        <v>818</v>
      </c>
    </row>
    <row r="71" spans="1:18" s="1291" customFormat="1" ht="13.8" thickBot="1">
      <c r="A71" s="917" t="s">
        <v>396</v>
      </c>
      <c r="B71" s="918" t="s">
        <v>776</v>
      </c>
      <c r="C71" s="327">
        <f ca="1">ROUND(C68/F71,0)</f>
        <v>-619</v>
      </c>
      <c r="D71" s="919" t="s">
        <v>777</v>
      </c>
      <c r="E71" s="920" t="s">
        <v>778</v>
      </c>
      <c r="F71" s="330">
        <f ca="1">F43</f>
        <v>105.06</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19335</v>
      </c>
      <c r="D75" s="1291"/>
      <c r="E75" s="1291"/>
      <c r="F75" s="1291"/>
      <c r="K75" s="1308"/>
      <c r="L75" s="1291"/>
      <c r="O75" s="1324" t="s">
        <v>409</v>
      </c>
      <c r="P75" s="1325" t="s">
        <v>838</v>
      </c>
      <c r="Q75" s="1326" t="e">
        <f ca="1">Q65+Q66</f>
        <v>#DIV/0!</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0.52100000000000002</v>
      </c>
    </row>
    <row r="80" spans="1:18">
      <c r="B80" s="331" t="s">
        <v>800</v>
      </c>
      <c r="C80" s="266">
        <f ca="1">ROUND(C75/C39,3)</f>
        <v>0.47899999999999998</v>
      </c>
    </row>
    <row r="81" spans="2:3">
      <c r="B81" s="262" t="s">
        <v>801</v>
      </c>
      <c r="C81" s="230"/>
    </row>
    <row r="82" spans="2:3">
      <c r="B82" s="265" t="s">
        <v>802</v>
      </c>
      <c r="C82" s="267">
        <f ca="1">1-C83</f>
        <v>0.66900000000000004</v>
      </c>
    </row>
    <row r="83" spans="2:3">
      <c r="B83" s="265" t="s">
        <v>803</v>
      </c>
      <c r="C83" s="266">
        <f ca="1">ROUND(C13/C40,3)</f>
        <v>0.33100000000000002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94" t="s">
        <v>2837</v>
      </c>
      <c r="B1" s="3494"/>
      <c r="C1" s="3494"/>
      <c r="D1" s="3494"/>
      <c r="E1" s="3494"/>
      <c r="F1" s="3494"/>
      <c r="G1" s="3495"/>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1.4"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492"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1.4" thickBot="1">
      <c r="A4" s="3493"/>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1.4"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1.4"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1.4"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1.4"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6" t="s">
        <v>3179</v>
      </c>
      <c r="B1" s="3496"/>
    </row>
    <row r="2" spans="1:7" ht="15" thickBot="1">
      <c r="A2" s="2966"/>
      <c r="B2" s="2966"/>
    </row>
    <row r="3" spans="1:7" ht="15" thickBot="1">
      <c r="A3" s="2966"/>
      <c r="B3" s="2966"/>
      <c r="C3" s="2967" t="s">
        <v>2809</v>
      </c>
      <c r="D3" s="2967" t="s">
        <v>2865</v>
      </c>
      <c r="E3" s="2967" t="s">
        <v>2811</v>
      </c>
      <c r="F3" s="2967" t="s">
        <v>2866</v>
      </c>
      <c r="G3" s="2967" t="s">
        <v>2629</v>
      </c>
    </row>
    <row r="4" spans="1:7" ht="1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1"/>
  </cols>
  <sheetData>
    <row r="1" spans="1:6">
      <c r="A1" s="3497" t="s">
        <v>3230</v>
      </c>
      <c r="B1" s="3497"/>
      <c r="C1" s="3497"/>
      <c r="D1" s="3497"/>
      <c r="E1" s="3497"/>
      <c r="F1" s="3498"/>
    </row>
    <row r="2" spans="1:6">
      <c r="A2" s="3000" t="s">
        <v>3231</v>
      </c>
    </row>
    <row r="3" spans="1:6">
      <c r="A3" s="3000" t="s">
        <v>3232</v>
      </c>
      <c r="F3" s="3001" t="s">
        <v>3233</v>
      </c>
    </row>
    <row r="4" spans="1:6">
      <c r="A4" s="3002" t="s">
        <v>672</v>
      </c>
      <c r="B4" s="3002" t="s">
        <v>673</v>
      </c>
      <c r="C4" s="3002" t="s">
        <v>21</v>
      </c>
      <c r="D4" s="3002" t="s">
        <v>674</v>
      </c>
      <c r="E4" s="3002" t="s">
        <v>3</v>
      </c>
      <c r="F4" s="3002" t="s">
        <v>3234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5">
        <f>基准地价修正!G23</f>
        <v>45727</v>
      </c>
      <c r="B1" s="2927" t="s">
        <v>3378</v>
      </c>
      <c r="C1" s="2928"/>
      <c r="D1" s="2928"/>
      <c r="E1" s="2928"/>
      <c r="F1" s="2928"/>
      <c r="G1" s="2928"/>
      <c r="H1" s="2928"/>
      <c r="I1" s="2928"/>
      <c r="J1" s="2894"/>
      <c r="K1" s="2928" t="s">
        <v>454</v>
      </c>
      <c r="L1" s="2928"/>
      <c r="M1" s="2928"/>
      <c r="N1" s="2928"/>
      <c r="O1" s="2928"/>
      <c r="P1" s="2928"/>
      <c r="Q1" s="2894"/>
      <c r="R1" s="3499" t="s">
        <v>456</v>
      </c>
      <c r="S1" s="3500"/>
      <c r="T1" s="3500"/>
      <c r="U1" s="3500"/>
      <c r="V1" s="3500"/>
      <c r="W1" s="3500"/>
      <c r="X1" s="2894"/>
      <c r="Y1" s="3499" t="s">
        <v>457</v>
      </c>
      <c r="Z1" s="3500"/>
      <c r="AA1" s="3500"/>
      <c r="AB1" s="3500"/>
      <c r="AC1" s="3500"/>
      <c r="AD1" s="3500"/>
    </row>
    <row r="2" spans="1:30" s="2009" customFormat="1" ht="15" thickBot="1">
      <c r="B2" s="2879"/>
      <c r="C2" s="2880"/>
      <c r="D2" s="2010" t="s">
        <v>2808</v>
      </c>
      <c r="E2" s="2011" t="s">
        <v>2809</v>
      </c>
      <c r="F2" s="2011" t="s">
        <v>2810</v>
      </c>
      <c r="G2" s="2011" t="s">
        <v>2811</v>
      </c>
      <c r="H2" s="2011" t="s">
        <v>2812</v>
      </c>
      <c r="I2" s="2011" t="s">
        <v>2629</v>
      </c>
      <c r="J2" s="2881"/>
      <c r="K2" s="2010" t="s">
        <v>2808</v>
      </c>
      <c r="L2" s="2011" t="s">
        <v>2809</v>
      </c>
      <c r="M2" s="2011" t="s">
        <v>2810</v>
      </c>
      <c r="N2" s="2011" t="s">
        <v>2811</v>
      </c>
      <c r="O2" s="2011" t="s">
        <v>2813</v>
      </c>
      <c r="P2" s="2011" t="s">
        <v>2629</v>
      </c>
      <c r="Q2" s="2881"/>
      <c r="R2" s="2010" t="s">
        <v>2808</v>
      </c>
      <c r="S2" s="2011" t="s">
        <v>2809</v>
      </c>
      <c r="T2" s="2011" t="s">
        <v>2810</v>
      </c>
      <c r="U2" s="2011" t="s">
        <v>2814</v>
      </c>
      <c r="V2" s="2011" t="s">
        <v>2815</v>
      </c>
      <c r="W2" s="2011" t="s">
        <v>2629</v>
      </c>
      <c r="X2" s="2881"/>
      <c r="Y2" s="2010" t="s">
        <v>2808</v>
      </c>
      <c r="Z2" s="2011" t="s">
        <v>2809</v>
      </c>
      <c r="AA2" s="2011" t="s">
        <v>2810</v>
      </c>
      <c r="AB2" s="2011" t="s">
        <v>2816</v>
      </c>
      <c r="AC2" s="2011" t="s">
        <v>2815</v>
      </c>
      <c r="AD2" s="2011" t="s">
        <v>2629</v>
      </c>
    </row>
    <row r="3" spans="1:30" s="2884" customFormat="1" ht="13.2">
      <c r="A3" s="2882" t="s">
        <v>2817</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3.2">
      <c r="A5" s="2039" t="s">
        <v>3374</v>
      </c>
      <c r="B5" s="2030">
        <v>2025</v>
      </c>
      <c r="C5" s="2041">
        <v>1</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3.2">
      <c r="A6" s="2905" t="s">
        <v>3383</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4" customFormat="1" ht="13.2">
      <c r="A7" s="2039" t="s">
        <v>3382</v>
      </c>
      <c r="B7" s="2030">
        <v>2024</v>
      </c>
      <c r="C7" s="2041">
        <v>3</v>
      </c>
      <c r="D7" s="2006">
        <v>-1.19</v>
      </c>
      <c r="E7" s="2006">
        <v>-0.47</v>
      </c>
      <c r="F7" s="2006">
        <v>-0.28999999999999998</v>
      </c>
      <c r="G7" s="2006">
        <v>-0.74</v>
      </c>
      <c r="H7" s="2006">
        <v>-0.21</v>
      </c>
      <c r="I7" s="2007">
        <f t="shared" ref="I7" si="26">F7</f>
        <v>-0.28999999999999998</v>
      </c>
      <c r="J7" s="2904"/>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4"/>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4"/>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3" t="s">
        <v>3375</v>
      </c>
      <c r="B8" s="2030">
        <v>2024</v>
      </c>
      <c r="C8" s="2041">
        <v>2</v>
      </c>
      <c r="D8" s="2006">
        <v>-0.59</v>
      </c>
      <c r="E8" s="2006">
        <v>-0.21</v>
      </c>
      <c r="F8" s="2006">
        <v>-1.38</v>
      </c>
      <c r="G8" s="2006">
        <v>-1.24</v>
      </c>
      <c r="H8" s="2915">
        <v>0.34</v>
      </c>
      <c r="I8" s="2007">
        <f t="shared" ref="I8:I21" si="37">F8</f>
        <v>-1.38</v>
      </c>
      <c r="J8" s="2904"/>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4"/>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4"/>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3" t="s">
        <v>3373</v>
      </c>
      <c r="B9" s="2030">
        <v>2024</v>
      </c>
      <c r="C9" s="2041">
        <v>1</v>
      </c>
      <c r="D9" s="2006">
        <v>0.08</v>
      </c>
      <c r="E9" s="2006">
        <v>0.46</v>
      </c>
      <c r="F9" s="2006">
        <v>-0.16</v>
      </c>
      <c r="G9" s="2006">
        <v>0.26</v>
      </c>
      <c r="H9" s="2915">
        <v>0.59</v>
      </c>
      <c r="I9" s="2007">
        <v>0</v>
      </c>
      <c r="J9" s="2904"/>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4"/>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4"/>
      <c r="Y9" s="2027"/>
      <c r="Z9" s="2027"/>
      <c r="AA9" s="2027"/>
      <c r="AB9" s="2027"/>
      <c r="AC9" s="2027"/>
      <c r="AD9" s="2027"/>
    </row>
    <row r="10" spans="1:30" s="2044" customFormat="1" ht="13.2">
      <c r="A10" s="2903" t="s">
        <v>3369</v>
      </c>
      <c r="B10" s="2030">
        <v>2023</v>
      </c>
      <c r="C10" s="2041">
        <v>4</v>
      </c>
      <c r="D10" s="2006">
        <v>0.19</v>
      </c>
      <c r="E10" s="2006">
        <v>0.24</v>
      </c>
      <c r="F10" s="2006">
        <v>-0.16</v>
      </c>
      <c r="G10" s="2006">
        <v>0.17</v>
      </c>
      <c r="H10" s="2915">
        <v>0.61</v>
      </c>
      <c r="I10" s="2007">
        <f>F10</f>
        <v>-0.16</v>
      </c>
      <c r="J10" s="2904"/>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4"/>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4"/>
      <c r="Y10" s="2027"/>
      <c r="Z10" s="2027"/>
      <c r="AA10" s="2027"/>
      <c r="AB10" s="2027"/>
      <c r="AC10" s="2027"/>
      <c r="AD10" s="2027"/>
    </row>
    <row r="11" spans="1:30" s="2044" customFormat="1" ht="13.2">
      <c r="A11" s="2903" t="s">
        <v>3368</v>
      </c>
      <c r="B11" s="2030">
        <v>2023</v>
      </c>
      <c r="C11" s="2041">
        <v>3</v>
      </c>
      <c r="D11" s="2006">
        <v>0.25</v>
      </c>
      <c r="E11" s="2006">
        <v>0.5</v>
      </c>
      <c r="F11" s="2006">
        <v>0.31</v>
      </c>
      <c r="G11" s="2006">
        <v>0.21</v>
      </c>
      <c r="H11" s="2915">
        <v>0.43</v>
      </c>
      <c r="I11" s="2007">
        <f t="shared" si="37"/>
        <v>0.31</v>
      </c>
      <c r="J11" s="2904"/>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4"/>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4"/>
      <c r="Y11" s="2027"/>
      <c r="Z11" s="2027"/>
      <c r="AA11" s="2027"/>
      <c r="AB11" s="2027"/>
      <c r="AC11" s="2027"/>
      <c r="AD11" s="2027"/>
    </row>
    <row r="12" spans="1:30" s="2044" customFormat="1" ht="13.2">
      <c r="A12" s="2903" t="s">
        <v>3366</v>
      </c>
      <c r="B12" s="2030">
        <v>2023</v>
      </c>
      <c r="C12" s="2041">
        <v>2</v>
      </c>
      <c r="D12" s="2006">
        <v>0.91</v>
      </c>
      <c r="E12" s="2006">
        <v>0.66</v>
      </c>
      <c r="F12" s="2006">
        <v>0.47</v>
      </c>
      <c r="G12" s="2006">
        <v>0.96</v>
      </c>
      <c r="H12" s="2915">
        <v>0.71</v>
      </c>
      <c r="I12" s="2007">
        <f t="shared" si="37"/>
        <v>0.47</v>
      </c>
      <c r="J12" s="2904"/>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4"/>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4"/>
      <c r="Y12" s="2027"/>
      <c r="Z12" s="2027"/>
      <c r="AA12" s="2027"/>
      <c r="AB12" s="2027"/>
      <c r="AC12" s="2027"/>
      <c r="AD12" s="2027"/>
    </row>
    <row r="13" spans="1:30" s="2044" customFormat="1" ht="13.2">
      <c r="A13" s="2903" t="s">
        <v>3365</v>
      </c>
      <c r="B13" s="2030">
        <v>2023</v>
      </c>
      <c r="C13" s="2041">
        <v>1</v>
      </c>
      <c r="D13" s="2006">
        <v>0.89</v>
      </c>
      <c r="E13" s="2006">
        <v>0.74</v>
      </c>
      <c r="F13" s="2006">
        <v>0.56999999999999995</v>
      </c>
      <c r="G13" s="2006">
        <v>0.92</v>
      </c>
      <c r="H13" s="2915">
        <v>0.5</v>
      </c>
      <c r="I13" s="2007">
        <f t="shared" si="37"/>
        <v>0.56999999999999995</v>
      </c>
      <c r="J13" s="2904"/>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4"/>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4"/>
      <c r="Y13" s="2027"/>
      <c r="Z13" s="2027"/>
      <c r="AA13" s="2027"/>
      <c r="AB13" s="2027"/>
      <c r="AC13" s="2027"/>
      <c r="AD13" s="2027"/>
    </row>
    <row r="14" spans="1:30" s="2044" customFormat="1" ht="13.2">
      <c r="A14" s="2903" t="s">
        <v>3364</v>
      </c>
      <c r="B14" s="2030">
        <v>2022</v>
      </c>
      <c r="C14" s="2041">
        <v>4</v>
      </c>
      <c r="D14" s="2006">
        <v>0.62</v>
      </c>
      <c r="E14" s="2006">
        <v>0.2</v>
      </c>
      <c r="F14" s="2006">
        <v>0.11</v>
      </c>
      <c r="G14" s="2006">
        <v>0.69</v>
      </c>
      <c r="H14" s="2915">
        <v>0.53</v>
      </c>
      <c r="I14" s="2007">
        <f t="shared" si="37"/>
        <v>0.11</v>
      </c>
      <c r="J14" s="2904"/>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4"/>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4"/>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3" t="s">
        <v>3362</v>
      </c>
      <c r="B15" s="2030">
        <v>2022</v>
      </c>
      <c r="C15" s="2041">
        <v>3</v>
      </c>
      <c r="D15" s="2006">
        <v>0.66</v>
      </c>
      <c r="E15" s="2006">
        <v>0.32</v>
      </c>
      <c r="F15" s="2006">
        <v>0.23</v>
      </c>
      <c r="G15" s="2006">
        <v>0.72</v>
      </c>
      <c r="H15" s="2915">
        <v>0.63</v>
      </c>
      <c r="I15" s="2007">
        <f t="shared" si="37"/>
        <v>0.23</v>
      </c>
      <c r="J15" s="2904"/>
      <c r="K15" s="2042">
        <f t="shared" si="38"/>
        <v>6.6E-3</v>
      </c>
      <c r="L15" s="2027">
        <f t="shared" si="38"/>
        <v>3.2000000000000002E-3</v>
      </c>
      <c r="M15" s="2027">
        <f t="shared" si="38"/>
        <v>2.3E-3</v>
      </c>
      <c r="N15" s="2027">
        <f t="shared" si="38"/>
        <v>7.1999999999999998E-3</v>
      </c>
      <c r="O15" s="2027">
        <f t="shared" si="38"/>
        <v>6.3E-3</v>
      </c>
      <c r="P15" s="2027">
        <f t="shared" si="58"/>
        <v>2.3E-3</v>
      </c>
      <c r="Q15" s="2904"/>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4"/>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3" t="s">
        <v>3353</v>
      </c>
      <c r="B16" s="2030">
        <v>2022</v>
      </c>
      <c r="C16" s="2041">
        <v>2</v>
      </c>
      <c r="D16" s="2006">
        <v>0.93</v>
      </c>
      <c r="E16" s="2006">
        <v>0.15</v>
      </c>
      <c r="F16" s="2006">
        <v>0.01</v>
      </c>
      <c r="G16" s="2006">
        <v>1.05</v>
      </c>
      <c r="H16" s="2915">
        <v>1.08</v>
      </c>
      <c r="I16" s="2007">
        <f t="shared" si="37"/>
        <v>0.01</v>
      </c>
      <c r="J16" s="2904"/>
      <c r="K16" s="2042">
        <f t="shared" si="38"/>
        <v>9.300000000000001E-3</v>
      </c>
      <c r="L16" s="2027">
        <f t="shared" si="38"/>
        <v>1.5E-3</v>
      </c>
      <c r="M16" s="2027">
        <f t="shared" si="38"/>
        <v>1E-4</v>
      </c>
      <c r="N16" s="2027">
        <f t="shared" si="38"/>
        <v>1.0500000000000001E-2</v>
      </c>
      <c r="O16" s="2027">
        <f t="shared" si="38"/>
        <v>1.0800000000000001E-2</v>
      </c>
      <c r="P16" s="2027">
        <f t="shared" si="58"/>
        <v>1E-4</v>
      </c>
      <c r="Q16" s="2904"/>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4"/>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3" t="s">
        <v>2818</v>
      </c>
      <c r="B17" s="2030">
        <v>2022</v>
      </c>
      <c r="C17" s="2041">
        <v>1</v>
      </c>
      <c r="D17" s="2006">
        <v>0.89</v>
      </c>
      <c r="E17" s="2006">
        <v>0.44</v>
      </c>
      <c r="F17" s="2006">
        <v>0.37</v>
      </c>
      <c r="G17" s="2006">
        <v>0.96</v>
      </c>
      <c r="H17" s="2915">
        <v>0.64</v>
      </c>
      <c r="I17" s="2007">
        <f t="shared" si="37"/>
        <v>0.37</v>
      </c>
      <c r="J17" s="2904"/>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4"/>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4"/>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3" t="s">
        <v>2819</v>
      </c>
      <c r="B18" s="2030">
        <v>2021</v>
      </c>
      <c r="C18" s="2041">
        <v>4</v>
      </c>
      <c r="D18" s="2006">
        <v>1.03</v>
      </c>
      <c r="E18" s="2006">
        <v>0.24</v>
      </c>
      <c r="F18" s="2006">
        <v>7.0000000000000007E-2</v>
      </c>
      <c r="G18" s="2006">
        <v>1.17</v>
      </c>
      <c r="H18" s="2915">
        <v>0.55000000000000004</v>
      </c>
      <c r="I18" s="2007">
        <f t="shared" si="37"/>
        <v>7.0000000000000007E-2</v>
      </c>
      <c r="J18" s="2904"/>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4"/>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4"/>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3" t="s">
        <v>2820</v>
      </c>
      <c r="B19" s="2030">
        <v>2021</v>
      </c>
      <c r="C19" s="2041">
        <v>3</v>
      </c>
      <c r="D19" s="2006">
        <v>0.47</v>
      </c>
      <c r="E19" s="2006">
        <v>0.41</v>
      </c>
      <c r="F19" s="2006">
        <v>0.24</v>
      </c>
      <c r="G19" s="2006">
        <v>0.48</v>
      </c>
      <c r="H19" s="2915">
        <v>0.48</v>
      </c>
      <c r="I19" s="2007">
        <f t="shared" si="37"/>
        <v>0.24</v>
      </c>
      <c r="J19" s="2904"/>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4"/>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4"/>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3" t="s">
        <v>2821</v>
      </c>
      <c r="B20" s="2030">
        <v>2021</v>
      </c>
      <c r="C20" s="2041">
        <v>2</v>
      </c>
      <c r="D20" s="2006">
        <v>0.92</v>
      </c>
      <c r="E20" s="2006">
        <v>0.72</v>
      </c>
      <c r="F20" s="2006">
        <v>0.41</v>
      </c>
      <c r="G20" s="2006">
        <v>0.95</v>
      </c>
      <c r="H20" s="2915">
        <v>1.01</v>
      </c>
      <c r="I20" s="2007">
        <f t="shared" si="37"/>
        <v>0.41</v>
      </c>
      <c r="J20" s="2904"/>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4"/>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4"/>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6" customFormat="1" ht="13.8" thickBot="1">
      <c r="A21" s="2916" t="s">
        <v>2822</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3381</v>
      </c>
    </row>
    <row r="24" spans="1:30">
      <c r="I24" s="1404" t="s">
        <v>2823</v>
      </c>
    </row>
    <row r="26" spans="1:30" s="2008" customFormat="1" ht="13.2">
      <c r="B26" s="2927" t="s">
        <v>3379</v>
      </c>
      <c r="C26" s="2928"/>
      <c r="D26" s="2928"/>
      <c r="E26" s="2928"/>
      <c r="F26" s="2928"/>
      <c r="G26" s="2928"/>
      <c r="H26" s="2928"/>
      <c r="I26" s="2928"/>
      <c r="J26" s="2894"/>
      <c r="K26" s="2928" t="s">
        <v>2824</v>
      </c>
      <c r="L26" s="2928"/>
      <c r="M26" s="2928"/>
      <c r="N26" s="2928"/>
      <c r="O26" s="2928"/>
      <c r="P26" s="2928"/>
      <c r="Q26" s="2894"/>
      <c r="R26" s="3499" t="s">
        <v>2825</v>
      </c>
      <c r="S26" s="3500"/>
      <c r="T26" s="3500"/>
      <c r="U26" s="3500"/>
      <c r="V26" s="3500"/>
      <c r="W26" s="3500"/>
      <c r="X26" s="2894"/>
      <c r="Y26" s="3499" t="s">
        <v>2826</v>
      </c>
      <c r="Z26" s="3500"/>
      <c r="AA26" s="3500"/>
      <c r="AB26" s="3500"/>
      <c r="AC26" s="3500"/>
      <c r="AD26" s="3500"/>
    </row>
    <row r="27" spans="1:30" s="2009" customFormat="1" ht="15" thickBot="1">
      <c r="B27" s="2879"/>
      <c r="C27" s="2880"/>
      <c r="D27" s="2010" t="s">
        <v>2827</v>
      </c>
      <c r="E27" s="2011" t="s">
        <v>2828</v>
      </c>
      <c r="F27" s="2011" t="s">
        <v>2829</v>
      </c>
      <c r="G27" s="2011" t="s">
        <v>2830</v>
      </c>
      <c r="H27" s="2011"/>
      <c r="I27" s="2011" t="s">
        <v>2831</v>
      </c>
      <c r="J27" s="2881"/>
      <c r="K27" s="2010" t="s">
        <v>2827</v>
      </c>
      <c r="L27" s="2011" t="s">
        <v>2828</v>
      </c>
      <c r="M27" s="2011" t="s">
        <v>2829</v>
      </c>
      <c r="N27" s="2011" t="s">
        <v>2830</v>
      </c>
      <c r="O27" s="2011"/>
      <c r="P27" s="2011" t="s">
        <v>2831</v>
      </c>
      <c r="Q27" s="2881"/>
      <c r="R27" s="2010" t="s">
        <v>2827</v>
      </c>
      <c r="S27" s="2011" t="s">
        <v>2828</v>
      </c>
      <c r="T27" s="2011" t="s">
        <v>2829</v>
      </c>
      <c r="U27" s="2011" t="s">
        <v>2830</v>
      </c>
      <c r="V27" s="2011"/>
      <c r="W27" s="2011" t="s">
        <v>2831</v>
      </c>
      <c r="X27" s="2881"/>
      <c r="Y27" s="2010" t="s">
        <v>2827</v>
      </c>
      <c r="Z27" s="2011" t="s">
        <v>2828</v>
      </c>
      <c r="AA27" s="2011" t="s">
        <v>2829</v>
      </c>
      <c r="AB27" s="2011" t="s">
        <v>2830</v>
      </c>
      <c r="AC27" s="2011"/>
      <c r="AD27" s="2011" t="s">
        <v>2831</v>
      </c>
    </row>
    <row r="28" spans="1:30" s="2884" customFormat="1" ht="13.2">
      <c r="A28" s="2882" t="s">
        <v>2832</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8" customFormat="1" ht="13.2">
      <c r="B29" s="2024"/>
      <c r="J29" s="2894"/>
      <c r="K29" s="2895"/>
      <c r="L29" s="2896"/>
      <c r="M29" s="2896"/>
      <c r="N29" s="2896"/>
      <c r="O29" s="2896"/>
      <c r="P29" s="2896"/>
      <c r="Q29" s="2894"/>
      <c r="R29" s="2026"/>
      <c r="S29" s="2897"/>
      <c r="T29" s="2898"/>
      <c r="U29" s="2026"/>
      <c r="V29" s="2899"/>
      <c r="W29" s="2026"/>
      <c r="X29" s="2894"/>
      <c r="Y29" s="2027"/>
      <c r="Z29" s="2900"/>
      <c r="AA29" s="2901"/>
      <c r="AB29" s="2027"/>
      <c r="AC29" s="2902"/>
      <c r="AD29" s="2027"/>
    </row>
    <row r="30" spans="1:30" s="2044" customFormat="1" ht="13.2">
      <c r="A30" s="2039" t="s">
        <v>3374</v>
      </c>
      <c r="B30" s="2030">
        <v>2025</v>
      </c>
      <c r="C30" s="2041">
        <v>1</v>
      </c>
      <c r="D30" s="2006"/>
      <c r="E30" s="2006">
        <v>0</v>
      </c>
      <c r="F30" s="2006">
        <v>0</v>
      </c>
      <c r="G30" s="2006">
        <v>0</v>
      </c>
      <c r="H30" s="2006"/>
      <c r="I30" s="2007">
        <f t="shared" ref="I30" si="69">F30</f>
        <v>0</v>
      </c>
      <c r="J30" s="2904"/>
      <c r="K30" s="2042"/>
      <c r="L30" s="2027">
        <f t="shared" ref="L30" si="70">E30/100</f>
        <v>0</v>
      </c>
      <c r="M30" s="2027">
        <f t="shared" ref="M30" si="71">F30/100</f>
        <v>0</v>
      </c>
      <c r="N30" s="2027">
        <f t="shared" ref="N30" si="72">G30/100</f>
        <v>0</v>
      </c>
      <c r="O30" s="2027"/>
      <c r="P30" s="2027">
        <f>M30</f>
        <v>0</v>
      </c>
      <c r="Q30" s="2904"/>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4"/>
      <c r="Y30" s="2027"/>
      <c r="Z30" s="2900">
        <f t="shared" ref="Z30" si="73">IF(E30=0,0,ROUND(AVERAGE(E30:E43)/100,4))</f>
        <v>0</v>
      </c>
      <c r="AA30" s="2900">
        <f t="shared" ref="AA30" si="74">IF(F30=0,0,ROUND(AVERAGE(F30:F43)/100,4))</f>
        <v>0</v>
      </c>
      <c r="AB30" s="2900">
        <f t="shared" ref="AB30" si="75">IF(G30=0,0,ROUND(AVERAGE(G30:G43)/100,4))</f>
        <v>0</v>
      </c>
      <c r="AC30" s="2902"/>
      <c r="AD30" s="2027">
        <f>IF(I30=0,0,ROUND(AVERAGE(I30:I43)/100,4))</f>
        <v>0</v>
      </c>
    </row>
    <row r="31" spans="1:30" s="2914" customFormat="1" ht="13.2">
      <c r="A31" s="2905" t="s">
        <v>3376</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4" customFormat="1" ht="13.2">
      <c r="A32" s="2039" t="s">
        <v>3371</v>
      </c>
      <c r="B32" s="2030">
        <v>2024</v>
      </c>
      <c r="C32" s="2041">
        <v>3</v>
      </c>
      <c r="D32" s="2006"/>
      <c r="E32" s="2006">
        <v>-0.66</v>
      </c>
      <c r="F32" s="2006">
        <v>-0.52</v>
      </c>
      <c r="G32" s="2006">
        <v>-2.87</v>
      </c>
      <c r="H32" s="2006"/>
      <c r="I32" s="2007">
        <f t="shared" ref="I32" si="83">F32</f>
        <v>-0.52</v>
      </c>
      <c r="J32" s="2904"/>
      <c r="K32" s="2042"/>
      <c r="L32" s="2027">
        <f t="shared" ref="L32" si="84">E32/100</f>
        <v>-6.6E-3</v>
      </c>
      <c r="M32" s="2027">
        <f t="shared" ref="M32" si="85">F32/100</f>
        <v>-5.1999999999999998E-3</v>
      </c>
      <c r="N32" s="2027">
        <f t="shared" ref="N32" si="86">G32/100</f>
        <v>-2.87E-2</v>
      </c>
      <c r="O32" s="2027"/>
      <c r="P32" s="2027">
        <f>M32</f>
        <v>-5.1999999999999998E-3</v>
      </c>
      <c r="Q32" s="2904"/>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4"/>
      <c r="Y32" s="2027"/>
      <c r="Z32" s="2900">
        <f t="shared" ref="Z32:AB33" si="87">IF(E32=0,0,ROUND(AVERAGE(E32:E45)/100,4))</f>
        <v>2.5999999999999999E-3</v>
      </c>
      <c r="AA32" s="2900">
        <f t="shared" si="87"/>
        <v>1.6999999999999999E-3</v>
      </c>
      <c r="AB32" s="2900">
        <f t="shared" si="87"/>
        <v>3.3999999999999998E-3</v>
      </c>
      <c r="AC32" s="2902"/>
      <c r="AD32" s="2027">
        <f>IF(I32=0,0,ROUND(AVERAGE(I32:I45)/100,4))</f>
        <v>1.6999999999999999E-3</v>
      </c>
    </row>
    <row r="33" spans="1:30" s="2044" customFormat="1" ht="13.2">
      <c r="A33" s="2903" t="s">
        <v>3377</v>
      </c>
      <c r="B33" s="2030">
        <v>2024</v>
      </c>
      <c r="C33" s="2041">
        <v>2</v>
      </c>
      <c r="D33" s="2006"/>
      <c r="E33" s="2006">
        <v>-0.31</v>
      </c>
      <c r="F33" s="2006">
        <v>-0.39</v>
      </c>
      <c r="G33" s="2006">
        <v>1.23</v>
      </c>
      <c r="H33" s="2915"/>
      <c r="I33" s="2007">
        <f t="shared" ref="I33:I46" si="88">F33</f>
        <v>-0.39</v>
      </c>
      <c r="J33" s="2904"/>
      <c r="K33" s="2042"/>
      <c r="L33" s="2027">
        <f t="shared" ref="L33:N46" si="89">E33/100</f>
        <v>-3.0999999999999999E-3</v>
      </c>
      <c r="M33" s="2027">
        <f t="shared" si="89"/>
        <v>-3.9000000000000003E-3</v>
      </c>
      <c r="N33" s="2027">
        <f t="shared" si="89"/>
        <v>1.23E-2</v>
      </c>
      <c r="O33" s="2027"/>
      <c r="P33" s="2027">
        <f>M33</f>
        <v>-3.9000000000000003E-3</v>
      </c>
      <c r="Q33" s="2904"/>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4"/>
      <c r="Y33" s="2027"/>
      <c r="Z33" s="2900">
        <f t="shared" si="87"/>
        <v>3.3E-3</v>
      </c>
      <c r="AA33" s="2901">
        <f t="shared" si="87"/>
        <v>2.3999999999999998E-3</v>
      </c>
      <c r="AB33" s="2027">
        <f t="shared" si="87"/>
        <v>6.1999999999999998E-3</v>
      </c>
      <c r="AC33" s="2902"/>
      <c r="AD33" s="2027">
        <f>IF(I33=0,0,ROUND(AVERAGE(I33:I46)/100,4))</f>
        <v>2.3999999999999998E-3</v>
      </c>
    </row>
    <row r="34" spans="1:30" s="2044" customFormat="1" ht="13.2">
      <c r="A34" s="2903" t="s">
        <v>3372</v>
      </c>
      <c r="B34" s="2030">
        <v>2024</v>
      </c>
      <c r="C34" s="2041">
        <v>1</v>
      </c>
      <c r="D34" s="2006"/>
      <c r="E34" s="2006">
        <v>0.25</v>
      </c>
      <c r="F34" s="2006">
        <v>0.4</v>
      </c>
      <c r="G34" s="2006">
        <v>-0.63</v>
      </c>
      <c r="H34" s="2915"/>
      <c r="I34" s="2007">
        <f t="shared" ref="I34:I35" si="90">F34</f>
        <v>0.4</v>
      </c>
      <c r="J34" s="2904"/>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4"/>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4"/>
      <c r="Y34" s="2027"/>
      <c r="Z34" s="2900"/>
      <c r="AA34" s="2901"/>
      <c r="AB34" s="2027"/>
      <c r="AC34" s="2902"/>
      <c r="AD34" s="2027"/>
    </row>
    <row r="35" spans="1:30" s="2044" customFormat="1" ht="13.2">
      <c r="A35" s="2903" t="s">
        <v>3370</v>
      </c>
      <c r="B35" s="2030">
        <v>2023</v>
      </c>
      <c r="C35" s="2041">
        <v>4</v>
      </c>
      <c r="D35" s="2006"/>
      <c r="E35" s="2006">
        <v>7.0000000000000007E-2</v>
      </c>
      <c r="F35" s="2006">
        <v>0.09</v>
      </c>
      <c r="G35" s="2006">
        <v>0.03</v>
      </c>
      <c r="H35" s="2915"/>
      <c r="I35" s="2007">
        <f t="shared" si="90"/>
        <v>0.09</v>
      </c>
      <c r="J35" s="2904"/>
      <c r="K35" s="2042"/>
      <c r="L35" s="2027">
        <f t="shared" si="89"/>
        <v>7.000000000000001E-4</v>
      </c>
      <c r="M35" s="2027">
        <f t="shared" si="89"/>
        <v>8.9999999999999998E-4</v>
      </c>
      <c r="N35" s="2027">
        <f t="shared" si="89"/>
        <v>2.9999999999999997E-4</v>
      </c>
      <c r="O35" s="2027"/>
      <c r="P35" s="2027">
        <f t="shared" ref="P35" si="96">M35</f>
        <v>8.9999999999999998E-4</v>
      </c>
      <c r="Q35" s="2904"/>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4"/>
      <c r="Y35" s="2027"/>
      <c r="Z35" s="2900"/>
      <c r="AA35" s="2901"/>
      <c r="AB35" s="2027"/>
      <c r="AC35" s="2902"/>
      <c r="AD35" s="2027"/>
    </row>
    <row r="36" spans="1:30" s="2044" customFormat="1" ht="13.2">
      <c r="A36" s="2903" t="s">
        <v>3368</v>
      </c>
      <c r="B36" s="2030">
        <v>2023</v>
      </c>
      <c r="C36" s="2041">
        <v>3</v>
      </c>
      <c r="D36" s="2006"/>
      <c r="E36" s="2006">
        <v>0.35</v>
      </c>
      <c r="F36" s="2006">
        <v>0.17</v>
      </c>
      <c r="G36" s="2006">
        <v>0.52</v>
      </c>
      <c r="H36" s="2915"/>
      <c r="I36" s="2007">
        <f t="shared" si="88"/>
        <v>0.17</v>
      </c>
      <c r="J36" s="2904"/>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4"/>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4"/>
      <c r="Y36" s="2027"/>
      <c r="Z36" s="2900"/>
      <c r="AA36" s="2901"/>
      <c r="AB36" s="2027"/>
      <c r="AC36" s="2902"/>
      <c r="AD36" s="2027"/>
    </row>
    <row r="37" spans="1:30" s="2044" customFormat="1" ht="13.2">
      <c r="A37" s="2903" t="s">
        <v>3367</v>
      </c>
      <c r="B37" s="2030">
        <v>2023</v>
      </c>
      <c r="C37" s="2041">
        <v>2</v>
      </c>
      <c r="D37" s="2006"/>
      <c r="E37" s="2006">
        <v>0.5</v>
      </c>
      <c r="F37" s="2006">
        <v>0.45</v>
      </c>
      <c r="G37" s="2006">
        <v>0.89</v>
      </c>
      <c r="H37" s="2915"/>
      <c r="I37" s="2007">
        <f t="shared" si="88"/>
        <v>0.45</v>
      </c>
      <c r="J37" s="2904"/>
      <c r="K37" s="2042"/>
      <c r="L37" s="2027">
        <f t="shared" si="98"/>
        <v>5.0000000000000001E-3</v>
      </c>
      <c r="M37" s="2027">
        <f t="shared" si="99"/>
        <v>4.5000000000000005E-3</v>
      </c>
      <c r="N37" s="2027">
        <f t="shared" si="100"/>
        <v>8.8999999999999999E-3</v>
      </c>
      <c r="O37" s="2027"/>
      <c r="P37" s="2027">
        <f t="shared" si="101"/>
        <v>4.5000000000000005E-3</v>
      </c>
      <c r="Q37" s="2904"/>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4"/>
      <c r="Y37" s="2027"/>
      <c r="Z37" s="2900"/>
      <c r="AA37" s="2901"/>
      <c r="AB37" s="2027"/>
      <c r="AC37" s="2902"/>
      <c r="AD37" s="2027"/>
    </row>
    <row r="38" spans="1:30" s="2044" customFormat="1" ht="13.2">
      <c r="A38" s="2903" t="s">
        <v>3365</v>
      </c>
      <c r="B38" s="2030">
        <v>2023</v>
      </c>
      <c r="C38" s="2041">
        <v>1</v>
      </c>
      <c r="D38" s="2006"/>
      <c r="E38" s="2006">
        <v>0.55000000000000004</v>
      </c>
      <c r="F38" s="2006">
        <v>0.59</v>
      </c>
      <c r="G38" s="2006">
        <v>0.64</v>
      </c>
      <c r="H38" s="2915"/>
      <c r="I38" s="2007">
        <f t="shared" si="88"/>
        <v>0.59</v>
      </c>
      <c r="J38" s="2904"/>
      <c r="K38" s="2042"/>
      <c r="L38" s="2027">
        <f t="shared" si="98"/>
        <v>5.5000000000000005E-3</v>
      </c>
      <c r="M38" s="2027">
        <f t="shared" si="99"/>
        <v>5.8999999999999999E-3</v>
      </c>
      <c r="N38" s="2027">
        <f t="shared" si="100"/>
        <v>6.4000000000000003E-3</v>
      </c>
      <c r="O38" s="2027"/>
      <c r="P38" s="2027">
        <f t="shared" si="101"/>
        <v>5.8999999999999999E-3</v>
      </c>
      <c r="Q38" s="2904"/>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4"/>
      <c r="Y38" s="2027"/>
      <c r="Z38" s="2900"/>
      <c r="AA38" s="2901"/>
      <c r="AB38" s="2027"/>
      <c r="AC38" s="2902"/>
      <c r="AD38" s="2027"/>
    </row>
    <row r="39" spans="1:30" s="2044" customFormat="1" ht="13.2">
      <c r="A39" s="2903" t="s">
        <v>3364</v>
      </c>
      <c r="B39" s="2030">
        <v>2022</v>
      </c>
      <c r="C39" s="2041">
        <v>4</v>
      </c>
      <c r="D39" s="2006"/>
      <c r="E39" s="2006">
        <v>0.45</v>
      </c>
      <c r="F39" s="2006">
        <v>0.2</v>
      </c>
      <c r="G39" s="2006">
        <v>0.38</v>
      </c>
      <c r="H39" s="2915"/>
      <c r="I39" s="2007">
        <f t="shared" si="88"/>
        <v>0.2</v>
      </c>
      <c r="J39" s="2904"/>
      <c r="K39" s="2042"/>
      <c r="L39" s="2027">
        <f t="shared" si="89"/>
        <v>4.5000000000000005E-3</v>
      </c>
      <c r="M39" s="2027">
        <f t="shared" si="89"/>
        <v>2E-3</v>
      </c>
      <c r="N39" s="2027">
        <f t="shared" si="89"/>
        <v>3.8E-3</v>
      </c>
      <c r="O39" s="2027"/>
      <c r="P39" s="2027">
        <f t="shared" ref="P39:P46" si="103">M39</f>
        <v>2E-3</v>
      </c>
      <c r="Q39" s="2904"/>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4"/>
      <c r="Y39" s="2027"/>
      <c r="Z39" s="2900">
        <f t="shared" ref="Z39:AD46" si="105">IF(E39=0,0,ROUND(AVERAGE(E39:E47)/100,4))</f>
        <v>4.0000000000000001E-3</v>
      </c>
      <c r="AA39" s="2901">
        <f t="shared" si="105"/>
        <v>2.5999999999999999E-3</v>
      </c>
      <c r="AB39" s="2027">
        <f t="shared" si="105"/>
        <v>7.4000000000000003E-3</v>
      </c>
      <c r="AC39" s="2902"/>
      <c r="AD39" s="2027">
        <f t="shared" si="105"/>
        <v>2.5999999999999999E-3</v>
      </c>
    </row>
    <row r="40" spans="1:30" s="2044" customFormat="1" ht="13.2">
      <c r="A40" s="2903" t="s">
        <v>3363</v>
      </c>
      <c r="B40" s="2030">
        <v>2022</v>
      </c>
      <c r="C40" s="2041">
        <v>3</v>
      </c>
      <c r="D40" s="2006"/>
      <c r="E40" s="2006">
        <v>0.3</v>
      </c>
      <c r="F40" s="2006">
        <v>0.28999999999999998</v>
      </c>
      <c r="G40" s="2006">
        <v>0.83</v>
      </c>
      <c r="H40" s="2915"/>
      <c r="I40" s="2007">
        <f t="shared" si="88"/>
        <v>0.28999999999999998</v>
      </c>
      <c r="J40" s="2904"/>
      <c r="K40" s="2042"/>
      <c r="L40" s="2027">
        <f t="shared" si="89"/>
        <v>3.0000000000000001E-3</v>
      </c>
      <c r="M40" s="2027">
        <f t="shared" si="89"/>
        <v>2.8999999999999998E-3</v>
      </c>
      <c r="N40" s="2027">
        <f t="shared" si="89"/>
        <v>8.3000000000000001E-3</v>
      </c>
      <c r="O40" s="2027"/>
      <c r="P40" s="2027">
        <f t="shared" si="103"/>
        <v>2.8999999999999998E-3</v>
      </c>
      <c r="Q40" s="2904"/>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4"/>
      <c r="Y40" s="2027"/>
      <c r="Z40" s="2900">
        <f t="shared" si="105"/>
        <v>3.8999999999999998E-3</v>
      </c>
      <c r="AA40" s="2901">
        <f t="shared" si="105"/>
        <v>2.7000000000000001E-3</v>
      </c>
      <c r="AB40" s="2027">
        <f t="shared" si="105"/>
        <v>7.9000000000000008E-3</v>
      </c>
      <c r="AC40" s="2902"/>
      <c r="AD40" s="2027">
        <f t="shared" si="105"/>
        <v>2.7000000000000001E-3</v>
      </c>
    </row>
    <row r="41" spans="1:30" s="2044" customFormat="1" ht="13.2">
      <c r="A41" s="2903" t="s">
        <v>3353</v>
      </c>
      <c r="B41" s="2030">
        <v>2022</v>
      </c>
      <c r="C41" s="2041">
        <v>2</v>
      </c>
      <c r="D41" s="2006"/>
      <c r="E41" s="2006">
        <v>-0.11</v>
      </c>
      <c r="F41" s="2006">
        <v>-0.13</v>
      </c>
      <c r="G41" s="2006">
        <v>0.53</v>
      </c>
      <c r="H41" s="2915"/>
      <c r="I41" s="2007">
        <f t="shared" si="88"/>
        <v>-0.13</v>
      </c>
      <c r="J41" s="2904"/>
      <c r="K41" s="2042"/>
      <c r="L41" s="2027">
        <f t="shared" si="89"/>
        <v>-1.1000000000000001E-3</v>
      </c>
      <c r="M41" s="2027">
        <f t="shared" si="89"/>
        <v>-1.2999999999999999E-3</v>
      </c>
      <c r="N41" s="2027">
        <f t="shared" si="89"/>
        <v>5.3E-3</v>
      </c>
      <c r="O41" s="2027"/>
      <c r="P41" s="2027">
        <f t="shared" si="103"/>
        <v>-1.2999999999999999E-3</v>
      </c>
      <c r="Q41" s="2904"/>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4"/>
      <c r="Y41" s="2027"/>
      <c r="Z41" s="2900">
        <f t="shared" si="105"/>
        <v>4.1000000000000003E-3</v>
      </c>
      <c r="AA41" s="2901">
        <f t="shared" si="105"/>
        <v>2.7000000000000001E-3</v>
      </c>
      <c r="AB41" s="2027">
        <f t="shared" si="105"/>
        <v>7.9000000000000008E-3</v>
      </c>
      <c r="AC41" s="2902"/>
      <c r="AD41" s="2027">
        <f t="shared" si="105"/>
        <v>2.7000000000000001E-3</v>
      </c>
    </row>
    <row r="42" spans="1:30" s="2044" customFormat="1" ht="13.2">
      <c r="A42" s="2903" t="s">
        <v>2833</v>
      </c>
      <c r="B42" s="2030">
        <v>2022</v>
      </c>
      <c r="C42" s="2041">
        <v>1</v>
      </c>
      <c r="D42" s="2006"/>
      <c r="E42" s="2006">
        <v>0.6</v>
      </c>
      <c r="F42" s="2006">
        <v>0.45</v>
      </c>
      <c r="G42" s="2006">
        <v>0.53</v>
      </c>
      <c r="H42" s="2915"/>
      <c r="I42" s="2007">
        <f t="shared" si="88"/>
        <v>0.45</v>
      </c>
      <c r="J42" s="2904"/>
      <c r="K42" s="2042"/>
      <c r="L42" s="2027">
        <f t="shared" si="89"/>
        <v>6.0000000000000001E-3</v>
      </c>
      <c r="M42" s="2027">
        <f t="shared" si="89"/>
        <v>4.5000000000000005E-3</v>
      </c>
      <c r="N42" s="2027">
        <f t="shared" si="89"/>
        <v>5.3E-3</v>
      </c>
      <c r="O42" s="2027"/>
      <c r="P42" s="2027">
        <f t="shared" si="103"/>
        <v>4.5000000000000005E-3</v>
      </c>
      <c r="Q42" s="2904"/>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4"/>
      <c r="Y42" s="2027"/>
      <c r="Z42" s="2900">
        <f t="shared" si="105"/>
        <v>5.1000000000000004E-3</v>
      </c>
      <c r="AA42" s="2901">
        <f t="shared" si="105"/>
        <v>3.5000000000000001E-3</v>
      </c>
      <c r="AB42" s="2027">
        <f t="shared" si="105"/>
        <v>8.3999999999999995E-3</v>
      </c>
      <c r="AC42" s="2902"/>
      <c r="AD42" s="2027">
        <f t="shared" si="105"/>
        <v>3.5000000000000001E-3</v>
      </c>
    </row>
    <row r="43" spans="1:30" s="2044" customFormat="1" ht="13.2">
      <c r="A43" s="2903" t="s">
        <v>2834</v>
      </c>
      <c r="B43" s="2030">
        <v>2021</v>
      </c>
      <c r="C43" s="2041">
        <v>4</v>
      </c>
      <c r="D43" s="2006"/>
      <c r="E43" s="2006">
        <v>0.57999999999999996</v>
      </c>
      <c r="F43" s="2006">
        <v>0.08</v>
      </c>
      <c r="G43" s="2006">
        <v>0.68</v>
      </c>
      <c r="H43" s="2915"/>
      <c r="I43" s="2007">
        <f t="shared" si="88"/>
        <v>0.08</v>
      </c>
      <c r="J43" s="2904"/>
      <c r="K43" s="2042"/>
      <c r="L43" s="2027">
        <f t="shared" si="89"/>
        <v>5.7999999999999996E-3</v>
      </c>
      <c r="M43" s="2027">
        <f t="shared" si="89"/>
        <v>8.0000000000000004E-4</v>
      </c>
      <c r="N43" s="2027">
        <f t="shared" si="89"/>
        <v>6.8000000000000005E-3</v>
      </c>
      <c r="O43" s="2027"/>
      <c r="P43" s="2027">
        <f t="shared" si="103"/>
        <v>8.0000000000000004E-4</v>
      </c>
      <c r="Q43" s="2904"/>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4"/>
      <c r="Y43" s="2027"/>
      <c r="Z43" s="2900">
        <f t="shared" si="105"/>
        <v>4.8999999999999998E-3</v>
      </c>
      <c r="AA43" s="2901">
        <f t="shared" si="105"/>
        <v>3.3E-3</v>
      </c>
      <c r="AB43" s="2027">
        <f t="shared" si="105"/>
        <v>9.1999999999999998E-3</v>
      </c>
      <c r="AC43" s="2902"/>
      <c r="AD43" s="2027">
        <f t="shared" si="105"/>
        <v>3.3E-3</v>
      </c>
    </row>
    <row r="44" spans="1:30" s="2044" customFormat="1" ht="13.2">
      <c r="A44" s="2903" t="s">
        <v>2835</v>
      </c>
      <c r="B44" s="2030">
        <v>2021</v>
      </c>
      <c r="C44" s="2041">
        <v>3</v>
      </c>
      <c r="D44" s="2006"/>
      <c r="E44" s="2006">
        <v>0.47</v>
      </c>
      <c r="F44" s="2006">
        <v>0.28000000000000003</v>
      </c>
      <c r="G44" s="2006">
        <v>0.91</v>
      </c>
      <c r="H44" s="2915"/>
      <c r="I44" s="2007">
        <f t="shared" si="88"/>
        <v>0.28000000000000003</v>
      </c>
      <c r="J44" s="2904"/>
      <c r="K44" s="2042"/>
      <c r="L44" s="2027">
        <f t="shared" si="89"/>
        <v>4.6999999999999993E-3</v>
      </c>
      <c r="M44" s="2027">
        <f t="shared" si="89"/>
        <v>2.8000000000000004E-3</v>
      </c>
      <c r="N44" s="2027">
        <f t="shared" si="89"/>
        <v>9.1000000000000004E-3</v>
      </c>
      <c r="O44" s="2027"/>
      <c r="P44" s="2027">
        <f t="shared" si="103"/>
        <v>2.8000000000000004E-3</v>
      </c>
      <c r="Q44" s="2904"/>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4"/>
      <c r="Y44" s="2027"/>
      <c r="Z44" s="2900">
        <f t="shared" si="105"/>
        <v>4.5999999999999999E-3</v>
      </c>
      <c r="AA44" s="2901">
        <f t="shared" si="105"/>
        <v>4.1000000000000003E-3</v>
      </c>
      <c r="AB44" s="2027">
        <f t="shared" si="105"/>
        <v>0.01</v>
      </c>
      <c r="AC44" s="2902"/>
      <c r="AD44" s="2027">
        <f t="shared" si="105"/>
        <v>4.1000000000000003E-3</v>
      </c>
    </row>
    <row r="45" spans="1:30" s="2044" customFormat="1" ht="13.2">
      <c r="A45" s="2903" t="s">
        <v>2836</v>
      </c>
      <c r="B45" s="2030">
        <v>2021</v>
      </c>
      <c r="C45" s="2041">
        <v>2</v>
      </c>
      <c r="D45" s="2006"/>
      <c r="E45" s="2006">
        <v>0.55000000000000004</v>
      </c>
      <c r="F45" s="2006">
        <v>0.46</v>
      </c>
      <c r="G45" s="2006">
        <v>1.1000000000000001</v>
      </c>
      <c r="H45" s="2915"/>
      <c r="I45" s="2007">
        <f t="shared" si="88"/>
        <v>0.46</v>
      </c>
      <c r="J45" s="2904"/>
      <c r="K45" s="2042"/>
      <c r="L45" s="2027">
        <f t="shared" si="89"/>
        <v>5.5000000000000005E-3</v>
      </c>
      <c r="M45" s="2027">
        <f t="shared" si="89"/>
        <v>4.5999999999999999E-3</v>
      </c>
      <c r="N45" s="2027">
        <f t="shared" si="89"/>
        <v>1.1000000000000001E-2</v>
      </c>
      <c r="O45" s="2027"/>
      <c r="P45" s="2027">
        <f t="shared" si="103"/>
        <v>4.5999999999999999E-3</v>
      </c>
      <c r="Q45" s="2904"/>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4"/>
      <c r="Y45" s="2027"/>
      <c r="Z45" s="2900">
        <f t="shared" si="105"/>
        <v>4.4999999999999997E-3</v>
      </c>
      <c r="AA45" s="2901">
        <f t="shared" si="105"/>
        <v>4.7000000000000002E-3</v>
      </c>
      <c r="AB45" s="2027">
        <f t="shared" si="105"/>
        <v>1.04E-2</v>
      </c>
      <c r="AC45" s="2902"/>
      <c r="AD45" s="2027">
        <f t="shared" si="105"/>
        <v>4.7000000000000002E-3</v>
      </c>
    </row>
    <row r="46" spans="1:30" s="2926" customFormat="1" ht="13.8" thickBot="1">
      <c r="A46" s="2916" t="s">
        <v>2822</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6">
      <c r="A3" s="3186"/>
      <c r="B3" s="3186"/>
      <c r="C3" s="3186"/>
      <c r="D3" s="801" t="s">
        <v>925</v>
      </c>
      <c r="E3" s="801" t="s">
        <v>931</v>
      </c>
      <c r="F3" s="801" t="s">
        <v>925</v>
      </c>
      <c r="G3" s="801" t="s">
        <v>926</v>
      </c>
      <c r="H3" s="801" t="s">
        <v>925</v>
      </c>
      <c r="I3" s="801" t="s">
        <v>926</v>
      </c>
    </row>
    <row r="4" spans="1:9" ht="30">
      <c r="A4" s="1402" t="str">
        <f>项目基本情况!S2</f>
        <v>北京市石景山区八宝山南路重兴园6号楼房地产</v>
      </c>
      <c r="B4" s="801">
        <f>项目基本情况!C17</f>
        <v>105.06</v>
      </c>
      <c r="C4" s="801">
        <f>项目基本情况!C18</f>
        <v>0</v>
      </c>
      <c r="D4" s="801">
        <f>结果表!D118</f>
        <v>0</v>
      </c>
      <c r="E4" s="801">
        <f>结果表!E118</f>
        <v>0</v>
      </c>
      <c r="F4" s="801">
        <f>结果表!F118</f>
        <v>0</v>
      </c>
      <c r="G4" s="801">
        <f>结果表!G118</f>
        <v>0</v>
      </c>
      <c r="H4" s="801">
        <f ca="1">结果表!H118</f>
        <v>532</v>
      </c>
      <c r="I4" s="801">
        <f ca="1">结果表!I118</f>
        <v>50673</v>
      </c>
    </row>
    <row r="5" spans="1:9" ht="30" customHeight="1">
      <c r="A5" s="3186" t="s">
        <v>927</v>
      </c>
      <c r="B5" s="3186"/>
      <c r="C5" s="3186"/>
      <c r="D5" s="3186" t="str">
        <f>结果表!D119</f>
        <v>零元整</v>
      </c>
      <c r="E5" s="3186"/>
      <c r="F5" s="3186" t="str">
        <f>结果表!F119</f>
        <v>零元整</v>
      </c>
      <c r="G5" s="3186"/>
      <c r="H5" s="3186" t="str">
        <f ca="1">结果表!H119</f>
        <v>伍佰叁拾贰万元整</v>
      </c>
      <c r="I5" s="3186"/>
    </row>
    <row r="6" spans="1:9" ht="15.6">
      <c r="A6" s="3187" t="str">
        <f>结果表!A120</f>
        <v>估价师知悉的法定优先受偿款</v>
      </c>
      <c r="B6" s="3187"/>
      <c r="C6" s="3187"/>
      <c r="D6" s="3187">
        <f>结果表!D120</f>
        <v>0</v>
      </c>
      <c r="E6" s="3187"/>
      <c r="F6" s="3187"/>
      <c r="G6" s="3187"/>
      <c r="H6" s="3187"/>
      <c r="I6" s="3187"/>
    </row>
    <row r="7" spans="1:9" ht="15">
      <c r="A7" s="3186" t="s">
        <v>927</v>
      </c>
      <c r="B7" s="3186"/>
      <c r="C7" s="3186"/>
      <c r="D7" s="3188" t="str">
        <f>结果表!D121</f>
        <v>零元整</v>
      </c>
      <c r="E7" s="3189"/>
      <c r="F7" s="3189"/>
      <c r="G7" s="3189"/>
      <c r="H7" s="3189"/>
      <c r="I7" s="3190"/>
    </row>
    <row r="8" spans="1:9" ht="15.6">
      <c r="A8" s="3187" t="str">
        <f>结果表!A122</f>
        <v>房地产抵押价值</v>
      </c>
      <c r="B8" s="3187"/>
      <c r="C8" s="3187"/>
      <c r="D8" s="3187">
        <f ca="1">结果表!D122</f>
        <v>532</v>
      </c>
      <c r="E8" s="3187"/>
      <c r="F8" s="3187"/>
      <c r="G8" s="3187"/>
      <c r="H8" s="3187"/>
      <c r="I8" s="3187"/>
    </row>
    <row r="9" spans="1:9" ht="15">
      <c r="A9" s="3186" t="s">
        <v>927</v>
      </c>
      <c r="B9" s="3186"/>
      <c r="C9" s="3186"/>
      <c r="D9" s="3186" t="str">
        <f ca="1">结果表!D123</f>
        <v>伍佰叁拾贰万元整</v>
      </c>
      <c r="E9" s="3186"/>
      <c r="F9" s="3186"/>
      <c r="G9" s="3186"/>
      <c r="H9" s="3186"/>
      <c r="I9" s="3186"/>
    </row>
    <row r="10" spans="1:9" ht="15.6">
      <c r="A10" s="3187" t="str">
        <f>结果表!A124</f>
        <v/>
      </c>
      <c r="B10" s="3187"/>
      <c r="C10" s="3187"/>
      <c r="D10" s="3187" t="str">
        <f>结果表!D124</f>
        <v>——</v>
      </c>
      <c r="E10" s="3187"/>
      <c r="F10" s="3187"/>
      <c r="G10" s="3187"/>
      <c r="H10" s="3187"/>
      <c r="I10" s="3187"/>
    </row>
    <row r="11" spans="1:9" ht="15">
      <c r="A11" s="3186" t="s">
        <v>927</v>
      </c>
      <c r="B11" s="3186"/>
      <c r="C11" s="3186"/>
      <c r="D11" s="3186" t="e">
        <f>结果表!D125</f>
        <v>#VALUE!</v>
      </c>
      <c r="E11" s="3186"/>
      <c r="F11" s="3186"/>
      <c r="G11" s="3186"/>
      <c r="H11" s="3186"/>
      <c r="I11" s="3186"/>
    </row>
    <row r="12" spans="1:9" ht="15.6">
      <c r="A12" s="3187" t="str">
        <f>结果表!A126</f>
        <v/>
      </c>
      <c r="B12" s="3187"/>
      <c r="C12" s="3187"/>
      <c r="D12" s="3187" t="str">
        <f>结果表!D126</f>
        <v>——</v>
      </c>
      <c r="E12" s="3187"/>
      <c r="F12" s="3187"/>
      <c r="G12" s="3187"/>
      <c r="H12" s="3187"/>
      <c r="I12" s="3187"/>
    </row>
    <row r="13" spans="1:9" ht="15.6" thickBot="1">
      <c r="A13" s="3191" t="s">
        <v>927</v>
      </c>
      <c r="B13" s="3191"/>
      <c r="C13" s="3191"/>
      <c r="D13" s="3191" t="e">
        <f>结果表!D127</f>
        <v>#VALUE!</v>
      </c>
      <c r="E13" s="3191"/>
      <c r="F13" s="3191"/>
      <c r="G13" s="3191"/>
      <c r="H13" s="3191"/>
      <c r="I13" s="3191"/>
    </row>
    <row r="14" spans="1:9" ht="14.4" thickTop="1">
      <c r="A14" s="3192" t="s">
        <v>932</v>
      </c>
      <c r="B14" s="3192"/>
      <c r="C14" s="3192"/>
      <c r="D14" s="3192"/>
      <c r="E14" s="3192"/>
      <c r="F14" s="3192"/>
      <c r="G14" s="3192"/>
      <c r="H14" s="3192"/>
      <c r="I14" s="3192"/>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4" t="s">
        <v>452</v>
      </c>
      <c r="C1" s="3504"/>
      <c r="D1" s="3504"/>
      <c r="E1" s="3504"/>
      <c r="F1" s="3504"/>
      <c r="G1" s="3500" t="s">
        <v>453</v>
      </c>
      <c r="H1" s="3500"/>
      <c r="I1" s="3500"/>
      <c r="J1" s="3500"/>
      <c r="K1" s="3500"/>
      <c r="L1" s="3500"/>
      <c r="N1" s="3500" t="s">
        <v>454</v>
      </c>
      <c r="O1" s="3500"/>
      <c r="P1" s="3500"/>
      <c r="Q1" s="3500"/>
      <c r="S1" s="3500" t="s">
        <v>455</v>
      </c>
      <c r="T1" s="3500"/>
      <c r="U1" s="3500"/>
      <c r="V1" s="3500"/>
      <c r="X1" s="3499" t="s">
        <v>456</v>
      </c>
      <c r="Y1" s="3500"/>
      <c r="Z1" s="3500"/>
      <c r="AA1" s="3500"/>
      <c r="AB1" s="3500"/>
      <c r="AD1" s="3499" t="s">
        <v>457</v>
      </c>
      <c r="AE1" s="3500"/>
      <c r="AF1" s="3500"/>
      <c r="AG1" s="3500"/>
      <c r="AH1" s="3500"/>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0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0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2">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03">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2">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03">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45727</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3">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4"/>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2307</v>
      </c>
      <c r="C26" s="1206">
        <v>43697</v>
      </c>
      <c r="D26" s="2572">
        <v>4.25</v>
      </c>
      <c r="E26" s="2572">
        <v>4.25</v>
      </c>
      <c r="F26" s="2572">
        <v>4.25</v>
      </c>
      <c r="G26" s="2572">
        <v>4.25</v>
      </c>
      <c r="H26" s="2572">
        <v>4.8499999999999996</v>
      </c>
      <c r="I26" s="2572"/>
      <c r="J26" s="2572"/>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5"/>
      <c r="C27" s="2576">
        <v>42301</v>
      </c>
      <c r="D27" s="2577">
        <v>4.3499999999999996</v>
      </c>
      <c r="E27" s="2577">
        <v>4.3499999999999996</v>
      </c>
      <c r="F27" s="2577">
        <v>4.75</v>
      </c>
      <c r="G27" s="2577">
        <v>4.75</v>
      </c>
      <c r="H27" s="2577">
        <v>4.9000000000000004</v>
      </c>
      <c r="I27" s="2577"/>
      <c r="J27" s="2577"/>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3" t="s">
        <v>949</v>
      </c>
      <c r="B1" s="3193"/>
      <c r="C1" s="3193"/>
      <c r="D1" s="3193"/>
    </row>
    <row r="2" spans="1:4" ht="17.399999999999999">
      <c r="A2" s="3194" t="s">
        <v>933</v>
      </c>
      <c r="B2" s="3194"/>
      <c r="C2" s="3194"/>
      <c r="D2" s="3194"/>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194" t="s">
        <v>939</v>
      </c>
      <c r="B6" s="3194"/>
      <c r="C6" s="3194"/>
      <c r="D6" s="3194"/>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95" t="s">
        <v>942</v>
      </c>
      <c r="B11" s="3196"/>
      <c r="C11" s="3196"/>
      <c r="D11" s="3196"/>
    </row>
    <row r="12" spans="1:4" ht="15.6">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9" t="s">
        <v>943</v>
      </c>
      <c r="B16" s="3199"/>
      <c r="C16" s="3199"/>
      <c r="D16" s="3199"/>
    </row>
    <row r="17" spans="1:4" ht="144" customHeight="1">
      <c r="A17" s="3199" t="s">
        <v>944</v>
      </c>
      <c r="B17" s="3199"/>
      <c r="C17" s="3199"/>
      <c r="D17" s="3199"/>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945</v>
      </c>
      <c r="B22" s="3201"/>
      <c r="C22" s="3201"/>
      <c r="D22" s="3201"/>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98">
        <v>42551</v>
      </c>
      <c r="D31" s="31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07" t="s">
        <v>956</v>
      </c>
      <c r="B15" s="3202" t="s">
        <v>109</v>
      </c>
      <c r="C15" s="3203"/>
    </row>
    <row r="16" spans="1:7" ht="14.4">
      <c r="A16" s="3208"/>
      <c r="B16" s="3202" t="s">
        <v>42</v>
      </c>
      <c r="C16" s="3203"/>
    </row>
    <row r="17" spans="1:3" ht="14.4">
      <c r="A17" s="3208"/>
      <c r="B17" s="3205" t="s">
        <v>957</v>
      </c>
      <c r="C17" s="1428" t="s">
        <v>956</v>
      </c>
    </row>
    <row r="18" spans="1:3" ht="14.4">
      <c r="A18" s="3208"/>
      <c r="B18" s="3205"/>
      <c r="C18" s="1428" t="s">
        <v>958</v>
      </c>
    </row>
    <row r="19" spans="1:3" ht="14.4">
      <c r="A19" s="3208"/>
      <c r="B19" s="3205"/>
      <c r="C19" s="1428" t="s">
        <v>959</v>
      </c>
    </row>
    <row r="20" spans="1:3" ht="14.4">
      <c r="A20" s="3209"/>
      <c r="B20" s="3204" t="s">
        <v>960</v>
      </c>
      <c r="C20" s="3203"/>
    </row>
    <row r="21" spans="1:3" ht="14.4">
      <c r="A21" s="1429" t="s">
        <v>961</v>
      </c>
      <c r="B21" s="1430"/>
      <c r="C21" s="1431"/>
    </row>
    <row r="22" spans="1:3" ht="14.4">
      <c r="A22" s="3206" t="s">
        <v>962</v>
      </c>
      <c r="B22" s="3204" t="s">
        <v>963</v>
      </c>
      <c r="C22" s="3203"/>
    </row>
    <row r="23" spans="1:3" ht="14.4">
      <c r="A23" s="3206"/>
      <c r="B23" s="3204" t="s">
        <v>964</v>
      </c>
      <c r="C23" s="3203"/>
    </row>
    <row r="24" spans="1:3" ht="14.4">
      <c r="A24" s="3206"/>
      <c r="B24" s="3204" t="s">
        <v>965</v>
      </c>
      <c r="C24" s="3203"/>
    </row>
    <row r="25" spans="1:3" ht="14.4">
      <c r="A25" s="3206"/>
      <c r="B25" s="3205" t="s">
        <v>966</v>
      </c>
      <c r="C25" s="1428" t="s">
        <v>967</v>
      </c>
    </row>
    <row r="26" spans="1:3" ht="14.4">
      <c r="A26" s="3206"/>
      <c r="B26" s="3205"/>
      <c r="C26" s="1428" t="s">
        <v>968</v>
      </c>
    </row>
    <row r="27" spans="1:3" ht="14.4">
      <c r="A27" s="3206"/>
      <c r="B27" s="3205"/>
      <c r="C27" s="1428" t="s">
        <v>969</v>
      </c>
    </row>
    <row r="28" spans="1:3" ht="14.4">
      <c r="A28" s="3206"/>
      <c r="B28" s="3205"/>
      <c r="C28" s="1428" t="s">
        <v>970</v>
      </c>
    </row>
    <row r="29" spans="1:3" ht="14.4">
      <c r="A29" s="3206"/>
      <c r="B29" s="3205"/>
      <c r="C29" s="1428" t="s">
        <v>971</v>
      </c>
    </row>
    <row r="30" spans="1:3" ht="14.4">
      <c r="A30" s="3206"/>
      <c r="B30" s="3205"/>
      <c r="C30" s="1428" t="s">
        <v>972</v>
      </c>
    </row>
    <row r="31" spans="1:3" ht="14.4">
      <c r="A31" s="3206"/>
      <c r="B31" s="3205"/>
      <c r="C31" s="1428" t="s">
        <v>973</v>
      </c>
    </row>
    <row r="32" spans="1:3" ht="14.4">
      <c r="A32" s="3206"/>
      <c r="B32" s="3205"/>
      <c r="C32" s="1428" t="s">
        <v>974</v>
      </c>
    </row>
    <row r="33" spans="1:3" ht="14.4">
      <c r="A33" s="3206"/>
      <c r="B33" s="3205"/>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2137</v>
      </c>
      <c r="B2" s="2156">
        <f ca="1">TODAY()</f>
        <v>45728</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f ca="1">IF(C4&lt;B2,"已过期",1119970066)</f>
        <v>1119970066</v>
      </c>
      <c r="C4" s="2161">
        <v>45937</v>
      </c>
      <c r="D4" s="2162" t="str">
        <f ca="1">A4&amp;"（注册号："&amp;B4&amp;"）"</f>
        <v>梁津（注册号：1119970066）</v>
      </c>
      <c r="E4" s="2163" t="s">
        <v>2146</v>
      </c>
      <c r="F4" s="1218">
        <f ca="1">IF(G4&lt;B2,"已过期",96010014)</f>
        <v>96010014</v>
      </c>
      <c r="G4" s="2164">
        <v>47118</v>
      </c>
      <c r="H4" s="2165" t="str">
        <f ca="1">E4&amp;"（注册号："&amp;F4&amp;"）"</f>
        <v>梁津（注册号：96010014）</v>
      </c>
    </row>
    <row r="5" spans="1:8" ht="24" customHeight="1">
      <c r="A5" s="1218" t="s">
        <v>2147</v>
      </c>
      <c r="B5" s="1218">
        <f ca="1">IF(C5&lt;B2,"已过期",1119970111)</f>
        <v>1119970111</v>
      </c>
      <c r="C5" s="2161">
        <v>45937</v>
      </c>
      <c r="D5" s="2162" t="str">
        <f t="shared" ref="D5:D15" ca="1" si="0">A5&amp;"（注册号："&amp;B5&amp;"）"</f>
        <v>叶凌（注册号：1119970111）</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f ca="1">IF(C7&lt;B2,"已过期",1120000080)</f>
        <v>1120000080</v>
      </c>
      <c r="C7" s="2161">
        <v>45937</v>
      </c>
      <c r="D7" s="2162" t="str">
        <f t="shared" ca="1" si="0"/>
        <v>欧红伟（注册号：1120000080）</v>
      </c>
      <c r="E7" s="2163" t="s">
        <v>2149</v>
      </c>
      <c r="F7" s="1218">
        <f ca="1">IF(G7&lt;B2,"已过期",2000110082)</f>
        <v>2000110082</v>
      </c>
      <c r="G7" s="2164">
        <v>46387</v>
      </c>
      <c r="H7" s="2165" t="str">
        <f t="shared" ca="1" si="1"/>
        <v>欧红伟（注册号：2000110082）</v>
      </c>
    </row>
    <row r="8" spans="1:8" ht="24" customHeight="1">
      <c r="A8" s="1218" t="s">
        <v>2150</v>
      </c>
      <c r="B8" s="1218">
        <f ca="1">IF(C8&lt;B2,"已过期",1419970001)</f>
        <v>1419970001</v>
      </c>
      <c r="C8" s="2161">
        <v>45937</v>
      </c>
      <c r="D8" s="2162" t="str">
        <f t="shared" ca="1" si="0"/>
        <v>吴薇（注册号：1419970001）</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f ca="1">IF(C10&lt;B2,"已过期",1120100036)</f>
        <v>1120100036</v>
      </c>
      <c r="C10" s="2166">
        <v>45752</v>
      </c>
      <c r="D10" s="2162" t="str">
        <f t="shared" ca="1" si="0"/>
        <v>崔锴（注册号：1120100036）</v>
      </c>
      <c r="E10" s="2163" t="s">
        <v>2152</v>
      </c>
      <c r="F10" s="1218">
        <f ca="1">IF(G10&lt;B2,"已过期",2010110070)</f>
        <v>2010110070</v>
      </c>
      <c r="G10" s="2164">
        <v>47907</v>
      </c>
      <c r="H10" s="2165" t="str">
        <f t="shared" ca="1" si="1"/>
        <v>崔锴（注册号：2010110070）</v>
      </c>
    </row>
    <row r="11" spans="1:8" ht="24" customHeight="1">
      <c r="A11" s="1218" t="s">
        <v>2153</v>
      </c>
      <c r="B11" s="1218">
        <f ca="1">IF(C11&lt;B2,"已过期",1120070131)</f>
        <v>1120070131</v>
      </c>
      <c r="C11" s="2161">
        <v>45937</v>
      </c>
      <c r="D11" s="2162" t="str">
        <f t="shared" ca="1" si="0"/>
        <v>郑燚（注册号：1120070131）</v>
      </c>
      <c r="E11" s="2163" t="s">
        <v>2153</v>
      </c>
      <c r="F11" s="1218">
        <f ca="1">IF(G11&lt;B2,"已过期",2014110011)</f>
        <v>2014110011</v>
      </c>
      <c r="G11" s="2164">
        <v>49302</v>
      </c>
      <c r="H11" s="2165" t="str">
        <f t="shared" ca="1" si="1"/>
        <v>郑燚（注册号：2014110011）</v>
      </c>
    </row>
    <row r="12" spans="1:8" ht="24" customHeight="1">
      <c r="A12" s="1218" t="s">
        <v>2154</v>
      </c>
      <c r="B12" s="1218">
        <f ca="1">IF(C12&lt;B2,"已过期",1120040230)</f>
        <v>1120040230</v>
      </c>
      <c r="C12" s="2166">
        <v>45937</v>
      </c>
      <c r="D12" s="2162" t="str">
        <f t="shared" ca="1" si="0"/>
        <v>苏海（注册号：1120040230）</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2435</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0" t="s">
        <v>2158</v>
      </c>
      <c r="B17" s="3210"/>
      <c r="C17" s="3210"/>
      <c r="D17" s="3210"/>
      <c r="E17" s="3210"/>
      <c r="F17" s="3210"/>
      <c r="G17" s="3210"/>
      <c r="H17" s="3210"/>
    </row>
    <row r="18" spans="1:8" ht="24" customHeight="1">
      <c r="A18" s="3211" t="s">
        <v>2159</v>
      </c>
      <c r="B18" s="3211"/>
      <c r="C18" s="3211"/>
      <c r="D18" s="2159"/>
      <c r="E18" s="3212" t="s">
        <v>2160</v>
      </c>
      <c r="F18" s="3211"/>
      <c r="G18" s="3211"/>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2436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收益法-酒店模型</vt:lpstr>
      <vt:lpstr>收益法（汇总）</vt:lpstr>
      <vt:lpstr>比较法-商业</vt:lpstr>
      <vt:lpstr>比较法-办公</vt:lpstr>
      <vt:lpstr>比较法-工业</vt:lpstr>
      <vt:lpstr>比较法-车位</vt:lpstr>
      <vt:lpstr>比较法-仓储</vt:lpstr>
      <vt:lpstr>土地比较法-工业</vt:lpstr>
      <vt:lpstr>土地比较法-住宅、综合</vt:lpstr>
      <vt:lpstr>典型户型修正</vt:lpstr>
      <vt:lpstr>基准地价（汇总）</vt:lpstr>
      <vt:lpstr>信息</vt:lpstr>
      <vt:lpstr>住宅成交案例</vt:lpstr>
      <vt:lpstr>土地案例信息</vt:lpstr>
      <vt:lpstr>土地案例1</vt:lpstr>
      <vt:lpstr>土地案例2</vt:lpstr>
      <vt:lpstr>土地案例3</vt:lpstr>
      <vt:lpstr>修正</vt:lpstr>
      <vt:lpstr>容积率修正</vt:lpstr>
      <vt:lpstr>成本法（废）</vt:lpstr>
      <vt:lpstr>基准地价修正</vt:lpstr>
      <vt:lpstr>收益法 (元)</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2025-03-12T02:44:57Z</dcterms:modified>
</cp:coreProperties>
</file>