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D:\共享文件夹\电子版测算表\司法香江别墅灭失重做\"/>
    </mc:Choice>
  </mc:AlternateContent>
  <xr:revisionPtr revIDLastSave="0" documentId="13_ncr:1_{73ECBBBD-0D3A-41DD-B926-DC34D248DE7C}" xr6:coauthVersionLast="47" xr6:coauthVersionMax="47" xr10:uidLastSave="{00000000-0000-0000-0000-000000000000}"/>
  <bookViews>
    <workbookView xWindow="-120" yWindow="-120" windowWidth="20730" windowHeight="11160" tabRatio="875" firstSheet="16"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基准地价" sheetId="46" r:id="rId18"/>
    <sheet name="剩余法-待开发" sheetId="12" r:id="rId19"/>
    <sheet name="剩余法-现房" sheetId="43" state="hidden" r:id="rId20"/>
    <sheet name="不动产比较法-住宅" sheetId="21" r:id="rId21"/>
    <sheet name="法拍" sheetId="79" r:id="rId22"/>
    <sheet name="可比案例" sheetId="78" r:id="rId23"/>
    <sheet name="公司库" sheetId="72" r:id="rId24"/>
    <sheet name="中指数据-朝阳区5-6环别墅" sheetId="75" r:id="rId25"/>
    <sheet name="土地成交数据" sheetId="73" r:id="rId26"/>
    <sheet name="比较法-住宅、综合" sheetId="39" r:id="rId27"/>
    <sheet name="比较法-工业" sheetId="40" state="hidden" r:id="rId28"/>
    <sheet name="修正" sheetId="49" state="hidden" r:id="rId29"/>
    <sheet name="区片价" sheetId="48" state="hidden" r:id="rId30"/>
    <sheet name="区片价-范围" sheetId="71" state="hidden" r:id="rId31"/>
    <sheet name="容积率修正" sheetId="45" state="hidden" r:id="rId32"/>
    <sheet name="因素修正幅度" sheetId="56" state="hidden" r:id="rId33"/>
    <sheet name="地价" sheetId="59" state="hidden" r:id="rId34"/>
    <sheet name="地价-分区" sheetId="70" state="hidden" r:id="rId35"/>
    <sheet name="基准地价（汇总）" sheetId="67" state="hidden" r:id="rId36"/>
    <sheet name="收益还原法" sheetId="44"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r:id="rId45"/>
    <sheet name="典型户型修正" sheetId="31" state="hidden" r:id="rId46"/>
    <sheet name="存贷款利率" sheetId="65" r:id="rId47"/>
  </sheets>
  <externalReferences>
    <externalReference r:id="rId48"/>
    <externalReference r:id="rId49"/>
  </externalReferences>
  <definedNames>
    <definedName name="_xlnm._FilterDatabase" localSheetId="27" hidden="1">'比较法-工业'!$A$1:$L$45</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7">'比较法-工业'!$A$1:$K$62,'比较法-工业'!$A$65:$N$122</definedName>
    <definedName name="_xlnm.Print_Area" localSheetId="26">'比较法-住宅、综合'!$A$1:$K$66,'比较法-住宅、综合'!$A$70:$N$133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7">不动产收益法!$A$1:$F$43,不动产收益法!$H$3:$M$29,不动产收益法!$A$46:$F$70,不动产收益法!$I$46:$M$60</definedName>
    <definedName name="_xlnm.Print_Area" localSheetId="39">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35">'基准地价（汇总）'!$A$1:$F$14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6">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workbook>
</file>

<file path=xl/calcChain.xml><?xml version="1.0" encoding="utf-8"?>
<calcChain xmlns="http://schemas.openxmlformats.org/spreadsheetml/2006/main">
  <c r="F54" i="79" l="1"/>
  <c r="G54" i="79"/>
  <c r="C54" i="79"/>
  <c r="D54" i="79" s="1"/>
  <c r="H54" i="79" s="1"/>
  <c r="F53" i="79"/>
  <c r="D53" i="79"/>
  <c r="F29" i="79"/>
  <c r="D29" i="79"/>
  <c r="H29" i="79" s="1"/>
  <c r="F4" i="79"/>
  <c r="D4" i="79"/>
  <c r="H4" i="79" s="1"/>
  <c r="I6" i="21"/>
  <c r="I33" i="21"/>
  <c r="G33" i="21"/>
  <c r="I47" i="21"/>
  <c r="G47" i="21"/>
  <c r="G7" i="21"/>
  <c r="G6" i="21"/>
  <c r="H53" i="79" l="1"/>
  <c r="G5" i="21" l="1"/>
  <c r="I5" i="21" s="1"/>
  <c r="G19" i="72"/>
  <c r="G23" i="72"/>
  <c r="E33" i="21" l="1"/>
  <c r="E6" i="21"/>
  <c r="E5" i="21"/>
  <c r="E47" i="21" l="1"/>
  <c r="I7" i="21"/>
  <c r="E7" i="21"/>
  <c r="G16" i="72" l="1"/>
  <c r="B59" i="1" l="1"/>
  <c r="K6" i="6"/>
  <c r="K8" i="6" s="1"/>
  <c r="G19" i="6"/>
  <c r="D51" i="21" s="1"/>
  <c r="F19" i="6"/>
  <c r="C33" i="21" l="1"/>
  <c r="D50" i="21"/>
  <c r="D41" i="46"/>
  <c r="D3" i="4"/>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L20" i="70"/>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S20" i="70" l="1"/>
  <c r="T20" i="70"/>
  <c r="W20" i="70" s="1"/>
  <c r="AD33" i="70"/>
  <c r="AD32"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B62"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N30" i="59"/>
  <c r="D30" i="59"/>
  <c r="E31" i="59"/>
  <c r="S69" i="59"/>
  <c r="AA40" i="59"/>
  <c r="D43" i="59"/>
  <c r="C60" i="59"/>
  <c r="D60" i="59" s="1"/>
  <c r="D59" i="59"/>
  <c r="C64" i="59"/>
  <c r="Q68" i="59"/>
  <c r="C68" i="59"/>
  <c r="P69" i="59"/>
  <c r="U69" i="59"/>
  <c r="Q69" i="59"/>
  <c r="C72" i="59"/>
  <c r="E72" i="59"/>
  <c r="E71" i="59" s="1"/>
  <c r="D73" i="59"/>
  <c r="C76" i="59"/>
  <c r="C80" i="59"/>
  <c r="D80" i="59" s="1"/>
  <c r="E80" i="59"/>
  <c r="E79" i="59" s="1"/>
  <c r="D81" i="59"/>
  <c r="C84" i="59"/>
  <c r="D84" i="59" s="1"/>
  <c r="C88" i="59"/>
  <c r="U16" i="4"/>
  <c r="S16" i="4"/>
  <c r="Q16" i="4"/>
  <c r="P16" i="4" s="1"/>
  <c r="O16" i="4"/>
  <c r="M16" i="4"/>
  <c r="K16" i="4"/>
  <c r="D88" i="59"/>
  <c r="C87" i="59"/>
  <c r="D87" i="59" s="1"/>
  <c r="O68" i="59"/>
  <c r="C83" i="59"/>
  <c r="D83" i="59" s="1"/>
  <c r="C61" i="59"/>
  <c r="T61"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D7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L483" i="3" s="1"/>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L490" i="3" s="1"/>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D5"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AC514" i="3"/>
  <c r="BB514" i="3"/>
  <c r="BC514" i="3"/>
  <c r="BD514" i="3"/>
  <c r="BA514" i="3" s="1"/>
  <c r="BE514" i="3"/>
  <c r="BF514" i="3"/>
  <c r="BG514" i="3"/>
  <c r="BH514" i="3"/>
  <c r="BI514" i="3"/>
  <c r="BJ514" i="3"/>
  <c r="BK514" i="3"/>
  <c r="BM514" i="3"/>
  <c r="BN514" i="3"/>
  <c r="BO514" i="3"/>
  <c r="BP514" i="3"/>
  <c r="BR514" i="3"/>
  <c r="BS514" i="3"/>
  <c r="BT514" i="3"/>
  <c r="H515" i="3"/>
  <c r="AC515" i="3"/>
  <c r="G515" i="3" s="1"/>
  <c r="BB515" i="3"/>
  <c r="BC515" i="3"/>
  <c r="BD515" i="3"/>
  <c r="BE515" i="3"/>
  <c r="BA515" i="3" s="1"/>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A517" i="3" s="1"/>
  <c r="BC517" i="3"/>
  <c r="BD517" i="3"/>
  <c r="BE517" i="3"/>
  <c r="BF517" i="3"/>
  <c r="BG517" i="3"/>
  <c r="BH517" i="3"/>
  <c r="BI517" i="3"/>
  <c r="BJ517" i="3"/>
  <c r="BK517" i="3"/>
  <c r="BM517" i="3"/>
  <c r="BN517" i="3"/>
  <c r="BO517" i="3"/>
  <c r="BL517" i="3" s="1"/>
  <c r="BP517" i="3"/>
  <c r="BQ517" i="3"/>
  <c r="BR517" i="3"/>
  <c r="BS517" i="3"/>
  <c r="BT517" i="3"/>
  <c r="H518" i="3"/>
  <c r="G518" i="3" s="1"/>
  <c r="AC518" i="3"/>
  <c r="BB518" i="3"/>
  <c r="BC518" i="3"/>
  <c r="BD518" i="3"/>
  <c r="BE518" i="3"/>
  <c r="BF518" i="3"/>
  <c r="BG518" i="3"/>
  <c r="BH518" i="3"/>
  <c r="BI518" i="3"/>
  <c r="BJ518" i="3"/>
  <c r="BK518" i="3"/>
  <c r="BM518" i="3"/>
  <c r="BN518" i="3"/>
  <c r="BO518" i="3"/>
  <c r="BL518" i="3" s="1"/>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G521" i="3" s="1"/>
  <c r="BB521" i="3"/>
  <c r="BC521" i="3"/>
  <c r="BD521" i="3"/>
  <c r="BE521" i="3"/>
  <c r="BF521" i="3"/>
  <c r="BG521" i="3"/>
  <c r="BH521" i="3"/>
  <c r="BI521" i="3"/>
  <c r="BJ521" i="3"/>
  <c r="BK521" i="3"/>
  <c r="BM521" i="3"/>
  <c r="BN521" i="3"/>
  <c r="BO521" i="3"/>
  <c r="BP521" i="3"/>
  <c r="BL521" i="3" s="1"/>
  <c r="BQ521" i="3"/>
  <c r="BR521" i="3"/>
  <c r="BS521" i="3"/>
  <c r="BT521" i="3"/>
  <c r="H522" i="3"/>
  <c r="AC522" i="3"/>
  <c r="G522" i="3" s="1"/>
  <c r="BB522" i="3"/>
  <c r="BC522" i="3"/>
  <c r="BD522" i="3"/>
  <c r="BE522" i="3"/>
  <c r="BF522" i="3"/>
  <c r="BG522" i="3"/>
  <c r="BH522" i="3"/>
  <c r="BI522" i="3"/>
  <c r="BJ522" i="3"/>
  <c r="BK522" i="3"/>
  <c r="BM522" i="3"/>
  <c r="BN522" i="3"/>
  <c r="BO522" i="3"/>
  <c r="BP522" i="3"/>
  <c r="BL522" i="3" s="1"/>
  <c r="BR522" i="3"/>
  <c r="BS522" i="3"/>
  <c r="BT522" i="3"/>
  <c r="H523" i="3"/>
  <c r="G523" i="3" s="1"/>
  <c r="AC523" i="3"/>
  <c r="BB523" i="3"/>
  <c r="BC523" i="3"/>
  <c r="BD523" i="3"/>
  <c r="BA523" i="3" s="1"/>
  <c r="AZ523" i="3" s="1"/>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A534" i="3" s="1"/>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s="1"/>
  <c r="C26" i="35"/>
  <c r="C79" i="35" s="1"/>
  <c r="H26" i="35" s="1"/>
  <c r="U26" i="35" s="1"/>
  <c r="J31" i="35"/>
  <c r="AC31" i="35" s="1"/>
  <c r="H31" i="35"/>
  <c r="U31" i="35" s="1"/>
  <c r="F31" i="35"/>
  <c r="S31" i="35" s="1"/>
  <c r="D87" i="35"/>
  <c r="E87" i="35" s="1"/>
  <c r="F87" i="35" s="1"/>
  <c r="G87" i="35" s="1"/>
  <c r="H87" i="35" s="1"/>
  <c r="I87" i="35" s="1"/>
  <c r="J87" i="35" s="1"/>
  <c r="K87" i="35" s="1"/>
  <c r="L87" i="35" s="1"/>
  <c r="M87" i="35" s="1"/>
  <c r="H34" i="37"/>
  <c r="D101" i="37"/>
  <c r="F34" i="37"/>
  <c r="D99" i="37"/>
  <c r="E99" i="37" s="1"/>
  <c r="H42" i="34"/>
  <c r="J42" i="34"/>
  <c r="F42" i="34"/>
  <c r="S42" i="34" s="1"/>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J29" i="40" s="1"/>
  <c r="AC29" i="40" s="1"/>
  <c r="D93" i="40"/>
  <c r="E93" i="40" s="1"/>
  <c r="D91" i="40"/>
  <c r="D89" i="40"/>
  <c r="E89" i="40" s="1"/>
  <c r="F89" i="40" s="1"/>
  <c r="G89" i="40" s="1"/>
  <c r="H21" i="40"/>
  <c r="AB21" i="40" s="1"/>
  <c r="D87" i="40"/>
  <c r="E87" i="40" s="1"/>
  <c r="F87" i="40" s="1"/>
  <c r="G87" i="40" s="1"/>
  <c r="D85" i="40"/>
  <c r="E85" i="40" s="1"/>
  <c r="F85" i="40" s="1"/>
  <c r="G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F15" i="39" s="1"/>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F39" i="37" s="1"/>
  <c r="B108" i="37"/>
  <c r="C23" i="37"/>
  <c r="C19" i="37"/>
  <c r="C17" i="37"/>
  <c r="C15" i="37"/>
  <c r="B112" i="37"/>
  <c r="D107" i="37"/>
  <c r="E107" i="37" s="1"/>
  <c r="F107" i="37" s="1"/>
  <c r="D105" i="37"/>
  <c r="E105" i="37" s="1"/>
  <c r="F105" i="37" s="1"/>
  <c r="H36" i="37"/>
  <c r="U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c r="F30" i="37"/>
  <c r="S30" i="37" s="1"/>
  <c r="Q29" i="37"/>
  <c r="Z29" i="37" s="1"/>
  <c r="H29" i="37"/>
  <c r="U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E78" i="36" s="1"/>
  <c r="F78" i="36" s="1"/>
  <c r="G78" i="36" s="1"/>
  <c r="H78" i="36" s="1"/>
  <c r="J26" i="36"/>
  <c r="W26" i="36" s="1"/>
  <c r="B75" i="36"/>
  <c r="F25" i="36" s="1"/>
  <c r="B73" i="36"/>
  <c r="B71" i="36"/>
  <c r="D70" i="36"/>
  <c r="H22" i="36"/>
  <c r="D68" i="36"/>
  <c r="E68" i="36" s="1"/>
  <c r="D64" i="36"/>
  <c r="E64" i="36" s="1"/>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B73" i="35"/>
  <c r="B57" i="35"/>
  <c r="B61" i="35"/>
  <c r="B59" i="35"/>
  <c r="H12" i="35" s="1"/>
  <c r="B131" i="34"/>
  <c r="B129" i="34"/>
  <c r="B127" i="34"/>
  <c r="B99" i="34"/>
  <c r="B97" i="34"/>
  <c r="B95" i="34"/>
  <c r="B93" i="34"/>
  <c r="B75" i="34"/>
  <c r="B73" i="34"/>
  <c r="B71" i="34"/>
  <c r="B130" i="33"/>
  <c r="F46" i="33" s="1"/>
  <c r="AA46" i="33" s="1"/>
  <c r="B128" i="33"/>
  <c r="B126" i="33"/>
  <c r="F44" i="33" s="1"/>
  <c r="S44" i="33" s="1"/>
  <c r="B98" i="33"/>
  <c r="H31" i="33" s="1"/>
  <c r="U31" i="33" s="1"/>
  <c r="B96" i="33"/>
  <c r="B94" i="33"/>
  <c r="B74" i="33"/>
  <c r="J14" i="33" s="1"/>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Q39" i="34"/>
  <c r="Z39" i="34" s="1"/>
  <c r="J39" i="34"/>
  <c r="H39" i="34"/>
  <c r="U39" i="34" s="1"/>
  <c r="F39" i="34"/>
  <c r="S39" i="34" s="1"/>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75" i="46"/>
  <c r="C21" i="20"/>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c r="F81" i="21" s="1"/>
  <c r="G81" i="21" s="1"/>
  <c r="D77" i="21"/>
  <c r="E77" i="21"/>
  <c r="B130" i="21"/>
  <c r="B128" i="21"/>
  <c r="J45" i="21" s="1"/>
  <c r="W45" i="21" s="1"/>
  <c r="B126" i="21"/>
  <c r="B98" i="21"/>
  <c r="B96" i="21"/>
  <c r="B94" i="21"/>
  <c r="B92" i="21"/>
  <c r="F28" i="21" s="1"/>
  <c r="B90" i="21"/>
  <c r="J27" i="21" s="1"/>
  <c r="W27" i="21" s="1"/>
  <c r="B74" i="21"/>
  <c r="B72" i="21"/>
  <c r="B70" i="21"/>
  <c r="F12" i="21"/>
  <c r="AA12" i="21" s="1"/>
  <c r="F10" i="2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F43" i="21"/>
  <c r="S43" i="21" s="1"/>
  <c r="H38" i="21"/>
  <c r="AB38" i="21" s="1"/>
  <c r="H43" i="21"/>
  <c r="F32" i="21"/>
  <c r="S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W33" i="21" s="1"/>
  <c r="H33" i="21"/>
  <c r="U33" i="21" s="1"/>
  <c r="F33" i="21"/>
  <c r="AA33" i="21" s="1"/>
  <c r="J10" i="21"/>
  <c r="AC10" i="21" s="1"/>
  <c r="F19" i="21"/>
  <c r="S19" i="21" s="1"/>
  <c r="H19" i="21"/>
  <c r="AB19" i="21" s="1"/>
  <c r="J19" i="21"/>
  <c r="W19" i="21" s="1"/>
  <c r="J12" i="21"/>
  <c r="H12" i="21"/>
  <c r="F26" i="21"/>
  <c r="AA26" i="21" s="1"/>
  <c r="AB41" i="21"/>
  <c r="W41" i="21"/>
  <c r="S10" i="39"/>
  <c r="U30" i="37"/>
  <c r="E103" i="37"/>
  <c r="F103" i="37" s="1"/>
  <c r="G103" i="37" s="1"/>
  <c r="H103" i="37" s="1"/>
  <c r="I103" i="37" s="1"/>
  <c r="J103" i="37" s="1"/>
  <c r="K103" i="37" s="1"/>
  <c r="L103" i="37" s="1"/>
  <c r="M103" i="37" s="1"/>
  <c r="F29" i="36"/>
  <c r="F16" i="36"/>
  <c r="AA16" i="36" s="1"/>
  <c r="W22" i="36"/>
  <c r="U26" i="36"/>
  <c r="J33" i="36"/>
  <c r="W33" i="36" s="1"/>
  <c r="F36" i="34"/>
  <c r="S36" i="34" s="1"/>
  <c r="H39" i="33"/>
  <c r="U33" i="33"/>
  <c r="S40" i="33"/>
  <c r="S33" i="33"/>
  <c r="U38" i="33"/>
  <c r="AB27" i="35"/>
  <c r="W10" i="40"/>
  <c r="U11" i="40"/>
  <c r="U36" i="40"/>
  <c r="S40" i="39"/>
  <c r="F11" i="21"/>
  <c r="S11" i="21" s="1"/>
  <c r="AB36" i="21"/>
  <c r="AC35" i="21"/>
  <c r="U36" i="39"/>
  <c r="H32" i="33"/>
  <c r="H11" i="21"/>
  <c r="U11" i="21" s="1"/>
  <c r="J11" i="21"/>
  <c r="W11" i="21" s="1"/>
  <c r="J27" i="36"/>
  <c r="W27" i="36" s="1"/>
  <c r="J30" i="35"/>
  <c r="W30" i="35" s="1"/>
  <c r="F22" i="35"/>
  <c r="S22" i="35" s="1"/>
  <c r="AA22" i="35"/>
  <c r="H10" i="35"/>
  <c r="U10" i="35" s="1"/>
  <c r="J29" i="36"/>
  <c r="AC29" i="36" s="1"/>
  <c r="H16" i="35"/>
  <c r="H33" i="35"/>
  <c r="AB33" i="35" s="1"/>
  <c r="F35" i="37"/>
  <c r="AA35" i="37" s="1"/>
  <c r="E101" i="37"/>
  <c r="F101" i="37" s="1"/>
  <c r="G101" i="37" s="1"/>
  <c r="H101" i="37" s="1"/>
  <c r="I101" i="37" s="1"/>
  <c r="J101" i="37" s="1"/>
  <c r="K101" i="37" s="1"/>
  <c r="L101" i="37" s="1"/>
  <c r="M101" i="37" s="1"/>
  <c r="J34" i="37"/>
  <c r="H43" i="34"/>
  <c r="U43" i="34" s="1"/>
  <c r="H36" i="34"/>
  <c r="U36" i="34" s="1"/>
  <c r="F37" i="34"/>
  <c r="AA37" i="34" s="1"/>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W19" i="33" s="1"/>
  <c r="W40" i="33"/>
  <c r="F125" i="21"/>
  <c r="G125" i="21"/>
  <c r="AB30" i="36"/>
  <c r="H29" i="35"/>
  <c r="U29" i="35" s="1"/>
  <c r="AC43" i="34"/>
  <c r="AB40" i="34"/>
  <c r="W36" i="34"/>
  <c r="J19" i="34"/>
  <c r="AC19" i="34" s="1"/>
  <c r="H37" i="33"/>
  <c r="AB37" i="33"/>
  <c r="AA42" i="34"/>
  <c r="AC38" i="34"/>
  <c r="W38" i="34"/>
  <c r="S38" i="34"/>
  <c r="J37" i="33"/>
  <c r="W37" i="33"/>
  <c r="J44" i="34"/>
  <c r="AC44" i="34" s="1"/>
  <c r="F44" i="34"/>
  <c r="J10" i="35"/>
  <c r="W10" i="35" s="1"/>
  <c r="AL5" i="3"/>
  <c r="BQ13" i="3"/>
  <c r="H14" i="21"/>
  <c r="J44" i="21"/>
  <c r="AC44" i="21" s="1"/>
  <c r="H44" i="21"/>
  <c r="U44" i="21" s="1"/>
  <c r="F44" i="21"/>
  <c r="AA44" i="21" s="1"/>
  <c r="H28" i="33"/>
  <c r="U28" i="33" s="1"/>
  <c r="J28" i="33"/>
  <c r="F33" i="35"/>
  <c r="S33" i="35" s="1"/>
  <c r="J33" i="35"/>
  <c r="W33" i="35" s="1"/>
  <c r="F30" i="35"/>
  <c r="AA30" i="35" s="1"/>
  <c r="H10" i="36"/>
  <c r="AB10" i="36" s="1"/>
  <c r="F28" i="36"/>
  <c r="S28" i="36" s="1"/>
  <c r="F27" i="36"/>
  <c r="S27" i="36" s="1"/>
  <c r="F13" i="21"/>
  <c r="AA13" i="21" s="1"/>
  <c r="H29" i="21"/>
  <c r="U29" i="21" s="1"/>
  <c r="H31" i="21"/>
  <c r="J27" i="33"/>
  <c r="F13" i="33"/>
  <c r="S13" i="33" s="1"/>
  <c r="J29" i="33"/>
  <c r="W29" i="33" s="1"/>
  <c r="J31" i="33"/>
  <c r="AC31" i="33" s="1"/>
  <c r="F11" i="35"/>
  <c r="S11" i="35" s="1"/>
  <c r="H28" i="36"/>
  <c r="H32" i="36"/>
  <c r="AB32" i="36" s="1"/>
  <c r="J11" i="36"/>
  <c r="W11" i="36" s="1"/>
  <c r="H13" i="36"/>
  <c r="AB13" i="36" s="1"/>
  <c r="E89" i="37"/>
  <c r="F89" i="37" s="1"/>
  <c r="G89" i="37" s="1"/>
  <c r="H89" i="37" s="1"/>
  <c r="I89" i="37" s="1"/>
  <c r="J89" i="37" s="1"/>
  <c r="K89" i="37" s="1"/>
  <c r="L89" i="37" s="1"/>
  <c r="M89" i="37" s="1"/>
  <c r="J29" i="37"/>
  <c r="W29" i="37" s="1"/>
  <c r="F29" i="37"/>
  <c r="AA29" i="37" s="1"/>
  <c r="AB36" i="37"/>
  <c r="J37" i="37"/>
  <c r="H37" i="37"/>
  <c r="U37" i="37" s="1"/>
  <c r="H40" i="37"/>
  <c r="U40" i="37" s="1"/>
  <c r="J40" i="37"/>
  <c r="W40" i="37" s="1"/>
  <c r="F40" i="37"/>
  <c r="H14" i="33"/>
  <c r="U14" i="33" s="1"/>
  <c r="F14" i="33"/>
  <c r="AA14" i="33"/>
  <c r="F30" i="33"/>
  <c r="H44" i="33"/>
  <c r="J44" i="33"/>
  <c r="AC44" i="33" s="1"/>
  <c r="J46" i="33"/>
  <c r="AC46" i="33" s="1"/>
  <c r="H46" i="33"/>
  <c r="AB46" i="33" s="1"/>
  <c r="H13" i="34"/>
  <c r="U13" i="34" s="1"/>
  <c r="J13" i="34"/>
  <c r="W13" i="34" s="1"/>
  <c r="F13" i="34"/>
  <c r="AA13" i="34" s="1"/>
  <c r="J29" i="34"/>
  <c r="AC29" i="34" s="1"/>
  <c r="J31" i="34"/>
  <c r="W31" i="34" s="1"/>
  <c r="H31" i="34"/>
  <c r="AB31" i="34" s="1"/>
  <c r="F31" i="34"/>
  <c r="S31" i="34" s="1"/>
  <c r="J45" i="34"/>
  <c r="W45" i="34" s="1"/>
  <c r="H47" i="34"/>
  <c r="U47" i="34" s="1"/>
  <c r="F47" i="34"/>
  <c r="AA47" i="34" s="1"/>
  <c r="J47" i="34"/>
  <c r="AC47" i="34" s="1"/>
  <c r="H13" i="35"/>
  <c r="F25" i="35"/>
  <c r="AA25" i="35" s="1"/>
  <c r="J35" i="35"/>
  <c r="AC35" i="35" s="1"/>
  <c r="F35" i="35"/>
  <c r="S35" i="35" s="1"/>
  <c r="H35" i="35"/>
  <c r="U35" i="35" s="1"/>
  <c r="F28" i="37"/>
  <c r="AA28" i="37" s="1"/>
  <c r="J28" i="37"/>
  <c r="AC28" i="37" s="1"/>
  <c r="H28" i="37"/>
  <c r="U28" i="37" s="1"/>
  <c r="H38" i="37"/>
  <c r="AB38" i="37" s="1"/>
  <c r="J38" i="37"/>
  <c r="AC38" i="37" s="1"/>
  <c r="F38" i="37"/>
  <c r="S38" i="37" s="1"/>
  <c r="F14" i="37"/>
  <c r="AA14" i="37" s="1"/>
  <c r="F27" i="37"/>
  <c r="AA27" i="37" s="1"/>
  <c r="J14" i="37"/>
  <c r="J27" i="37"/>
  <c r="W27" i="37" s="1"/>
  <c r="J36" i="37"/>
  <c r="AC36" i="37" s="1"/>
  <c r="G105" i="37"/>
  <c r="S46" i="33"/>
  <c r="AB44" i="21"/>
  <c r="G517" i="3"/>
  <c r="G508" i="3"/>
  <c r="G549" i="3"/>
  <c r="G545" i="3"/>
  <c r="G539" i="3"/>
  <c r="BL535" i="3"/>
  <c r="BL519" i="3"/>
  <c r="BL551" i="3"/>
  <c r="BL541" i="3"/>
  <c r="G514" i="3"/>
  <c r="BA551" i="3"/>
  <c r="BA543" i="3"/>
  <c r="BA541" i="3"/>
  <c r="BA505" i="3"/>
  <c r="BA554" i="3"/>
  <c r="BA550" i="3"/>
  <c r="BA546" i="3"/>
  <c r="BA540" i="3"/>
  <c r="BA536" i="3"/>
  <c r="BA524" i="3"/>
  <c r="G562" i="3"/>
  <c r="G554" i="3"/>
  <c r="G550" i="3"/>
  <c r="G546" i="3"/>
  <c r="BA542" i="3"/>
  <c r="AC542" i="3"/>
  <c r="G542" i="3" s="1"/>
  <c r="BQ542" i="3"/>
  <c r="BL542" i="3"/>
  <c r="BQ568" i="3"/>
  <c r="BQ566" i="3"/>
  <c r="BQ564" i="3"/>
  <c r="BQ562" i="3"/>
  <c r="BQ560" i="3"/>
  <c r="BQ558" i="3"/>
  <c r="BQ556" i="3"/>
  <c r="BQ554" i="3"/>
  <c r="BQ552" i="3"/>
  <c r="BQ550" i="3"/>
  <c r="BL550" i="3" s="1"/>
  <c r="BQ548" i="3"/>
  <c r="BQ546" i="3"/>
  <c r="BQ544" i="3"/>
  <c r="BL544" i="3" s="1"/>
  <c r="G544" i="3"/>
  <c r="G538" i="3"/>
  <c r="G530" i="3"/>
  <c r="BQ540" i="3"/>
  <c r="BL540" i="3" s="1"/>
  <c r="BQ538" i="3"/>
  <c r="BQ536" i="3"/>
  <c r="BQ534" i="3"/>
  <c r="BQ532" i="3"/>
  <c r="BQ530" i="3"/>
  <c r="BL530" i="3" s="1"/>
  <c r="BQ528" i="3"/>
  <c r="BQ526" i="3"/>
  <c r="BQ524" i="3"/>
  <c r="BQ522" i="3"/>
  <c r="BQ520" i="3"/>
  <c r="BQ518" i="3"/>
  <c r="BQ516" i="3"/>
  <c r="BL516" i="3" s="1"/>
  <c r="BQ514" i="3"/>
  <c r="BQ512" i="3"/>
  <c r="BQ510" i="3"/>
  <c r="BQ508" i="3"/>
  <c r="BL508" i="3" s="1"/>
  <c r="AC506" i="3"/>
  <c r="G506" i="3" s="1"/>
  <c r="BQ506" i="3"/>
  <c r="BQ504" i="3"/>
  <c r="BQ502" i="3"/>
  <c r="BQ500" i="3"/>
  <c r="BQ498" i="3"/>
  <c r="BQ496" i="3"/>
  <c r="AC494" i="3"/>
  <c r="BQ494" i="3"/>
  <c r="BQ492" i="3"/>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c r="H17" i="37"/>
  <c r="AB17" i="37" s="1"/>
  <c r="U17" i="37"/>
  <c r="F23" i="37"/>
  <c r="S23" i="37"/>
  <c r="F39" i="33"/>
  <c r="F42" i="33"/>
  <c r="AA42" i="33" s="1"/>
  <c r="F22" i="36"/>
  <c r="S22" i="36" s="1"/>
  <c r="H35" i="34"/>
  <c r="U35" i="34" s="1"/>
  <c r="F41" i="34"/>
  <c r="S41" i="34" s="1"/>
  <c r="H41" i="34"/>
  <c r="U41" i="34" s="1"/>
  <c r="J41" i="34"/>
  <c r="W41" i="34" s="1"/>
  <c r="F10" i="35"/>
  <c r="AA10" i="35" s="1"/>
  <c r="H24" i="35"/>
  <c r="AB24" i="35" s="1"/>
  <c r="H23" i="37"/>
  <c r="AB23" i="37" s="1"/>
  <c r="J32" i="37"/>
  <c r="AC32" i="37" s="1"/>
  <c r="F36" i="37"/>
  <c r="F37" i="37"/>
  <c r="AA37" i="37"/>
  <c r="U23" i="37"/>
  <c r="AC41" i="34"/>
  <c r="H42" i="33"/>
  <c r="U42" i="33" s="1"/>
  <c r="J43" i="33"/>
  <c r="AC43" i="33" s="1"/>
  <c r="J23" i="37"/>
  <c r="W23" i="37" s="1"/>
  <c r="F17" i="37"/>
  <c r="AB43" i="33"/>
  <c r="D3" i="21"/>
  <c r="AC33" i="36"/>
  <c r="AC8" i="37"/>
  <c r="AC36" i="34"/>
  <c r="AB8" i="34"/>
  <c r="AC37" i="33"/>
  <c r="AA13" i="33"/>
  <c r="F43" i="33"/>
  <c r="AA43" i="33" s="1"/>
  <c r="AA23" i="37"/>
  <c r="G107" i="37"/>
  <c r="H107" i="37" s="1"/>
  <c r="I107" i="37" s="1"/>
  <c r="J107" i="37" s="1"/>
  <c r="K107" i="37" s="1"/>
  <c r="L107" i="37" s="1"/>
  <c r="M107" i="37" s="1"/>
  <c r="H19" i="34"/>
  <c r="AB19" i="34" s="1"/>
  <c r="J10" i="37"/>
  <c r="AC10" i="37" s="1"/>
  <c r="F36" i="35"/>
  <c r="F11" i="37"/>
  <c r="S11" i="37" s="1"/>
  <c r="J12" i="37"/>
  <c r="AC12" i="37" s="1"/>
  <c r="H12" i="37"/>
  <c r="AB12" i="37" s="1"/>
  <c r="F12" i="37"/>
  <c r="AA12" i="37" s="1"/>
  <c r="H15" i="37"/>
  <c r="AB15" i="37" s="1"/>
  <c r="U15" i="37"/>
  <c r="F31" i="37"/>
  <c r="S31" i="37"/>
  <c r="H31" i="37"/>
  <c r="J15" i="37"/>
  <c r="W15" i="37" s="1"/>
  <c r="U12" i="37"/>
  <c r="J11" i="37"/>
  <c r="W11" i="37" s="1"/>
  <c r="F21" i="40"/>
  <c r="S21" i="40" s="1"/>
  <c r="J21" i="40"/>
  <c r="AC21" i="40" s="1"/>
  <c r="S27" i="31"/>
  <c r="G483" i="3"/>
  <c r="BA15" i="3"/>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BL381" i="3"/>
  <c r="G382" i="3"/>
  <c r="G385"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AZ363" i="3" s="1"/>
  <c r="G364" i="3"/>
  <c r="BA366" i="3"/>
  <c r="BL367" i="3"/>
  <c r="AZ367" i="3" s="1"/>
  <c r="G368" i="3"/>
  <c r="BA370" i="3"/>
  <c r="BL371" i="3"/>
  <c r="G372" i="3"/>
  <c r="BA374" i="3"/>
  <c r="BL375" i="3"/>
  <c r="G376" i="3"/>
  <c r="BA378" i="3"/>
  <c r="AZ378" i="3" s="1"/>
  <c r="BL379" i="3"/>
  <c r="G380" i="3"/>
  <c r="BA382" i="3"/>
  <c r="BL383" i="3"/>
  <c r="G384" i="3"/>
  <c r="F37" i="46"/>
  <c r="AA43" i="21"/>
  <c r="AA13" i="40"/>
  <c r="H77" i="40"/>
  <c r="I77" i="40" s="1"/>
  <c r="J77" i="40" s="1"/>
  <c r="K77" i="40" s="1"/>
  <c r="L77" i="40" s="1"/>
  <c r="M77" i="40" s="1"/>
  <c r="R16" i="4"/>
  <c r="D3" i="35"/>
  <c r="G4" i="4"/>
  <c r="S37" i="34"/>
  <c r="J16" i="35"/>
  <c r="W16" i="35" s="1"/>
  <c r="AC26" i="36"/>
  <c r="H13" i="39"/>
  <c r="F13" i="39"/>
  <c r="J13" i="39"/>
  <c r="AC13" i="39" s="1"/>
  <c r="H11" i="37"/>
  <c r="AB11" i="37" s="1"/>
  <c r="S42" i="33"/>
  <c r="AC29" i="33"/>
  <c r="AC11" i="36"/>
  <c r="AB35" i="35"/>
  <c r="AC29" i="37"/>
  <c r="J33" i="34"/>
  <c r="AC33" i="34" s="1"/>
  <c r="J40" i="34"/>
  <c r="W40" i="34"/>
  <c r="F16" i="35"/>
  <c r="AA16" i="35" s="1"/>
  <c r="W42" i="33"/>
  <c r="J35" i="34"/>
  <c r="W35" i="34" s="1"/>
  <c r="S30" i="36"/>
  <c r="H16" i="36"/>
  <c r="AB16" i="36" s="1"/>
  <c r="H35" i="37"/>
  <c r="AB35" i="37" s="1"/>
  <c r="H32" i="21"/>
  <c r="U32" i="21" s="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AB39" i="34"/>
  <c r="F11" i="34"/>
  <c r="S11" i="34"/>
  <c r="H17" i="34"/>
  <c r="AB17" i="34" s="1"/>
  <c r="AC27" i="34"/>
  <c r="W27" i="34"/>
  <c r="AB28" i="35"/>
  <c r="U28" i="35"/>
  <c r="J13" i="33"/>
  <c r="W13" i="33" s="1"/>
  <c r="H13" i="33"/>
  <c r="U13" i="33"/>
  <c r="H29" i="33"/>
  <c r="AB29" i="33" s="1"/>
  <c r="F29" i="33"/>
  <c r="AA29" i="33" s="1"/>
  <c r="J12" i="34"/>
  <c r="H12" i="34"/>
  <c r="AB12" i="34" s="1"/>
  <c r="F12" i="34"/>
  <c r="S12" i="34" s="1"/>
  <c r="J14" i="34"/>
  <c r="W14" i="34" s="1"/>
  <c r="H30" i="34"/>
  <c r="AB30" i="34" s="1"/>
  <c r="F30" i="34"/>
  <c r="S30" i="34" s="1"/>
  <c r="J30" i="34"/>
  <c r="J32" i="34"/>
  <c r="H46" i="34"/>
  <c r="AB46" i="34" s="1"/>
  <c r="F46" i="34"/>
  <c r="AA46" i="34"/>
  <c r="J46" i="34"/>
  <c r="AC46" i="34" s="1"/>
  <c r="H11" i="35"/>
  <c r="U11" i="35" s="1"/>
  <c r="J11" i="35"/>
  <c r="AC11" i="35" s="1"/>
  <c r="H32" i="37"/>
  <c r="AB32" i="37" s="1"/>
  <c r="F19" i="39"/>
  <c r="S19" i="39" s="1"/>
  <c r="H19" i="39"/>
  <c r="U19" i="39" s="1"/>
  <c r="J19" i="39"/>
  <c r="W19" i="39" s="1"/>
  <c r="F43" i="39"/>
  <c r="H43" i="39"/>
  <c r="U43" i="39" s="1"/>
  <c r="J43" i="39"/>
  <c r="F99" i="37"/>
  <c r="AC27" i="37"/>
  <c r="U31" i="34"/>
  <c r="S28" i="33"/>
  <c r="AB29" i="35"/>
  <c r="AC19" i="33"/>
  <c r="AB43" i="34"/>
  <c r="S35" i="37"/>
  <c r="AB40" i="33"/>
  <c r="U40" i="33"/>
  <c r="AA35" i="34"/>
  <c r="S35" i="34"/>
  <c r="H27" i="34"/>
  <c r="AB27" i="34" s="1"/>
  <c r="AB8" i="35"/>
  <c r="U8" i="35"/>
  <c r="J14" i="35"/>
  <c r="AC14" i="35" s="1"/>
  <c r="F14" i="35"/>
  <c r="H14" i="35"/>
  <c r="U14" i="35" s="1"/>
  <c r="E80" i="35"/>
  <c r="F80" i="35" s="1"/>
  <c r="G80" i="35" s="1"/>
  <c r="H80" i="35" s="1"/>
  <c r="I80" i="35" s="1"/>
  <c r="J80" i="35" s="1"/>
  <c r="K80" i="35" s="1"/>
  <c r="L80" i="35" s="1"/>
  <c r="M80" i="35" s="1"/>
  <c r="J32" i="35"/>
  <c r="AC32" i="35" s="1"/>
  <c r="H11" i="36"/>
  <c r="AB11" i="36" s="1"/>
  <c r="F11" i="36"/>
  <c r="S11" i="36" s="1"/>
  <c r="W16" i="36"/>
  <c r="AC16" i="36"/>
  <c r="I78" i="36"/>
  <c r="J78" i="36" s="1"/>
  <c r="K78" i="36" s="1"/>
  <c r="L78" i="36" s="1"/>
  <c r="M78" i="36" s="1"/>
  <c r="F26" i="36"/>
  <c r="U34" i="36"/>
  <c r="H33" i="36"/>
  <c r="F33" i="36"/>
  <c r="AA33" i="36" s="1"/>
  <c r="H27" i="36"/>
  <c r="AB27" i="36" s="1"/>
  <c r="AC26" i="37"/>
  <c r="AB29" i="37"/>
  <c r="AA30" i="37"/>
  <c r="AC31" i="37"/>
  <c r="W31" i="37"/>
  <c r="AB14" i="37"/>
  <c r="F17" i="39"/>
  <c r="AA17" i="39" s="1"/>
  <c r="H17" i="39"/>
  <c r="J17" i="39"/>
  <c r="W17" i="39" s="1"/>
  <c r="F21" i="39"/>
  <c r="S21" i="39" s="1"/>
  <c r="H21" i="39"/>
  <c r="AB21" i="39" s="1"/>
  <c r="J21" i="39"/>
  <c r="W21" i="39" s="1"/>
  <c r="H33" i="39"/>
  <c r="U33" i="39" s="1"/>
  <c r="F44" i="39"/>
  <c r="S44" i="39" s="1"/>
  <c r="H44" i="39"/>
  <c r="U44" i="39" s="1"/>
  <c r="J44" i="39"/>
  <c r="W44" i="39" s="1"/>
  <c r="F46" i="39"/>
  <c r="S46" i="39" s="1"/>
  <c r="F29" i="39"/>
  <c r="AA29" i="39" s="1"/>
  <c r="E102" i="39"/>
  <c r="F102" i="39" s="1"/>
  <c r="G102" i="39" s="1"/>
  <c r="H29" i="39"/>
  <c r="U29" i="39"/>
  <c r="F34" i="39"/>
  <c r="AA34" i="39" s="1"/>
  <c r="H34" i="39"/>
  <c r="AB34" i="39" s="1"/>
  <c r="J34" i="39"/>
  <c r="AC34" i="39" s="1"/>
  <c r="F39" i="39"/>
  <c r="S39" i="39" s="1"/>
  <c r="H39" i="39"/>
  <c r="AB39" i="39" s="1"/>
  <c r="J39" i="39"/>
  <c r="J29" i="35"/>
  <c r="AC29" i="35" s="1"/>
  <c r="F29" i="35"/>
  <c r="S29" i="35" s="1"/>
  <c r="W30" i="36"/>
  <c r="AC30" i="36"/>
  <c r="BA552" i="3"/>
  <c r="BL549" i="3"/>
  <c r="BA549" i="3"/>
  <c r="AZ549" i="3" s="1"/>
  <c r="BL548" i="3"/>
  <c r="BA548" i="3"/>
  <c r="BL547" i="3"/>
  <c r="BA547" i="3"/>
  <c r="AZ547" i="3" s="1"/>
  <c r="BA539" i="3"/>
  <c r="BA537" i="3"/>
  <c r="BL528" i="3"/>
  <c r="BL523" i="3"/>
  <c r="BA519" i="3"/>
  <c r="AZ519" i="3" s="1"/>
  <c r="BA510" i="3"/>
  <c r="BL504" i="3"/>
  <c r="G494" i="3"/>
  <c r="BL486" i="3"/>
  <c r="H38" i="34"/>
  <c r="U38" i="34" s="1"/>
  <c r="H30" i="40"/>
  <c r="AB30" i="40" s="1"/>
  <c r="J30" i="40"/>
  <c r="AC30" i="40" s="1"/>
  <c r="F38" i="40"/>
  <c r="AA38" i="40"/>
  <c r="AA36" i="34"/>
  <c r="AC12" i="21"/>
  <c r="W12" i="21"/>
  <c r="S35" i="21"/>
  <c r="AB10" i="21"/>
  <c r="AB8" i="21"/>
  <c r="AB8" i="33"/>
  <c r="U8" i="33"/>
  <c r="H34" i="33"/>
  <c r="U34" i="33" s="1"/>
  <c r="F34" i="33"/>
  <c r="E121" i="33"/>
  <c r="F121" i="33" s="1"/>
  <c r="G121" i="33" s="1"/>
  <c r="H121" i="33" s="1"/>
  <c r="I121" i="33" s="1"/>
  <c r="J121" i="33" s="1"/>
  <c r="K121" i="33" s="1"/>
  <c r="L121" i="33" s="1"/>
  <c r="M121" i="33" s="1"/>
  <c r="F41" i="33"/>
  <c r="W34" i="34"/>
  <c r="AA39" i="34"/>
  <c r="S43" i="34"/>
  <c r="E78" i="34"/>
  <c r="F15" i="34"/>
  <c r="AA15" i="34" s="1"/>
  <c r="W28" i="35"/>
  <c r="J20" i="35"/>
  <c r="AC20" i="35"/>
  <c r="H22" i="35"/>
  <c r="AB22" i="35" s="1"/>
  <c r="H23" i="35"/>
  <c r="U23" i="35" s="1"/>
  <c r="F23" i="35"/>
  <c r="AA23" i="35" s="1"/>
  <c r="U31" i="36"/>
  <c r="S8" i="37"/>
  <c r="H14" i="39"/>
  <c r="AB14" i="39" s="1"/>
  <c r="F16" i="39"/>
  <c r="H16" i="39"/>
  <c r="U16" i="39" s="1"/>
  <c r="J16" i="39"/>
  <c r="AC16" i="39" s="1"/>
  <c r="F23" i="39"/>
  <c r="AA23" i="39" s="1"/>
  <c r="E96" i="39"/>
  <c r="F96" i="39" s="1"/>
  <c r="G96" i="39" s="1"/>
  <c r="F27" i="39"/>
  <c r="AA27" i="39" s="1"/>
  <c r="H27" i="39"/>
  <c r="J27" i="39"/>
  <c r="F15" i="40"/>
  <c r="AA15" i="40" s="1"/>
  <c r="J15" i="40"/>
  <c r="W15" i="40" s="1"/>
  <c r="H15" i="40"/>
  <c r="AB15" i="40" s="1"/>
  <c r="E91" i="40"/>
  <c r="F91" i="40" s="1"/>
  <c r="G91" i="40" s="1"/>
  <c r="H23" i="40"/>
  <c r="U23" i="40" s="1"/>
  <c r="H41" i="40"/>
  <c r="F41" i="40"/>
  <c r="J41" i="40"/>
  <c r="AC41" i="40" s="1"/>
  <c r="H36" i="33"/>
  <c r="AB36" i="33" s="1"/>
  <c r="H37" i="34"/>
  <c r="AB37" i="34" s="1"/>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H42" i="40"/>
  <c r="AB42" i="40" s="1"/>
  <c r="H40" i="40"/>
  <c r="U40" i="40" s="1"/>
  <c r="H34" i="40"/>
  <c r="U34" i="40" s="1"/>
  <c r="B41" i="1"/>
  <c r="M20" i="44" s="1"/>
  <c r="J42" i="40"/>
  <c r="AC42" i="40" s="1"/>
  <c r="J40" i="40"/>
  <c r="J34" i="40"/>
  <c r="H14" i="40"/>
  <c r="F32" i="40"/>
  <c r="AA32" i="40" s="1"/>
  <c r="F61" i="46"/>
  <c r="F72" i="46"/>
  <c r="H74" i="46" s="1"/>
  <c r="G74" i="46" s="1"/>
  <c r="J13" i="40"/>
  <c r="W13" i="40" s="1"/>
  <c r="AB25" i="39"/>
  <c r="U37" i="34"/>
  <c r="W41" i="40"/>
  <c r="J23" i="40"/>
  <c r="F23" i="40"/>
  <c r="S23" i="40" s="1"/>
  <c r="S23" i="39"/>
  <c r="AB16" i="39"/>
  <c r="H20" i="35"/>
  <c r="F20" i="35"/>
  <c r="S20" i="35" s="1"/>
  <c r="H15" i="34"/>
  <c r="AB15" i="34" s="1"/>
  <c r="F78" i="34"/>
  <c r="G78" i="34" s="1"/>
  <c r="J15" i="34"/>
  <c r="AC15" i="34" s="1"/>
  <c r="H41" i="33"/>
  <c r="U41" i="33" s="1"/>
  <c r="F30" i="40"/>
  <c r="AA30" i="40" s="1"/>
  <c r="AA29" i="35"/>
  <c r="J29" i="39"/>
  <c r="AC29" i="39" s="1"/>
  <c r="U21" i="39"/>
  <c r="AA14" i="35"/>
  <c r="S14" i="35"/>
  <c r="G99" i="37"/>
  <c r="F33" i="37"/>
  <c r="AB19" i="39"/>
  <c r="U46" i="34"/>
  <c r="U29" i="33"/>
  <c r="U17" i="34"/>
  <c r="AA11" i="34"/>
  <c r="W32" i="33"/>
  <c r="H15" i="33"/>
  <c r="U15" i="33" s="1"/>
  <c r="AA11" i="33"/>
  <c r="AA40" i="21"/>
  <c r="S13" i="39"/>
  <c r="AA13" i="39"/>
  <c r="AB34" i="40"/>
  <c r="W32" i="40"/>
  <c r="H25" i="40"/>
  <c r="AB25" i="40" s="1"/>
  <c r="F93" i="40"/>
  <c r="G93" i="40" s="1"/>
  <c r="U47" i="39"/>
  <c r="J37" i="34"/>
  <c r="J36" i="33"/>
  <c r="W36" i="33" s="1"/>
  <c r="H23" i="39"/>
  <c r="AB23" i="39" s="1"/>
  <c r="J23" i="39"/>
  <c r="AC23" i="39" s="1"/>
  <c r="S15" i="34"/>
  <c r="J34" i="33"/>
  <c r="AC34" i="33" s="1"/>
  <c r="U30" i="40"/>
  <c r="W29" i="35"/>
  <c r="AC39" i="39"/>
  <c r="W39" i="39"/>
  <c r="AA39" i="39"/>
  <c r="AB29" i="39"/>
  <c r="AB44" i="39"/>
  <c r="S17" i="39"/>
  <c r="U11" i="36"/>
  <c r="W14" i="35"/>
  <c r="F90" i="34"/>
  <c r="G90" i="34" s="1"/>
  <c r="H90" i="34" s="1"/>
  <c r="I90" i="34" s="1"/>
  <c r="J90" i="34" s="1"/>
  <c r="K90" i="34" s="1"/>
  <c r="L90" i="34" s="1"/>
  <c r="M90" i="34" s="1"/>
  <c r="F27" i="34"/>
  <c r="S27" i="34" s="1"/>
  <c r="AC43" i="39"/>
  <c r="W43" i="39"/>
  <c r="AA43" i="39"/>
  <c r="S43" i="39"/>
  <c r="AA19" i="39"/>
  <c r="F32" i="37"/>
  <c r="S32" i="37"/>
  <c r="AB11" i="35"/>
  <c r="S46" i="34"/>
  <c r="AC14" i="34"/>
  <c r="U12" i="34"/>
  <c r="AB13" i="33"/>
  <c r="F17" i="34"/>
  <c r="AA17" i="34" s="1"/>
  <c r="J17" i="34"/>
  <c r="AC17" i="34" s="1"/>
  <c r="H11" i="34"/>
  <c r="AB11" i="34" s="1"/>
  <c r="J35" i="33"/>
  <c r="W35" i="33" s="1"/>
  <c r="S32" i="33"/>
  <c r="H11" i="33"/>
  <c r="U11" i="33" s="1"/>
  <c r="H10" i="33"/>
  <c r="U10" i="33" s="1"/>
  <c r="J10" i="33"/>
  <c r="W10" i="33" s="1"/>
  <c r="U40" i="21"/>
  <c r="U11" i="37"/>
  <c r="AC16" i="35"/>
  <c r="J11" i="34"/>
  <c r="W11" i="34" s="1"/>
  <c r="F25" i="40"/>
  <c r="AA25" i="40" s="1"/>
  <c r="J11" i="33"/>
  <c r="H33" i="37"/>
  <c r="AB33" i="37" s="1"/>
  <c r="U20" i="35"/>
  <c r="AB20" i="35"/>
  <c r="B11" i="1"/>
  <c r="E11" i="1" s="1"/>
  <c r="K11" i="1"/>
  <c r="M11" i="1" s="1"/>
  <c r="B9" i="1"/>
  <c r="E9" i="1" s="1"/>
  <c r="K9" i="1"/>
  <c r="M9" i="1" s="1"/>
  <c r="B7" i="1"/>
  <c r="E7" i="1" s="1"/>
  <c r="K7" i="1"/>
  <c r="M7" i="1" s="1"/>
  <c r="AP6" i="1"/>
  <c r="S8" i="36"/>
  <c r="AA28" i="36"/>
  <c r="H20" i="36"/>
  <c r="U20" i="36" s="1"/>
  <c r="F68" i="36"/>
  <c r="G68" i="36"/>
  <c r="J20" i="36"/>
  <c r="AC20" i="36" s="1"/>
  <c r="F20" i="36"/>
  <c r="S20" i="36" s="1"/>
  <c r="F62" i="36"/>
  <c r="G62" i="36" s="1"/>
  <c r="J14" i="36"/>
  <c r="H14" i="36"/>
  <c r="U14" i="36" s="1"/>
  <c r="F14" i="36"/>
  <c r="AA14" i="36" s="1"/>
  <c r="U27" i="36"/>
  <c r="S33" i="36"/>
  <c r="AC33" i="35"/>
  <c r="U33" i="35"/>
  <c r="W20" i="35"/>
  <c r="S23" i="35"/>
  <c r="S16" i="35"/>
  <c r="AB14" i="35"/>
  <c r="AC18" i="35"/>
  <c r="W18" i="35"/>
  <c r="U18" i="35"/>
  <c r="AB18" i="35"/>
  <c r="S30" i="35"/>
  <c r="AA35" i="35"/>
  <c r="AB30" i="35"/>
  <c r="S28" i="35"/>
  <c r="W12" i="37"/>
  <c r="W28" i="37"/>
  <c r="AB37" i="37"/>
  <c r="AA31" i="37"/>
  <c r="S33" i="37"/>
  <c r="AA33" i="37"/>
  <c r="AA32" i="37"/>
  <c r="J33" i="37"/>
  <c r="W33" i="37" s="1"/>
  <c r="H99" i="37"/>
  <c r="I99" i="37" s="1"/>
  <c r="J99" i="37" s="1"/>
  <c r="K99" i="37" s="1"/>
  <c r="L99" i="37" s="1"/>
  <c r="M99" i="37" s="1"/>
  <c r="S29" i="37"/>
  <c r="J19" i="37"/>
  <c r="AC19" i="37" s="1"/>
  <c r="F19" i="37"/>
  <c r="AA19" i="37" s="1"/>
  <c r="H19" i="37"/>
  <c r="J17" i="37"/>
  <c r="W17" i="37" s="1"/>
  <c r="S15" i="37"/>
  <c r="AC21" i="37"/>
  <c r="W21" i="37"/>
  <c r="AC11" i="37"/>
  <c r="W32" i="37"/>
  <c r="U35" i="37"/>
  <c r="U8" i="37"/>
  <c r="AB25" i="37"/>
  <c r="AB21" i="37"/>
  <c r="U21" i="37"/>
  <c r="S37" i="37"/>
  <c r="AA11" i="37"/>
  <c r="W46" i="34"/>
  <c r="AC45" i="34"/>
  <c r="W33" i="34"/>
  <c r="U30" i="34"/>
  <c r="AC35" i="34"/>
  <c r="AA30" i="34"/>
  <c r="AA33" i="34"/>
  <c r="U44" i="34"/>
  <c r="U34" i="34"/>
  <c r="AA27" i="34"/>
  <c r="J25" i="34"/>
  <c r="W25" i="34" s="1"/>
  <c r="H25" i="34"/>
  <c r="F25" i="34"/>
  <c r="AA25" i="34" s="1"/>
  <c r="J23" i="34"/>
  <c r="W23" i="34" s="1"/>
  <c r="F86" i="34"/>
  <c r="G86" i="34" s="1"/>
  <c r="F23" i="34"/>
  <c r="AA23" i="34" s="1"/>
  <c r="H23" i="34"/>
  <c r="AB23" i="34" s="1"/>
  <c r="W17" i="34"/>
  <c r="AC11" i="34"/>
  <c r="AC40" i="34"/>
  <c r="W19" i="34"/>
  <c r="W29" i="34"/>
  <c r="AC21" i="34"/>
  <c r="W21" i="34"/>
  <c r="U15" i="34"/>
  <c r="AB21" i="34"/>
  <c r="U21" i="34"/>
  <c r="U27" i="34"/>
  <c r="AB41" i="34"/>
  <c r="S13" i="34"/>
  <c r="AA41" i="34"/>
  <c r="U37" i="33"/>
  <c r="S35" i="33"/>
  <c r="W34" i="33"/>
  <c r="AB41" i="33"/>
  <c r="AC35" i="33"/>
  <c r="S29" i="33"/>
  <c r="W31" i="33"/>
  <c r="W43" i="33"/>
  <c r="U46" i="33"/>
  <c r="W39" i="33"/>
  <c r="U35" i="33"/>
  <c r="H25" i="33"/>
  <c r="U25" i="33" s="1"/>
  <c r="AB25" i="33"/>
  <c r="J25" i="33"/>
  <c r="W25" i="33" s="1"/>
  <c r="F87" i="33"/>
  <c r="G87" i="33" s="1"/>
  <c r="H87" i="33" s="1"/>
  <c r="I87" i="33" s="1"/>
  <c r="J87" i="33" s="1"/>
  <c r="K87" i="33" s="1"/>
  <c r="L87" i="33" s="1"/>
  <c r="M87" i="33" s="1"/>
  <c r="F25" i="33"/>
  <c r="AA25" i="33" s="1"/>
  <c r="F85" i="33"/>
  <c r="G85" i="33" s="1"/>
  <c r="J23" i="33"/>
  <c r="F23" i="33"/>
  <c r="H23" i="33"/>
  <c r="AB23" i="33" s="1"/>
  <c r="U19" i="33"/>
  <c r="F79" i="33"/>
  <c r="G79" i="33" s="1"/>
  <c r="F17" i="33"/>
  <c r="S17" i="33" s="1"/>
  <c r="H17" i="33"/>
  <c r="U17" i="33" s="1"/>
  <c r="J17" i="33"/>
  <c r="AC17" i="33" s="1"/>
  <c r="AB15" i="33"/>
  <c r="S14" i="33"/>
  <c r="AC21" i="33"/>
  <c r="W21" i="33"/>
  <c r="AB21" i="33"/>
  <c r="U21" i="33"/>
  <c r="AA21" i="33"/>
  <c r="S21" i="33"/>
  <c r="AA44" i="33"/>
  <c r="AA36" i="33"/>
  <c r="U35" i="21"/>
  <c r="W43" i="21"/>
  <c r="F85" i="21"/>
  <c r="G85" i="21" s="1"/>
  <c r="J23" i="21"/>
  <c r="AC23" i="21" s="1"/>
  <c r="F23" i="21"/>
  <c r="AA23" i="21" s="1"/>
  <c r="H23" i="21"/>
  <c r="AB23" i="21" s="1"/>
  <c r="F15" i="21"/>
  <c r="S15" i="21" s="1"/>
  <c r="F77" i="21"/>
  <c r="G77" i="21"/>
  <c r="J15" i="21"/>
  <c r="W15" i="21" s="1"/>
  <c r="H15" i="21"/>
  <c r="U15" i="21" s="1"/>
  <c r="AC21" i="21"/>
  <c r="W21" i="21"/>
  <c r="AC19" i="21"/>
  <c r="W10" i="21"/>
  <c r="AB21" i="21"/>
  <c r="U21" i="21"/>
  <c r="AB29" i="21"/>
  <c r="W33" i="40"/>
  <c r="U33" i="40"/>
  <c r="S35" i="40"/>
  <c r="U15" i="40"/>
  <c r="S14" i="40"/>
  <c r="S15" i="40"/>
  <c r="AB13" i="40"/>
  <c r="W11" i="40"/>
  <c r="AA21" i="40"/>
  <c r="W25" i="40"/>
  <c r="U25" i="40"/>
  <c r="W42" i="40"/>
  <c r="F37" i="40"/>
  <c r="S37" i="40" s="1"/>
  <c r="J37" i="40"/>
  <c r="AC37" i="40" s="1"/>
  <c r="H37" i="40"/>
  <c r="AB37" i="40" s="1"/>
  <c r="G112" i="40"/>
  <c r="H112" i="40" s="1"/>
  <c r="I112" i="40" s="1"/>
  <c r="J112" i="40" s="1"/>
  <c r="K112" i="40" s="1"/>
  <c r="L112" i="40" s="1"/>
  <c r="M112" i="40" s="1"/>
  <c r="F39" i="40"/>
  <c r="S39" i="40" s="1"/>
  <c r="S38" i="40"/>
  <c r="H39" i="40"/>
  <c r="U39" i="40" s="1"/>
  <c r="J39" i="40"/>
  <c r="W39" i="40" s="1"/>
  <c r="W38" i="40"/>
  <c r="H29" i="40"/>
  <c r="U29" i="40" s="1"/>
  <c r="F97" i="40"/>
  <c r="G97" i="40" s="1"/>
  <c r="H97" i="40" s="1"/>
  <c r="I97" i="40" s="1"/>
  <c r="J97" i="40" s="1"/>
  <c r="K97" i="40" s="1"/>
  <c r="L97" i="40" s="1"/>
  <c r="M97" i="40" s="1"/>
  <c r="S25" i="40"/>
  <c r="AA23" i="40"/>
  <c r="F19" i="40"/>
  <c r="AA19" i="40" s="1"/>
  <c r="H19" i="40"/>
  <c r="U19" i="40" s="1"/>
  <c r="J19" i="40"/>
  <c r="AC19" i="40" s="1"/>
  <c r="W17" i="40"/>
  <c r="AC17" i="40"/>
  <c r="F17" i="40"/>
  <c r="AA17" i="40" s="1"/>
  <c r="H17" i="40"/>
  <c r="U17" i="40" s="1"/>
  <c r="AB40" i="40"/>
  <c r="U10" i="40"/>
  <c r="U27" i="40"/>
  <c r="AB27" i="40"/>
  <c r="AC44" i="39"/>
  <c r="W13" i="39"/>
  <c r="S11" i="39"/>
  <c r="AB45" i="39"/>
  <c r="S27" i="39"/>
  <c r="AA21" i="39"/>
  <c r="AC19" i="39"/>
  <c r="AC38" i="39"/>
  <c r="W29" i="39"/>
  <c r="S29" i="39"/>
  <c r="AC17" i="39"/>
  <c r="U11" i="39"/>
  <c r="U23" i="39"/>
  <c r="AB38" i="39"/>
  <c r="U31" i="39"/>
  <c r="AB31" i="39"/>
  <c r="S38" i="39"/>
  <c r="D96" i="9"/>
  <c r="M18" i="15"/>
  <c r="A18" i="64"/>
  <c r="B74" i="63" s="1"/>
  <c r="C53" i="10"/>
  <c r="A25" i="64" s="1"/>
  <c r="A18" i="51"/>
  <c r="B14" i="63" s="1"/>
  <c r="BA16" i="3"/>
  <c r="BA17" i="3"/>
  <c r="AZ17" i="3" s="1"/>
  <c r="F3" i="35"/>
  <c r="K1" i="43"/>
  <c r="K1" i="12"/>
  <c r="G1" i="44"/>
  <c r="I4" i="6"/>
  <c r="Z7" i="46" s="1"/>
  <c r="AZ15" i="3"/>
  <c r="BL16" i="3"/>
  <c r="AZ16" i="3" s="1"/>
  <c r="G28" i="12"/>
  <c r="D24" i="44"/>
  <c r="D26" i="44"/>
  <c r="F50" i="46"/>
  <c r="H52" i="46" s="1"/>
  <c r="C6" i="46"/>
  <c r="I5" i="48"/>
  <c r="K21" i="46"/>
  <c r="F42" i="46"/>
  <c r="D87" i="46"/>
  <c r="A4" i="64"/>
  <c r="A4" i="51"/>
  <c r="B6" i="63" s="1"/>
  <c r="C51" i="10"/>
  <c r="A9" i="64" s="1"/>
  <c r="H83" i="46"/>
  <c r="H87" i="46"/>
  <c r="U12" i="35"/>
  <c r="AB12" i="35"/>
  <c r="W11" i="35"/>
  <c r="AA11" i="35"/>
  <c r="S14" i="37"/>
  <c r="S13" i="21"/>
  <c r="C24" i="9"/>
  <c r="C25" i="9"/>
  <c r="L5" i="54"/>
  <c r="B39" i="63" s="1"/>
  <c r="K5" i="54"/>
  <c r="B38" i="63" s="1"/>
  <c r="T41" i="4"/>
  <c r="A17" i="51" s="1"/>
  <c r="B13" i="63" s="1"/>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AC27" i="36"/>
  <c r="W28" i="36"/>
  <c r="AA22" i="36"/>
  <c r="W29" i="36"/>
  <c r="W8" i="36"/>
  <c r="AC30" i="35"/>
  <c r="U24" i="35"/>
  <c r="W32" i="35"/>
  <c r="AA33" i="35"/>
  <c r="U32" i="35"/>
  <c r="W22" i="35"/>
  <c r="S32" i="35"/>
  <c r="W35" i="37"/>
  <c r="U33" i="37"/>
  <c r="S12" i="37"/>
  <c r="W38" i="37"/>
  <c r="W36" i="37"/>
  <c r="AB28" i="37"/>
  <c r="U38" i="37"/>
  <c r="AB35" i="34"/>
  <c r="AB47" i="34"/>
  <c r="AB13" i="34"/>
  <c r="AC13" i="34"/>
  <c r="S47" i="34"/>
  <c r="S19" i="34"/>
  <c r="S8" i="34"/>
  <c r="AA19" i="33"/>
  <c r="AC25" i="33"/>
  <c r="AB42" i="33"/>
  <c r="AB14" i="33"/>
  <c r="S15" i="33"/>
  <c r="AB25" i="21"/>
  <c r="AA25" i="21"/>
  <c r="G95" i="40"/>
  <c r="J27" i="40"/>
  <c r="W27" i="40" s="1"/>
  <c r="W37" i="40"/>
  <c r="W30" i="40"/>
  <c r="S34" i="40"/>
  <c r="U38" i="40"/>
  <c r="S40" i="40"/>
  <c r="S42" i="40"/>
  <c r="G104" i="39"/>
  <c r="J31" i="39"/>
  <c r="W31" i="39" s="1"/>
  <c r="S45" i="39"/>
  <c r="W41" i="39"/>
  <c r="AB43" i="39"/>
  <c r="S34" i="39"/>
  <c r="W42" i="39"/>
  <c r="W36" i="39"/>
  <c r="W23" i="39"/>
  <c r="W16" i="39"/>
  <c r="W25" i="39"/>
  <c r="W45" i="39"/>
  <c r="S41" i="39"/>
  <c r="W34" i="39"/>
  <c r="W10" i="39"/>
  <c r="W11" i="39"/>
  <c r="U42" i="39"/>
  <c r="W40" i="39"/>
  <c r="S32" i="40"/>
  <c r="C27" i="39"/>
  <c r="C17" i="40"/>
  <c r="C19" i="40"/>
  <c r="C17" i="39"/>
  <c r="C19" i="39"/>
  <c r="C21" i="39"/>
  <c r="C23" i="40"/>
  <c r="B51" i="46"/>
  <c r="B54" i="46"/>
  <c r="B58" i="46"/>
  <c r="B62" i="46"/>
  <c r="B65" i="46"/>
  <c r="B69" i="46"/>
  <c r="B56" i="46"/>
  <c r="B67" i="46"/>
  <c r="D24" i="15"/>
  <c r="AC14" i="36"/>
  <c r="W14" i="36"/>
  <c r="AB19" i="37"/>
  <c r="U19" i="37"/>
  <c r="AC17" i="37"/>
  <c r="U25" i="34"/>
  <c r="AB25" i="34"/>
  <c r="S25" i="34"/>
  <c r="AC25" i="34"/>
  <c r="S23" i="34"/>
  <c r="AC23" i="34"/>
  <c r="S25" i="33"/>
  <c r="W23" i="33"/>
  <c r="AC23" i="33"/>
  <c r="S23" i="33"/>
  <c r="AA23" i="33"/>
  <c r="AA17" i="33"/>
  <c r="AB39" i="40"/>
  <c r="AC39" i="40"/>
  <c r="AB29" i="40"/>
  <c r="S19" i="40"/>
  <c r="AB19" i="40"/>
  <c r="AT6" i="3"/>
  <c r="E4" i="4"/>
  <c r="B21" i="55" s="1"/>
  <c r="B72" i="63" s="1"/>
  <c r="C4" i="4"/>
  <c r="B20" i="55" s="1"/>
  <c r="B70" i="63" s="1"/>
  <c r="J18" i="36"/>
  <c r="W18" i="36" s="1"/>
  <c r="L20" i="6"/>
  <c r="C45" i="9"/>
  <c r="B7" i="66" s="1"/>
  <c r="C44" i="9"/>
  <c r="B6" i="66" s="1"/>
  <c r="K29" i="9"/>
  <c r="K30" i="9" s="1"/>
  <c r="N76" i="9"/>
  <c r="C46" i="9"/>
  <c r="K33" i="9" s="1"/>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4" i="46"/>
  <c r="F8" i="67"/>
  <c r="I4" i="65"/>
  <c r="E13" i="67"/>
  <c r="M26" i="44"/>
  <c r="F13" i="67"/>
  <c r="I3" i="65"/>
  <c r="F28" i="44"/>
  <c r="N3" i="65"/>
  <c r="F43" i="44"/>
  <c r="B8" i="67"/>
  <c r="M25" i="44"/>
  <c r="F8" i="44"/>
  <c r="F38" i="44"/>
  <c r="M10" i="44"/>
  <c r="E10" i="67"/>
  <c r="F45" i="44"/>
  <c r="F9" i="44"/>
  <c r="E11" i="67"/>
  <c r="F11" i="44"/>
  <c r="I6" i="65"/>
  <c r="J17" i="44"/>
  <c r="F42" i="15"/>
  <c r="N5" i="65"/>
  <c r="F14" i="67"/>
  <c r="N7" i="65"/>
  <c r="M26" i="15"/>
  <c r="F11" i="67"/>
  <c r="E9" i="67"/>
  <c r="B14" i="67"/>
  <c r="J5" i="65"/>
  <c r="L48" i="15"/>
  <c r="J36" i="15"/>
  <c r="F9" i="67"/>
  <c r="F9" i="15"/>
  <c r="J3" i="65"/>
  <c r="F10" i="67"/>
  <c r="N6" i="65"/>
  <c r="F12" i="67"/>
  <c r="L49" i="44"/>
  <c r="M24" i="44"/>
  <c r="N4" i="65"/>
  <c r="J7" i="65"/>
  <c r="L47" i="15"/>
  <c r="M11" i="44"/>
  <c r="I7" i="65"/>
  <c r="F15" i="44"/>
  <c r="E8" i="67"/>
  <c r="I5" i="65"/>
  <c r="E14" i="67"/>
  <c r="M28" i="15"/>
  <c r="M30" i="44"/>
  <c r="B9" i="67"/>
  <c r="B12" i="67"/>
  <c r="J6" i="65"/>
  <c r="M28" i="44"/>
  <c r="F26" i="15"/>
  <c r="F7" i="15"/>
  <c r="F37" i="15"/>
  <c r="B11" i="67"/>
  <c r="F39" i="44"/>
  <c r="M9" i="15"/>
  <c r="J15" i="15"/>
  <c r="M8" i="44"/>
  <c r="B10" i="67"/>
  <c r="F18" i="44"/>
  <c r="E12" i="67"/>
  <c r="F40" i="44"/>
  <c r="F16" i="15"/>
  <c r="B13" i="67"/>
  <c r="F13" i="15"/>
  <c r="F43" i="15"/>
  <c r="AZ517" i="3" l="1"/>
  <c r="AZ487" i="3"/>
  <c r="AZ483" i="3"/>
  <c r="AZ520" i="3"/>
  <c r="AB9" i="34"/>
  <c r="U9" i="34"/>
  <c r="AA25" i="36"/>
  <c r="S25" i="36"/>
  <c r="S39" i="37"/>
  <c r="AA39" i="37"/>
  <c r="AA15" i="39"/>
  <c r="S15" i="39"/>
  <c r="H9" i="35"/>
  <c r="F9" i="35"/>
  <c r="W25" i="37"/>
  <c r="AC25" i="37"/>
  <c r="F16" i="40"/>
  <c r="J16" i="40"/>
  <c r="W16" i="40" s="1"/>
  <c r="U42" i="34"/>
  <c r="AB42" i="34"/>
  <c r="BA522" i="3"/>
  <c r="BA520" i="3"/>
  <c r="BA518" i="3"/>
  <c r="AZ518" i="3" s="1"/>
  <c r="BL515" i="3"/>
  <c r="AZ515" i="3" s="1"/>
  <c r="BL485" i="3"/>
  <c r="AZ485" i="3" s="1"/>
  <c r="AB34" i="37"/>
  <c r="U34" i="37"/>
  <c r="W47" i="34"/>
  <c r="AC15" i="37"/>
  <c r="U13" i="36"/>
  <c r="S25" i="39"/>
  <c r="S30" i="40"/>
  <c r="F29" i="40"/>
  <c r="U11" i="34"/>
  <c r="AA12" i="34"/>
  <c r="S8" i="35"/>
  <c r="S16" i="36"/>
  <c r="AB23" i="40"/>
  <c r="H15" i="39"/>
  <c r="AC27" i="39"/>
  <c r="W27" i="39"/>
  <c r="AC40" i="37"/>
  <c r="AB36" i="34"/>
  <c r="AZ300" i="3"/>
  <c r="AZ540" i="3"/>
  <c r="U29" i="36"/>
  <c r="AC40" i="21"/>
  <c r="H13" i="21"/>
  <c r="U13" i="21" s="1"/>
  <c r="J13" i="21"/>
  <c r="F29" i="21"/>
  <c r="J29" i="21"/>
  <c r="E89" i="21"/>
  <c r="F89" i="21" s="1"/>
  <c r="G89" i="21" s="1"/>
  <c r="H89" i="21" s="1"/>
  <c r="I89" i="21" s="1"/>
  <c r="J89" i="21" s="1"/>
  <c r="K89" i="21" s="1"/>
  <c r="L89" i="21" s="1"/>
  <c r="M89" i="21" s="1"/>
  <c r="J26" i="21"/>
  <c r="W26" i="21" s="1"/>
  <c r="W36" i="21"/>
  <c r="AC36" i="21"/>
  <c r="AA34" i="34"/>
  <c r="S34" i="34"/>
  <c r="J36" i="35"/>
  <c r="H36" i="35"/>
  <c r="S36" i="37"/>
  <c r="AA36" i="37"/>
  <c r="U37" i="40"/>
  <c r="U23" i="34"/>
  <c r="AB20" i="36"/>
  <c r="AA46" i="39"/>
  <c r="BP5" i="3"/>
  <c r="U36" i="33"/>
  <c r="U32" i="37"/>
  <c r="S27" i="35"/>
  <c r="AZ348" i="3"/>
  <c r="AZ311" i="3"/>
  <c r="S36" i="35"/>
  <c r="AA36" i="35"/>
  <c r="BL20" i="3"/>
  <c r="BL488" i="3"/>
  <c r="BL512" i="3"/>
  <c r="BL526" i="3"/>
  <c r="BL534" i="3"/>
  <c r="AZ534" i="3" s="1"/>
  <c r="W28" i="33"/>
  <c r="AC28" i="33"/>
  <c r="W34" i="37"/>
  <c r="AC34" i="37"/>
  <c r="U16" i="35"/>
  <c r="AB16" i="35"/>
  <c r="AC8" i="35"/>
  <c r="W8" i="35"/>
  <c r="H30" i="33"/>
  <c r="J30" i="33"/>
  <c r="F29" i="34"/>
  <c r="H29" i="34"/>
  <c r="H45" i="34"/>
  <c r="U45" i="34" s="1"/>
  <c r="F45" i="34"/>
  <c r="J13" i="35"/>
  <c r="F13" i="35"/>
  <c r="H25" i="35"/>
  <c r="J25" i="35"/>
  <c r="U8" i="36"/>
  <c r="AB8" i="36"/>
  <c r="F23" i="36"/>
  <c r="H23" i="36"/>
  <c r="J23" i="36"/>
  <c r="BA525" i="3"/>
  <c r="AZ525" i="3" s="1"/>
  <c r="BA513" i="3"/>
  <c r="BL497" i="3"/>
  <c r="BL491" i="3"/>
  <c r="BL489" i="3"/>
  <c r="AZ489" i="3" s="1"/>
  <c r="BA488" i="3"/>
  <c r="BA487" i="3"/>
  <c r="BA486" i="3"/>
  <c r="AZ486" i="3" s="1"/>
  <c r="S39" i="33"/>
  <c r="AA39" i="33"/>
  <c r="U22" i="36"/>
  <c r="AB22" i="36"/>
  <c r="J25" i="36"/>
  <c r="H25" i="36"/>
  <c r="J39" i="37"/>
  <c r="H39" i="37"/>
  <c r="F33" i="39"/>
  <c r="J33" i="39"/>
  <c r="W19" i="40"/>
  <c r="AB33" i="39"/>
  <c r="O41" i="9"/>
  <c r="R8" i="54" s="1"/>
  <c r="B54" i="63" s="1"/>
  <c r="C22" i="59"/>
  <c r="C21" i="59" s="1"/>
  <c r="S19" i="37"/>
  <c r="S14" i="36"/>
  <c r="AA31" i="34"/>
  <c r="AC33" i="37"/>
  <c r="W21" i="40"/>
  <c r="U35" i="40"/>
  <c r="U21" i="40"/>
  <c r="U19" i="34"/>
  <c r="U22" i="35"/>
  <c r="AC13" i="40"/>
  <c r="AB38" i="34"/>
  <c r="S47" i="39"/>
  <c r="H16" i="40"/>
  <c r="AB16" i="40" s="1"/>
  <c r="S41" i="33"/>
  <c r="AA41" i="33"/>
  <c r="J46" i="39"/>
  <c r="U33" i="36"/>
  <c r="AB33" i="36"/>
  <c r="U38" i="21"/>
  <c r="AB28" i="36"/>
  <c r="U28" i="36"/>
  <c r="S44" i="34"/>
  <c r="AA44" i="34"/>
  <c r="F34" i="36"/>
  <c r="W31" i="35"/>
  <c r="F31" i="21"/>
  <c r="J31" i="21"/>
  <c r="AC31" i="21" s="1"/>
  <c r="H26" i="33"/>
  <c r="J26" i="33"/>
  <c r="AC26" i="33" s="1"/>
  <c r="F26" i="33"/>
  <c r="F9" i="34"/>
  <c r="J9" i="34"/>
  <c r="W27" i="35"/>
  <c r="AC27" i="35"/>
  <c r="J9" i="36"/>
  <c r="H9" i="36"/>
  <c r="F13" i="36"/>
  <c r="J13" i="36"/>
  <c r="AZ352" i="3"/>
  <c r="AZ336" i="3"/>
  <c r="AZ320" i="3"/>
  <c r="AZ347" i="3"/>
  <c r="AZ299" i="3"/>
  <c r="AZ342" i="3"/>
  <c r="BL524" i="3"/>
  <c r="BQ5" i="3"/>
  <c r="BA571" i="3"/>
  <c r="BN5" i="3"/>
  <c r="G29" i="6" s="1"/>
  <c r="BL554" i="3"/>
  <c r="BA544" i="3"/>
  <c r="AZ544" i="3" s="1"/>
  <c r="M74" i="46"/>
  <c r="N74" i="46" s="1"/>
  <c r="K74" i="46"/>
  <c r="AZ330" i="3"/>
  <c r="AZ377" i="3"/>
  <c r="BL482" i="3"/>
  <c r="AZ482" i="3" s="1"/>
  <c r="AZ551" i="3"/>
  <c r="H28" i="21"/>
  <c r="AB28" i="21" s="1"/>
  <c r="G572" i="3"/>
  <c r="BA321" i="3"/>
  <c r="AZ321" i="3" s="1"/>
  <c r="BA337" i="3"/>
  <c r="AZ337" i="3" s="1"/>
  <c r="BL348" i="3"/>
  <c r="BL567" i="3"/>
  <c r="G566" i="3"/>
  <c r="G565" i="3"/>
  <c r="BA564" i="3"/>
  <c r="BL563" i="3"/>
  <c r="BA562" i="3"/>
  <c r="BA561" i="3"/>
  <c r="G560" i="3"/>
  <c r="BR5" i="3"/>
  <c r="G558" i="3"/>
  <c r="BL557" i="3"/>
  <c r="G557" i="3"/>
  <c r="BL556" i="3"/>
  <c r="BA555" i="3"/>
  <c r="G552" i="3"/>
  <c r="G536" i="3"/>
  <c r="G534" i="3"/>
  <c r="G512" i="3"/>
  <c r="G504" i="3"/>
  <c r="G487" i="3"/>
  <c r="G19" i="3"/>
  <c r="BL18" i="3"/>
  <c r="G17" i="3"/>
  <c r="AC5" i="3"/>
  <c r="S22" i="31"/>
  <c r="B20" i="31" s="1"/>
  <c r="G390" i="3"/>
  <c r="BL394" i="3"/>
  <c r="BA420" i="3"/>
  <c r="BL422" i="3"/>
  <c r="BA424" i="3"/>
  <c r="G429" i="3"/>
  <c r="G434" i="3"/>
  <c r="G435" i="3"/>
  <c r="G438" i="3"/>
  <c r="BL441" i="3"/>
  <c r="G444" i="3"/>
  <c r="G450" i="3"/>
  <c r="G451" i="3"/>
  <c r="BL453" i="3"/>
  <c r="G456" i="3"/>
  <c r="G470" i="3"/>
  <c r="G471" i="3"/>
  <c r="G474" i="3"/>
  <c r="G475" i="3"/>
  <c r="G478" i="3"/>
  <c r="G479" i="3"/>
  <c r="BA479" i="3"/>
  <c r="BA311" i="3"/>
  <c r="BL326" i="3"/>
  <c r="AZ326" i="3" s="1"/>
  <c r="BL330" i="3"/>
  <c r="G331" i="3"/>
  <c r="BL335" i="3"/>
  <c r="BL351" i="3"/>
  <c r="F12" i="1"/>
  <c r="AP12" i="1" s="1"/>
  <c r="G44" i="46"/>
  <c r="G389" i="3"/>
  <c r="G394" i="3"/>
  <c r="BA395" i="3"/>
  <c r="BA397" i="3"/>
  <c r="BL397" i="3"/>
  <c r="BA400" i="3"/>
  <c r="G404" i="3"/>
  <c r="G414" i="3"/>
  <c r="G418" i="3"/>
  <c r="G422" i="3"/>
  <c r="BL425" i="3"/>
  <c r="G428" i="3"/>
  <c r="G432" i="3"/>
  <c r="BA434" i="3"/>
  <c r="BL436" i="3"/>
  <c r="G437" i="3"/>
  <c r="BA444" i="3"/>
  <c r="BL472" i="3"/>
  <c r="G473" i="3"/>
  <c r="BA474" i="3"/>
  <c r="BL476" i="3"/>
  <c r="G477" i="3"/>
  <c r="G305" i="3"/>
  <c r="BL308" i="3"/>
  <c r="AZ308" i="3" s="1"/>
  <c r="G309" i="3"/>
  <c r="G313" i="3"/>
  <c r="BL342" i="3"/>
  <c r="G569" i="3"/>
  <c r="G561" i="3"/>
  <c r="G556" i="3"/>
  <c r="G548" i="3"/>
  <c r="G540" i="3"/>
  <c r="BL538" i="3"/>
  <c r="G532" i="3"/>
  <c r="G529" i="3"/>
  <c r="G527" i="3"/>
  <c r="G526" i="3"/>
  <c r="G510" i="3"/>
  <c r="G507" i="3"/>
  <c r="G499" i="3"/>
  <c r="G498" i="3"/>
  <c r="G497" i="3"/>
  <c r="G493" i="3"/>
  <c r="G492" i="3"/>
  <c r="G486" i="3"/>
  <c r="G485" i="3"/>
  <c r="G16" i="3"/>
  <c r="BL14" i="3"/>
  <c r="AZ14" i="3" s="1"/>
  <c r="C18" i="9"/>
  <c r="G397" i="3"/>
  <c r="BL406" i="3"/>
  <c r="BA408" i="3"/>
  <c r="BL412" i="3"/>
  <c r="G413" i="3"/>
  <c r="BA414" i="3"/>
  <c r="BL416" i="3"/>
  <c r="AZ416" i="3" s="1"/>
  <c r="G417" i="3"/>
  <c r="BA428" i="3"/>
  <c r="BL430" i="3"/>
  <c r="BL445" i="3"/>
  <c r="G448" i="3"/>
  <c r="G458" i="3"/>
  <c r="BL461" i="3"/>
  <c r="BA464" i="3"/>
  <c r="G468" i="3"/>
  <c r="G472" i="3"/>
  <c r="G480" i="3"/>
  <c r="BA301" i="3"/>
  <c r="AZ301" i="3" s="1"/>
  <c r="Y35" i="59"/>
  <c r="Z35" i="59" s="1"/>
  <c r="Y36" i="59"/>
  <c r="Z36" i="59" s="1"/>
  <c r="Y37" i="59"/>
  <c r="Z37" i="59" s="1"/>
  <c r="G365" i="3"/>
  <c r="G205" i="3"/>
  <c r="G218" i="3"/>
  <c r="G221" i="3"/>
  <c r="G222" i="3"/>
  <c r="BL222" i="3"/>
  <c r="G225" i="3"/>
  <c r="BA237" i="3"/>
  <c r="BL239" i="3"/>
  <c r="G240" i="3"/>
  <c r="G250" i="3"/>
  <c r="BA252" i="3"/>
  <c r="BL252" i="3"/>
  <c r="BA255" i="3"/>
  <c r="G259" i="3"/>
  <c r="G270" i="3"/>
  <c r="BL270" i="3"/>
  <c r="BA279" i="3"/>
  <c r="G280" i="3"/>
  <c r="G286" i="3"/>
  <c r="BL286" i="3"/>
  <c r="BA295" i="3"/>
  <c r="G296" i="3"/>
  <c r="G126" i="3"/>
  <c r="BL137" i="3"/>
  <c r="G138" i="3"/>
  <c r="G139" i="3"/>
  <c r="BA139" i="3"/>
  <c r="AZ139" i="3" s="1"/>
  <c r="BL141" i="3"/>
  <c r="G142" i="3"/>
  <c r="G154" i="3"/>
  <c r="BL155" i="3"/>
  <c r="BA23" i="3"/>
  <c r="G43" i="3"/>
  <c r="BA43" i="3"/>
  <c r="G47" i="3"/>
  <c r="BA47" i="3"/>
  <c r="G51" i="3"/>
  <c r="BA51" i="3"/>
  <c r="BA70" i="3"/>
  <c r="BA80" i="3"/>
  <c r="BL81" i="3"/>
  <c r="BL82" i="3"/>
  <c r="BA83" i="3"/>
  <c r="BL86" i="3"/>
  <c r="BA93" i="3"/>
  <c r="BL98" i="3"/>
  <c r="G110" i="3"/>
  <c r="B77" i="46"/>
  <c r="BL346" i="3"/>
  <c r="AZ346" i="3" s="1"/>
  <c r="G347" i="3"/>
  <c r="BL384" i="3"/>
  <c r="G388" i="3"/>
  <c r="G210" i="3"/>
  <c r="G215" i="3"/>
  <c r="BA217" i="3"/>
  <c r="G220" i="3"/>
  <c r="G224" i="3"/>
  <c r="BL230" i="3"/>
  <c r="BA232" i="3"/>
  <c r="BL232" i="3"/>
  <c r="G239" i="3"/>
  <c r="BA249" i="3"/>
  <c r="G252" i="3"/>
  <c r="BA276" i="3"/>
  <c r="AZ276" i="3" s="1"/>
  <c r="BL276" i="3"/>
  <c r="G279" i="3"/>
  <c r="BL292" i="3"/>
  <c r="G129" i="3"/>
  <c r="G137" i="3"/>
  <c r="G141" i="3"/>
  <c r="G145" i="3"/>
  <c r="BL152" i="3"/>
  <c r="G168" i="3"/>
  <c r="G169" i="3"/>
  <c r="G176" i="3"/>
  <c r="G177" i="3"/>
  <c r="BA177" i="3"/>
  <c r="BL180" i="3"/>
  <c r="G24" i="3"/>
  <c r="BA42" i="3"/>
  <c r="G54" i="3"/>
  <c r="G63" i="3"/>
  <c r="G68" i="3"/>
  <c r="BL72" i="3"/>
  <c r="BL75" i="3"/>
  <c r="G77" i="3"/>
  <c r="G78" i="3"/>
  <c r="BA78" i="3"/>
  <c r="G81" i="3"/>
  <c r="G86" i="3"/>
  <c r="G90" i="3"/>
  <c r="G91" i="3"/>
  <c r="BA91" i="3"/>
  <c r="G98" i="3"/>
  <c r="BL102" i="3"/>
  <c r="K13" i="1"/>
  <c r="M13" i="1" s="1"/>
  <c r="B57" i="46"/>
  <c r="B68" i="46"/>
  <c r="P27" i="6"/>
  <c r="D61" i="59"/>
  <c r="C79" i="59"/>
  <c r="D79" i="59" s="1"/>
  <c r="E52" i="59"/>
  <c r="E53" i="59" s="1"/>
  <c r="U53" i="59" s="1"/>
  <c r="B60" i="59"/>
  <c r="B61" i="59" s="1"/>
  <c r="S61" i="59" s="1"/>
  <c r="M23" i="46"/>
  <c r="BA369" i="3"/>
  <c r="BL380" i="3"/>
  <c r="AZ380" i="3" s="1"/>
  <c r="G387" i="3"/>
  <c r="BL210" i="3"/>
  <c r="G213" i="3"/>
  <c r="G219" i="3"/>
  <c r="BL226" i="3"/>
  <c r="G227" i="3"/>
  <c r="G232" i="3"/>
  <c r="BA243" i="3"/>
  <c r="G247" i="3"/>
  <c r="G251" i="3"/>
  <c r="G261" i="3"/>
  <c r="BL262" i="3"/>
  <c r="BA264" i="3"/>
  <c r="BL264" i="3"/>
  <c r="BL273" i="3"/>
  <c r="G276" i="3"/>
  <c r="BL281" i="3"/>
  <c r="BL289" i="3"/>
  <c r="G292" i="3"/>
  <c r="BA129" i="3"/>
  <c r="BA133" i="3"/>
  <c r="BA135" i="3"/>
  <c r="AZ135" i="3" s="1"/>
  <c r="BA145" i="3"/>
  <c r="G152" i="3"/>
  <c r="BA168" i="3"/>
  <c r="BA172" i="3"/>
  <c r="BA174" i="3"/>
  <c r="AZ174" i="3" s="1"/>
  <c r="G179" i="3"/>
  <c r="G183" i="3"/>
  <c r="G187" i="3"/>
  <c r="G191" i="3"/>
  <c r="G195" i="3"/>
  <c r="G199" i="3"/>
  <c r="BL202" i="3"/>
  <c r="BL203" i="3"/>
  <c r="BA204" i="3"/>
  <c r="BL37" i="3"/>
  <c r="G40" i="3"/>
  <c r="BA55" i="3"/>
  <c r="G61" i="3"/>
  <c r="BL62" i="3"/>
  <c r="BL64" i="3"/>
  <c r="G75" i="3"/>
  <c r="BA87" i="3"/>
  <c r="G89" i="3"/>
  <c r="G97" i="3"/>
  <c r="G102" i="3"/>
  <c r="BA103" i="3"/>
  <c r="BL105" i="3"/>
  <c r="BA108" i="3"/>
  <c r="AZ108" i="3" s="1"/>
  <c r="E32" i="59"/>
  <c r="E33" i="59" s="1"/>
  <c r="U33" i="59" s="1"/>
  <c r="D25" i="59"/>
  <c r="AA38" i="21"/>
  <c r="F45" i="21"/>
  <c r="AA45" i="21" s="1"/>
  <c r="H45" i="21"/>
  <c r="AC45" i="21"/>
  <c r="H26" i="21"/>
  <c r="U26" i="21" s="1"/>
  <c r="W39" i="21"/>
  <c r="W44" i="21"/>
  <c r="S44" i="21"/>
  <c r="S31" i="21"/>
  <c r="AA31" i="21"/>
  <c r="AC27" i="21"/>
  <c r="F27" i="21"/>
  <c r="AA27" i="21" s="1"/>
  <c r="H27" i="21"/>
  <c r="AA36" i="21"/>
  <c r="AC34" i="21"/>
  <c r="S34" i="21"/>
  <c r="AA32" i="21"/>
  <c r="W32" i="21"/>
  <c r="AB32" i="21"/>
  <c r="AB26" i="21"/>
  <c r="U23" i="21"/>
  <c r="S23" i="21"/>
  <c r="W23" i="21"/>
  <c r="U19" i="21"/>
  <c r="U17" i="21"/>
  <c r="W17" i="21"/>
  <c r="AA17" i="21"/>
  <c r="AB15" i="21"/>
  <c r="W25" i="21"/>
  <c r="AC26" i="21"/>
  <c r="S26" i="21"/>
  <c r="J28" i="21"/>
  <c r="U28" i="21"/>
  <c r="AC38" i="21"/>
  <c r="U39" i="21"/>
  <c r="S39" i="21"/>
  <c r="F42" i="21"/>
  <c r="AA42" i="21" s="1"/>
  <c r="J42" i="21"/>
  <c r="AC42" i="21" s="1"/>
  <c r="H42" i="21"/>
  <c r="AB42" i="21" s="1"/>
  <c r="AC33" i="21"/>
  <c r="S33" i="21"/>
  <c r="H113" i="21"/>
  <c r="J37" i="21"/>
  <c r="H37" i="21"/>
  <c r="U37" i="21" s="1"/>
  <c r="F37" i="21"/>
  <c r="S37" i="21" s="1"/>
  <c r="AB33" i="21"/>
  <c r="AA11" i="21"/>
  <c r="AC11" i="21"/>
  <c r="AB11" i="21"/>
  <c r="S8" i="21"/>
  <c r="M43" i="9"/>
  <c r="D18" i="9"/>
  <c r="M44" i="9" s="1"/>
  <c r="H72" i="46"/>
  <c r="G72" i="46" s="1"/>
  <c r="F72" i="9"/>
  <c r="BO5" i="3"/>
  <c r="BJ5" i="3"/>
  <c r="BS5" i="3"/>
  <c r="F28" i="6" s="1"/>
  <c r="BK5" i="3"/>
  <c r="W37" i="39"/>
  <c r="AC37" i="39"/>
  <c r="R22" i="31"/>
  <c r="B21" i="31" s="1"/>
  <c r="U17" i="39"/>
  <c r="AB17" i="39"/>
  <c r="W32" i="34"/>
  <c r="AC32" i="34"/>
  <c r="BL572" i="3"/>
  <c r="BL571" i="3"/>
  <c r="AZ571" i="3" s="1"/>
  <c r="BL570" i="3"/>
  <c r="U33" i="34"/>
  <c r="AB33" i="34"/>
  <c r="AC14" i="33"/>
  <c r="W14" i="33"/>
  <c r="BA569" i="3"/>
  <c r="BL568" i="3"/>
  <c r="BA568" i="3"/>
  <c r="BL565" i="3"/>
  <c r="AZ565" i="3" s="1"/>
  <c r="BA565" i="3"/>
  <c r="BA563" i="3"/>
  <c r="AZ563" i="3" s="1"/>
  <c r="BL558" i="3"/>
  <c r="BA558" i="3"/>
  <c r="AC18" i="36"/>
  <c r="W29" i="40"/>
  <c r="AA37" i="40"/>
  <c r="AA39" i="40"/>
  <c r="AC15" i="21"/>
  <c r="AB17" i="33"/>
  <c r="W17" i="33"/>
  <c r="W19" i="37"/>
  <c r="AB26" i="35"/>
  <c r="AB14" i="36"/>
  <c r="AA20" i="36"/>
  <c r="AA15" i="21"/>
  <c r="U41" i="39"/>
  <c r="F26" i="35"/>
  <c r="AA27" i="36"/>
  <c r="W15" i="34"/>
  <c r="AC36" i="33"/>
  <c r="AC37" i="34"/>
  <c r="W37" i="34"/>
  <c r="AB23" i="35"/>
  <c r="AC34" i="40"/>
  <c r="W34" i="40"/>
  <c r="AB41" i="40"/>
  <c r="U41" i="40"/>
  <c r="S30" i="33"/>
  <c r="AA30" i="33"/>
  <c r="U12" i="21"/>
  <c r="AB12" i="21"/>
  <c r="AB43" i="21"/>
  <c r="U43" i="21"/>
  <c r="U34" i="21"/>
  <c r="AB34" i="21"/>
  <c r="AA10" i="21"/>
  <c r="S10" i="21"/>
  <c r="F14" i="21"/>
  <c r="J14" i="21"/>
  <c r="H30" i="21"/>
  <c r="U30" i="21" s="1"/>
  <c r="J30" i="21"/>
  <c r="F30" i="21"/>
  <c r="H46" i="21"/>
  <c r="J46" i="21"/>
  <c r="F46" i="21"/>
  <c r="AC8" i="34"/>
  <c r="W8" i="34"/>
  <c r="BL561" i="3"/>
  <c r="BL539" i="3"/>
  <c r="BA538" i="3"/>
  <c r="AZ538" i="3" s="1"/>
  <c r="BL537" i="3"/>
  <c r="AZ537" i="3" s="1"/>
  <c r="BL536" i="3"/>
  <c r="AZ536" i="3" s="1"/>
  <c r="BA535" i="3"/>
  <c r="AZ535" i="3" s="1"/>
  <c r="BL533" i="3"/>
  <c r="BA533" i="3"/>
  <c r="BA532" i="3"/>
  <c r="BL531" i="3"/>
  <c r="BA531" i="3"/>
  <c r="AZ531" i="3" s="1"/>
  <c r="BA530" i="3"/>
  <c r="AZ530" i="3" s="1"/>
  <c r="BL529" i="3"/>
  <c r="BA529" i="3"/>
  <c r="BL527" i="3"/>
  <c r="BA527" i="3"/>
  <c r="BA526" i="3"/>
  <c r="BL525" i="3"/>
  <c r="BA511" i="3"/>
  <c r="BL510" i="3"/>
  <c r="BL509" i="3"/>
  <c r="AZ509" i="3" s="1"/>
  <c r="BA509" i="3"/>
  <c r="BA508" i="3"/>
  <c r="AZ508" i="3" s="1"/>
  <c r="BL507" i="3"/>
  <c r="BA507" i="3"/>
  <c r="BL506" i="3"/>
  <c r="BA506" i="3"/>
  <c r="AZ506" i="3" s="1"/>
  <c r="BL505" i="3"/>
  <c r="AZ505" i="3" s="1"/>
  <c r="BA504" i="3"/>
  <c r="AZ504" i="3" s="1"/>
  <c r="BA503" i="3"/>
  <c r="BA502" i="3"/>
  <c r="AZ502" i="3" s="1"/>
  <c r="BL501" i="3"/>
  <c r="BA501" i="3"/>
  <c r="BL500" i="3"/>
  <c r="BA500" i="3"/>
  <c r="AZ500" i="3" s="1"/>
  <c r="BA499" i="3"/>
  <c r="BL498" i="3"/>
  <c r="BA498" i="3"/>
  <c r="BA497" i="3"/>
  <c r="AZ497" i="3" s="1"/>
  <c r="BL496" i="3"/>
  <c r="BA496" i="3"/>
  <c r="BL495" i="3"/>
  <c r="AZ495" i="3" s="1"/>
  <c r="BL494" i="3"/>
  <c r="BA494" i="3"/>
  <c r="BL493" i="3"/>
  <c r="BA491" i="3"/>
  <c r="AZ491" i="3" s="1"/>
  <c r="BA490" i="3"/>
  <c r="AZ490" i="3" s="1"/>
  <c r="U23" i="33"/>
  <c r="U14" i="39"/>
  <c r="S27" i="21"/>
  <c r="U16" i="36"/>
  <c r="BM5" i="3"/>
  <c r="AC21" i="39"/>
  <c r="AB34" i="33"/>
  <c r="J26" i="35"/>
  <c r="AA20" i="35"/>
  <c r="AC15" i="33"/>
  <c r="AC23" i="40"/>
  <c r="W23" i="40"/>
  <c r="W40" i="40"/>
  <c r="AC40" i="40"/>
  <c r="AC15" i="39"/>
  <c r="W15" i="39"/>
  <c r="AA16" i="39"/>
  <c r="S16" i="39"/>
  <c r="S34" i="33"/>
  <c r="AA34" i="33"/>
  <c r="AZ510" i="3"/>
  <c r="S26" i="36"/>
  <c r="AA26" i="36"/>
  <c r="AB13" i="39"/>
  <c r="U13" i="39"/>
  <c r="AA17" i="37"/>
  <c r="S17" i="37"/>
  <c r="AA40" i="37"/>
  <c r="S40" i="37"/>
  <c r="AC37" i="37"/>
  <c r="W37" i="37"/>
  <c r="AB14" i="21"/>
  <c r="U14" i="21"/>
  <c r="AB39" i="33"/>
  <c r="U39" i="33"/>
  <c r="G571" i="3"/>
  <c r="S40" i="34"/>
  <c r="AA40" i="34"/>
  <c r="AA9" i="35"/>
  <c r="S9" i="35"/>
  <c r="J12" i="35"/>
  <c r="J32" i="36"/>
  <c r="F32" i="36"/>
  <c r="S31" i="36"/>
  <c r="AA31" i="36"/>
  <c r="AZ554" i="3"/>
  <c r="BL553" i="3"/>
  <c r="BA553" i="3"/>
  <c r="U14" i="40"/>
  <c r="AB14" i="40"/>
  <c r="AA29" i="36"/>
  <c r="S29" i="36"/>
  <c r="AC39" i="37"/>
  <c r="W39" i="37"/>
  <c r="W42" i="34"/>
  <c r="AC42" i="34"/>
  <c r="AA34" i="37"/>
  <c r="S34" i="37"/>
  <c r="BA567" i="3"/>
  <c r="BL560" i="3"/>
  <c r="BA560" i="3"/>
  <c r="BA557" i="3"/>
  <c r="W11" i="33"/>
  <c r="AC11" i="33"/>
  <c r="W14" i="37"/>
  <c r="AC14" i="37"/>
  <c r="AC27" i="33"/>
  <c r="W27" i="33"/>
  <c r="U31" i="21"/>
  <c r="AB31" i="21"/>
  <c r="S28" i="21"/>
  <c r="AA28" i="21"/>
  <c r="AB9" i="36"/>
  <c r="U9" i="36"/>
  <c r="J24" i="36"/>
  <c r="F24" i="36"/>
  <c r="H24" i="36"/>
  <c r="AC41" i="33"/>
  <c r="W41" i="33"/>
  <c r="F37" i="39"/>
  <c r="H37" i="39"/>
  <c r="BL566" i="3"/>
  <c r="AZ566" i="3" s="1"/>
  <c r="BL559" i="3"/>
  <c r="BA18" i="3"/>
  <c r="AZ18" i="3" s="1"/>
  <c r="AA44" i="39"/>
  <c r="S43" i="33"/>
  <c r="S28" i="37"/>
  <c r="BC5" i="3"/>
  <c r="W44" i="34"/>
  <c r="U32" i="36"/>
  <c r="W14" i="40"/>
  <c r="AC14" i="40"/>
  <c r="S41" i="40"/>
  <c r="AA41" i="40"/>
  <c r="AB27" i="39"/>
  <c r="U27" i="39"/>
  <c r="F14" i="39"/>
  <c r="BB5" i="3"/>
  <c r="E5" i="6" s="1"/>
  <c r="D12" i="11" s="1"/>
  <c r="C12" i="11" s="1"/>
  <c r="W30" i="34"/>
  <c r="AC30" i="34"/>
  <c r="AC12" i="34"/>
  <c r="W12" i="34"/>
  <c r="AB28" i="33"/>
  <c r="S25" i="35"/>
  <c r="AB27" i="37"/>
  <c r="W13" i="36"/>
  <c r="AC13" i="36"/>
  <c r="H45" i="33"/>
  <c r="F45" i="33"/>
  <c r="J45" i="33"/>
  <c r="H14" i="34"/>
  <c r="F14" i="34"/>
  <c r="F32" i="34"/>
  <c r="H32" i="34"/>
  <c r="J24" i="35"/>
  <c r="F24" i="35"/>
  <c r="J12" i="36"/>
  <c r="H12" i="36"/>
  <c r="F12" i="36"/>
  <c r="W30" i="37"/>
  <c r="AC30" i="37"/>
  <c r="J9" i="37"/>
  <c r="F9" i="37"/>
  <c r="H9" i="37"/>
  <c r="F13" i="37"/>
  <c r="J13" i="37"/>
  <c r="H13" i="37"/>
  <c r="BL481" i="3"/>
  <c r="BH5" i="3"/>
  <c r="BA481" i="3"/>
  <c r="BA20" i="3"/>
  <c r="BL19" i="3"/>
  <c r="AZ19" i="3" s="1"/>
  <c r="AZ338" i="3"/>
  <c r="BL492" i="3"/>
  <c r="U13" i="35"/>
  <c r="AB13" i="35"/>
  <c r="U44" i="33"/>
  <c r="AB44" i="33"/>
  <c r="H27" i="33"/>
  <c r="F27" i="33"/>
  <c r="S27" i="33" s="1"/>
  <c r="AC39" i="34"/>
  <c r="W39" i="34"/>
  <c r="W31" i="36"/>
  <c r="AC31" i="36"/>
  <c r="BL569" i="3"/>
  <c r="BA566" i="3"/>
  <c r="BA559" i="3"/>
  <c r="AZ559" i="3" s="1"/>
  <c r="BL555" i="3"/>
  <c r="BA528" i="3"/>
  <c r="AZ528" i="3" s="1"/>
  <c r="BL511" i="3"/>
  <c r="BL503" i="3"/>
  <c r="BA493" i="3"/>
  <c r="BA492" i="3"/>
  <c r="AB46" i="39"/>
  <c r="U42" i="40"/>
  <c r="AC13" i="33"/>
  <c r="AA11" i="36"/>
  <c r="AC15" i="40"/>
  <c r="W44" i="33"/>
  <c r="AB45" i="34"/>
  <c r="AZ298" i="3"/>
  <c r="AZ343" i="3"/>
  <c r="U31" i="37"/>
  <c r="AB31" i="37"/>
  <c r="AA9" i="21"/>
  <c r="BL532" i="3"/>
  <c r="BL552" i="3"/>
  <c r="AZ552" i="3" s="1"/>
  <c r="BL562" i="3"/>
  <c r="AZ562" i="3" s="1"/>
  <c r="AZ541" i="3"/>
  <c r="J34" i="36"/>
  <c r="C23" i="39"/>
  <c r="AA41" i="21"/>
  <c r="J9" i="21"/>
  <c r="G570" i="3"/>
  <c r="F28" i="34"/>
  <c r="H28" i="34"/>
  <c r="AC23" i="35"/>
  <c r="W23" i="35"/>
  <c r="F25" i="37"/>
  <c r="BL545" i="3"/>
  <c r="BA521" i="3"/>
  <c r="AZ521" i="3" s="1"/>
  <c r="BA512" i="3"/>
  <c r="AZ512" i="3" s="1"/>
  <c r="G490" i="3"/>
  <c r="U34" i="39"/>
  <c r="U39" i="39"/>
  <c r="AZ522" i="3"/>
  <c r="AZ548" i="3"/>
  <c r="AZ339" i="3"/>
  <c r="AB32" i="33"/>
  <c r="U32" i="33"/>
  <c r="AA19" i="21"/>
  <c r="H9" i="21"/>
  <c r="B99" i="46"/>
  <c r="C29" i="39"/>
  <c r="F31" i="33"/>
  <c r="BA556" i="3"/>
  <c r="BA545" i="3"/>
  <c r="BL543" i="3"/>
  <c r="AZ383" i="3"/>
  <c r="AZ374" i="3"/>
  <c r="AZ328" i="3"/>
  <c r="AZ381" i="3"/>
  <c r="AZ331" i="3"/>
  <c r="AZ322" i="3"/>
  <c r="BL514" i="3"/>
  <c r="AZ514" i="3" s="1"/>
  <c r="BL546" i="3"/>
  <c r="BL564" i="3"/>
  <c r="AZ564" i="3" s="1"/>
  <c r="S37" i="33"/>
  <c r="G564" i="3"/>
  <c r="G551" i="3"/>
  <c r="G533" i="3"/>
  <c r="G505" i="3"/>
  <c r="G496" i="3"/>
  <c r="G495" i="3"/>
  <c r="G489" i="3"/>
  <c r="G15" i="3"/>
  <c r="G568" i="3"/>
  <c r="G559" i="3"/>
  <c r="G547" i="3"/>
  <c r="G541" i="3"/>
  <c r="G524" i="3"/>
  <c r="G511" i="3"/>
  <c r="G500" i="3"/>
  <c r="G481" i="3"/>
  <c r="G14" i="3"/>
  <c r="G391" i="3"/>
  <c r="BL391" i="3"/>
  <c r="BL396" i="3"/>
  <c r="G399" i="3"/>
  <c r="BA399" i="3"/>
  <c r="BL401" i="3"/>
  <c r="BA404" i="3"/>
  <c r="G419" i="3"/>
  <c r="BL419" i="3"/>
  <c r="G439" i="3"/>
  <c r="BA439" i="3"/>
  <c r="BA448" i="3"/>
  <c r="BA458" i="3"/>
  <c r="G463" i="3"/>
  <c r="BA463" i="3"/>
  <c r="BA465" i="3"/>
  <c r="BL465" i="3"/>
  <c r="BA468" i="3"/>
  <c r="AZ468" i="3" s="1"/>
  <c r="BA334" i="3"/>
  <c r="D76" i="59"/>
  <c r="C75" i="59"/>
  <c r="D75" i="59" s="1"/>
  <c r="C71" i="59"/>
  <c r="D71" i="59" s="1"/>
  <c r="D72" i="59"/>
  <c r="D68" i="59"/>
  <c r="C67" i="59"/>
  <c r="Y34" i="59"/>
  <c r="Z34" i="59" s="1"/>
  <c r="C35" i="59"/>
  <c r="C52" i="59"/>
  <c r="D51" i="59"/>
  <c r="T69" i="59"/>
  <c r="O69" i="59"/>
  <c r="D69" i="59"/>
  <c r="T77" i="59"/>
  <c r="D77" i="59"/>
  <c r="E29" i="59"/>
  <c r="U29" i="59" s="1"/>
  <c r="AA29" i="59"/>
  <c r="AA27" i="59"/>
  <c r="G12" i="1"/>
  <c r="BL393" i="3"/>
  <c r="G396" i="3"/>
  <c r="BA398" i="3"/>
  <c r="BL400" i="3"/>
  <c r="AZ400" i="3" s="1"/>
  <c r="G401" i="3"/>
  <c r="G403" i="3"/>
  <c r="BA403" i="3"/>
  <c r="BA405" i="3"/>
  <c r="BL405" i="3"/>
  <c r="G408" i="3"/>
  <c r="G409" i="3"/>
  <c r="BA412" i="3"/>
  <c r="AZ412" i="3" s="1"/>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36" i="3"/>
  <c r="G363" i="3"/>
  <c r="BA388" i="3"/>
  <c r="BA224" i="3"/>
  <c r="BL389" i="3"/>
  <c r="G392" i="3"/>
  <c r="G393" i="3"/>
  <c r="BA396" i="3"/>
  <c r="G400" i="3"/>
  <c r="BA402" i="3"/>
  <c r="BL404" i="3"/>
  <c r="G405" i="3"/>
  <c r="BA411" i="3"/>
  <c r="BA413" i="3"/>
  <c r="BL413" i="3"/>
  <c r="BA416" i="3"/>
  <c r="G420" i="3"/>
  <c r="G421" i="3"/>
  <c r="BA427" i="3"/>
  <c r="BA433" i="3"/>
  <c r="BL433" i="3"/>
  <c r="BA436" i="3"/>
  <c r="G440" i="3"/>
  <c r="BA443" i="3"/>
  <c r="BL448" i="3"/>
  <c r="G449" i="3"/>
  <c r="BL455" i="3"/>
  <c r="BA457" i="3"/>
  <c r="BL457" i="3"/>
  <c r="BA460" i="3"/>
  <c r="G464" i="3"/>
  <c r="BA466" i="3"/>
  <c r="BL468" i="3"/>
  <c r="G469" i="3"/>
  <c r="BA471" i="3"/>
  <c r="BA473" i="3"/>
  <c r="BL473" i="3"/>
  <c r="BA476" i="3"/>
  <c r="AA18" i="35"/>
  <c r="S18" i="35"/>
  <c r="BL407" i="3"/>
  <c r="BA415" i="3"/>
  <c r="BA417" i="3"/>
  <c r="BL417" i="3"/>
  <c r="BL423" i="3"/>
  <c r="BL429" i="3"/>
  <c r="G433" i="3"/>
  <c r="BL435" i="3"/>
  <c r="BA437" i="3"/>
  <c r="BL437" i="3"/>
  <c r="BA440" i="3"/>
  <c r="AZ440" i="3" s="1"/>
  <c r="BA451" i="3"/>
  <c r="BA459" i="3"/>
  <c r="BA470" i="3"/>
  <c r="BA475" i="3"/>
  <c r="BL477" i="3"/>
  <c r="BA480" i="3"/>
  <c r="AZ480" i="3" s="1"/>
  <c r="G315" i="3"/>
  <c r="BL319" i="3"/>
  <c r="G320" i="3"/>
  <c r="BA212" i="3"/>
  <c r="G230" i="3"/>
  <c r="G249" i="3"/>
  <c r="G269" i="3"/>
  <c r="BA275" i="3"/>
  <c r="G285" i="3"/>
  <c r="BA291" i="3"/>
  <c r="AA3" i="59"/>
  <c r="BA353" i="3"/>
  <c r="AZ353" i="3" s="1"/>
  <c r="BA383" i="3"/>
  <c r="BA221" i="3"/>
  <c r="BL223" i="3"/>
  <c r="G226" i="3"/>
  <c r="BA227" i="3"/>
  <c r="BL231" i="3"/>
  <c r="G234" i="3"/>
  <c r="BL234" i="3"/>
  <c r="BA241" i="3"/>
  <c r="BA244" i="3"/>
  <c r="BL244" i="3"/>
  <c r="BA247" i="3"/>
  <c r="G254" i="3"/>
  <c r="BL254" i="3"/>
  <c r="BA256" i="3"/>
  <c r="BL256" i="3"/>
  <c r="BA261" i="3"/>
  <c r="BL263" i="3"/>
  <c r="G266" i="3"/>
  <c r="BL266" i="3"/>
  <c r="BL272" i="3"/>
  <c r="G282" i="3"/>
  <c r="BL282" i="3"/>
  <c r="BL288" i="3"/>
  <c r="BA113" i="3"/>
  <c r="BA117" i="3"/>
  <c r="AZ117" i="3" s="1"/>
  <c r="BA119" i="3"/>
  <c r="AZ119" i="3" s="1"/>
  <c r="G123" i="3"/>
  <c r="BA123" i="3"/>
  <c r="AZ123" i="3" s="1"/>
  <c r="BL125" i="3"/>
  <c r="BA132" i="3"/>
  <c r="BA148" i="3"/>
  <c r="G153" i="3"/>
  <c r="BL157" i="3"/>
  <c r="AZ157" i="3" s="1"/>
  <c r="G162" i="3"/>
  <c r="BA162" i="3"/>
  <c r="AZ162" i="3" s="1"/>
  <c r="BL164" i="3"/>
  <c r="BA171" i="3"/>
  <c r="BA176" i="3"/>
  <c r="BL178" i="3"/>
  <c r="AZ178" i="3" s="1"/>
  <c r="BA180" i="3"/>
  <c r="BA26" i="3"/>
  <c r="G31" i="3"/>
  <c r="BA31" i="3"/>
  <c r="AZ31" i="3" s="1"/>
  <c r="G35" i="3"/>
  <c r="BA35" i="3"/>
  <c r="AZ35" i="3" s="1"/>
  <c r="C56" i="59"/>
  <c r="BL316" i="3"/>
  <c r="AZ316" i="3" s="1"/>
  <c r="G317" i="3"/>
  <c r="BA319" i="3"/>
  <c r="BA325" i="3"/>
  <c r="AZ325" i="3" s="1"/>
  <c r="G329" i="3"/>
  <c r="BL332" i="3"/>
  <c r="AZ332" i="3" s="1"/>
  <c r="G333" i="3"/>
  <c r="BA335" i="3"/>
  <c r="G345" i="3"/>
  <c r="G352" i="3"/>
  <c r="BL368" i="3"/>
  <c r="AZ368" i="3" s="1"/>
  <c r="G370" i="3"/>
  <c r="BA371" i="3"/>
  <c r="AZ371" i="3" s="1"/>
  <c r="BA205" i="3"/>
  <c r="BL206" i="3"/>
  <c r="G211" i="3"/>
  <c r="BA213" i="3"/>
  <c r="BL214" i="3"/>
  <c r="BA219" i="3"/>
  <c r="G223" i="3"/>
  <c r="BA225" i="3"/>
  <c r="BA233" i="3"/>
  <c r="BA236" i="3"/>
  <c r="BL236" i="3"/>
  <c r="BA239" i="3"/>
  <c r="G243" i="3"/>
  <c r="G244" i="3"/>
  <c r="G246" i="3"/>
  <c r="BL246" i="3"/>
  <c r="BA248" i="3"/>
  <c r="BL248" i="3"/>
  <c r="BA253" i="3"/>
  <c r="BL255" i="3"/>
  <c r="AZ255" i="3" s="1"/>
  <c r="G256" i="3"/>
  <c r="G258" i="3"/>
  <c r="BL258" i="3"/>
  <c r="G263" i="3"/>
  <c r="BA265" i="3"/>
  <c r="BA268" i="3"/>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AZ172" i="3" s="1"/>
  <c r="G173" i="3"/>
  <c r="G178" i="3"/>
  <c r="BA183" i="3"/>
  <c r="BA187" i="3"/>
  <c r="BA191" i="3"/>
  <c r="BA195" i="3"/>
  <c r="BA199" i="3"/>
  <c r="G202" i="3"/>
  <c r="G203" i="3"/>
  <c r="BA203" i="3"/>
  <c r="AZ203" i="3" s="1"/>
  <c r="G25" i="3"/>
  <c r="BL41" i="3"/>
  <c r="G42" i="3"/>
  <c r="BA45" i="3"/>
  <c r="BL46" i="3"/>
  <c r="BL47" i="3"/>
  <c r="AZ47" i="3" s="1"/>
  <c r="BA49" i="3"/>
  <c r="BL50" i="3"/>
  <c r="BL51" i="3"/>
  <c r="BA52" i="3"/>
  <c r="G57" i="3"/>
  <c r="C65" i="59"/>
  <c r="D64" i="59"/>
  <c r="X32" i="59"/>
  <c r="X33" i="59"/>
  <c r="AB27" i="59"/>
  <c r="B24" i="59"/>
  <c r="B23" i="59" s="1"/>
  <c r="B22" i="59" s="1"/>
  <c r="B21" i="59" s="1"/>
  <c r="B20" i="59" s="1"/>
  <c r="B19" i="59" s="1"/>
  <c r="B18" i="59" s="1"/>
  <c r="S25" i="59"/>
  <c r="F25" i="59"/>
  <c r="AB3" i="59"/>
  <c r="BA341" i="3"/>
  <c r="AZ341" i="3" s="1"/>
  <c r="G349" i="3"/>
  <c r="BA350" i="3"/>
  <c r="G367"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AZ164" i="3" s="1"/>
  <c r="BA166" i="3"/>
  <c r="AZ166" i="3" s="1"/>
  <c r="G172" i="3"/>
  <c r="BL175" i="3"/>
  <c r="G181" i="3"/>
  <c r="BA186" i="3"/>
  <c r="BA194" i="3"/>
  <c r="BA39" i="3"/>
  <c r="BA67" i="3"/>
  <c r="BA74"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60" i="3"/>
  <c r="G62" i="3"/>
  <c r="BA63" i="3"/>
  <c r="AZ63" i="3" s="1"/>
  <c r="BL68" i="3"/>
  <c r="G70" i="3"/>
  <c r="BA73" i="3"/>
  <c r="BA76" i="3"/>
  <c r="BL77" i="3"/>
  <c r="BL78" i="3"/>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39" i="3"/>
  <c r="O40" i="9"/>
  <c r="K31" i="9" s="1"/>
  <c r="K32" i="9" s="1"/>
  <c r="AZ526" i="3"/>
  <c r="H5" i="3"/>
  <c r="BA570" i="3"/>
  <c r="BE5" i="3"/>
  <c r="B94" i="46"/>
  <c r="B84" i="46"/>
  <c r="AZ340" i="3"/>
  <c r="AZ329" i="3"/>
  <c r="AZ355" i="3"/>
  <c r="AC28" i="34"/>
  <c r="AZ546" i="3"/>
  <c r="AZ550" i="3"/>
  <c r="AZ555" i="3"/>
  <c r="AB40" i="37"/>
  <c r="W35" i="35"/>
  <c r="AC31" i="34"/>
  <c r="J9" i="33"/>
  <c r="F9" i="33"/>
  <c r="H9" i="3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B101" i="46"/>
  <c r="B79" i="46"/>
  <c r="F9" i="36"/>
  <c r="G567" i="3"/>
  <c r="G563" i="3"/>
  <c r="AZ396" i="3"/>
  <c r="AZ436" i="3"/>
  <c r="AZ448" i="3"/>
  <c r="AZ460" i="3"/>
  <c r="AZ464" i="3"/>
  <c r="AZ476" i="3"/>
  <c r="AZ319" i="3"/>
  <c r="AZ335" i="3"/>
  <c r="BA351" i="3"/>
  <c r="AZ351" i="3" s="1"/>
  <c r="BL360" i="3"/>
  <c r="AZ360" i="3" s="1"/>
  <c r="BL366" i="3"/>
  <c r="AZ366" i="3" s="1"/>
  <c r="BL376" i="3"/>
  <c r="AZ376" i="3" s="1"/>
  <c r="BL382" i="3"/>
  <c r="AZ382" i="3" s="1"/>
  <c r="BL388" i="3"/>
  <c r="BA207" i="3"/>
  <c r="AZ207" i="3" s="1"/>
  <c r="BL208" i="3"/>
  <c r="BL212" i="3"/>
  <c r="AZ212" i="3" s="1"/>
  <c r="BA215" i="3"/>
  <c r="BL216" i="3"/>
  <c r="AZ216" i="3" s="1"/>
  <c r="BL220" i="3"/>
  <c r="AZ220" i="3" s="1"/>
  <c r="BA223" i="3"/>
  <c r="BL224" i="3"/>
  <c r="BL228" i="3"/>
  <c r="AZ228" i="3" s="1"/>
  <c r="BL229" i="3"/>
  <c r="G231" i="3"/>
  <c r="BA389" i="3"/>
  <c r="BA393" i="3"/>
  <c r="AZ393" i="3" s="1"/>
  <c r="BL398" i="3"/>
  <c r="AZ398" i="3" s="1"/>
  <c r="BA401" i="3"/>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BL458" i="3"/>
  <c r="AZ458" i="3" s="1"/>
  <c r="BA461" i="3"/>
  <c r="AZ461" i="3" s="1"/>
  <c r="BL462" i="3"/>
  <c r="AZ462" i="3" s="1"/>
  <c r="BL466" i="3"/>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BL217" i="3"/>
  <c r="AZ217" i="3" s="1"/>
  <c r="BL221" i="3"/>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BL475" i="3"/>
  <c r="BL479" i="3"/>
  <c r="BL310" i="3"/>
  <c r="AZ310" i="3" s="1"/>
  <c r="BL314" i="3"/>
  <c r="AZ314" i="3" s="1"/>
  <c r="BA384" i="3"/>
  <c r="AZ384" i="3" s="1"/>
  <c r="BA229" i="3"/>
  <c r="A30" i="51"/>
  <c r="B22" i="63" s="1"/>
  <c r="A30" i="64"/>
  <c r="BA391" i="3"/>
  <c r="AZ391" i="3" s="1"/>
  <c r="BL392" i="3"/>
  <c r="AZ392" i="3" s="1"/>
  <c r="BA407" i="3"/>
  <c r="AZ407" i="3" s="1"/>
  <c r="BL408" i="3"/>
  <c r="BA419" i="3"/>
  <c r="AZ419" i="3" s="1"/>
  <c r="BL420" i="3"/>
  <c r="AZ420" i="3" s="1"/>
  <c r="BA423" i="3"/>
  <c r="AZ423" i="3" s="1"/>
  <c r="BL424" i="3"/>
  <c r="AZ424" i="3" s="1"/>
  <c r="BL428" i="3"/>
  <c r="AZ428" i="3" s="1"/>
  <c r="BA431" i="3"/>
  <c r="AZ431" i="3" s="1"/>
  <c r="BL432" i="3"/>
  <c r="AZ432" i="3" s="1"/>
  <c r="BA435" i="3"/>
  <c r="BL444" i="3"/>
  <c r="AZ444" i="3" s="1"/>
  <c r="BL452" i="3"/>
  <c r="AZ452" i="3" s="1"/>
  <c r="BA455" i="3"/>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25" i="3"/>
  <c r="AZ133" i="3"/>
  <c r="AZ141" i="3"/>
  <c r="BA149" i="3"/>
  <c r="AZ149" i="3" s="1"/>
  <c r="BL233" i="3"/>
  <c r="AZ233" i="3" s="1"/>
  <c r="BL237" i="3"/>
  <c r="AZ237" i="3" s="1"/>
  <c r="BL241" i="3"/>
  <c r="AZ241" i="3" s="1"/>
  <c r="BL245" i="3"/>
  <c r="BL249" i="3"/>
  <c r="AZ249" i="3" s="1"/>
  <c r="BL253" i="3"/>
  <c r="BL257" i="3"/>
  <c r="AZ257" i="3" s="1"/>
  <c r="BL261" i="3"/>
  <c r="AZ261" i="3" s="1"/>
  <c r="BL265" i="3"/>
  <c r="AZ265" i="3" s="1"/>
  <c r="BA272" i="3"/>
  <c r="AZ272" i="3" s="1"/>
  <c r="BA280" i="3"/>
  <c r="AZ280" i="3" s="1"/>
  <c r="BA288" i="3"/>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BL116" i="3"/>
  <c r="BA121" i="3"/>
  <c r="AZ121" i="3" s="1"/>
  <c r="BL124" i="3"/>
  <c r="AZ124" i="3" s="1"/>
  <c r="BL132" i="3"/>
  <c r="AZ132" i="3" s="1"/>
  <c r="BA137" i="3"/>
  <c r="BL140" i="3"/>
  <c r="AZ140" i="3" s="1"/>
  <c r="BL148" i="3"/>
  <c r="AZ148" i="3" s="1"/>
  <c r="BA152" i="3"/>
  <c r="AZ152" i="3" s="1"/>
  <c r="BA230" i="3"/>
  <c r="AZ230" i="3" s="1"/>
  <c r="BA234" i="3"/>
  <c r="AZ234" i="3" s="1"/>
  <c r="BL235" i="3"/>
  <c r="BA238" i="3"/>
  <c r="AZ238" i="3" s="1"/>
  <c r="BA242" i="3"/>
  <c r="AZ242" i="3" s="1"/>
  <c r="BL243" i="3"/>
  <c r="AZ243" i="3" s="1"/>
  <c r="BA246" i="3"/>
  <c r="AZ246" i="3" s="1"/>
  <c r="BA250" i="3"/>
  <c r="BL251" i="3"/>
  <c r="BA254" i="3"/>
  <c r="AZ254" i="3" s="1"/>
  <c r="BA258" i="3"/>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BL183" i="3"/>
  <c r="AZ183" i="3" s="1"/>
  <c r="BL191" i="3"/>
  <c r="BL199" i="3"/>
  <c r="AZ199" i="3" s="1"/>
  <c r="BL204" i="3"/>
  <c r="AZ204" i="3" s="1"/>
  <c r="BL24" i="3"/>
  <c r="AZ24" i="3" s="1"/>
  <c r="BL36" i="3"/>
  <c r="AZ36" i="3" s="1"/>
  <c r="BL40" i="3"/>
  <c r="AZ40" i="3" s="1"/>
  <c r="BL52" i="3"/>
  <c r="BL56" i="3"/>
  <c r="AZ56" i="3" s="1"/>
  <c r="BL59" i="3"/>
  <c r="AZ59" i="3" s="1"/>
  <c r="BA65" i="3"/>
  <c r="AZ65" i="3" s="1"/>
  <c r="BL70" i="3"/>
  <c r="AZ70" i="3" s="1"/>
  <c r="BA72" i="3"/>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AZ29" i="3" s="1"/>
  <c r="BA32" i="3"/>
  <c r="AZ32" i="3" s="1"/>
  <c r="BL33" i="3"/>
  <c r="BA44" i="3"/>
  <c r="AZ44" i="3" s="1"/>
  <c r="BL45" i="3"/>
  <c r="BA48" i="3"/>
  <c r="AZ48" i="3" s="1"/>
  <c r="BL49" i="3"/>
  <c r="BA62" i="3"/>
  <c r="AZ62" i="3" s="1"/>
  <c r="BA66" i="3"/>
  <c r="AZ66" i="3" s="1"/>
  <c r="BL67" i="3"/>
  <c r="BL71" i="3"/>
  <c r="AZ71" i="3" s="1"/>
  <c r="BL74" i="3"/>
  <c r="AZ74" i="3" s="1"/>
  <c r="BA77" i="3"/>
  <c r="AZ77" i="3" s="1"/>
  <c r="BA81" i="3"/>
  <c r="AZ81" i="3" s="1"/>
  <c r="G88" i="3"/>
  <c r="BA92" i="3"/>
  <c r="AZ92" i="3" s="1"/>
  <c r="BA94" i="3"/>
  <c r="G104" i="3"/>
  <c r="BA158" i="3"/>
  <c r="AZ158" i="3" s="1"/>
  <c r="BA160" i="3"/>
  <c r="AZ160" i="3" s="1"/>
  <c r="BL171" i="3"/>
  <c r="BL177" i="3"/>
  <c r="AZ177" i="3" s="1"/>
  <c r="BL187" i="3"/>
  <c r="BL195" i="3"/>
  <c r="AZ195" i="3" s="1"/>
  <c r="BA21" i="3"/>
  <c r="AZ21" i="3" s="1"/>
  <c r="BL22" i="3"/>
  <c r="AZ22" i="3" s="1"/>
  <c r="BA25" i="3"/>
  <c r="AZ25" i="3" s="1"/>
  <c r="BL26" i="3"/>
  <c r="AZ26" i="3" s="1"/>
  <c r="BA37" i="3"/>
  <c r="AZ37" i="3" s="1"/>
  <c r="BL38" i="3"/>
  <c r="AZ38" i="3" s="1"/>
  <c r="BA41" i="3"/>
  <c r="BL42" i="3"/>
  <c r="AZ42" i="3" s="1"/>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X19" i="59"/>
  <c r="AA19" i="59"/>
  <c r="X15" i="59"/>
  <c r="O67" i="59"/>
  <c r="X28" i="59"/>
  <c r="AB26" i="59"/>
  <c r="F29" i="59"/>
  <c r="AB29" i="59"/>
  <c r="AB28" i="59"/>
  <c r="Y25" i="59"/>
  <c r="Z25" i="59" s="1"/>
  <c r="X22" i="59"/>
  <c r="AB24" i="59"/>
  <c r="X18" i="59"/>
  <c r="AA18" i="59"/>
  <c r="Y12" i="59"/>
  <c r="Z12" i="59" s="1"/>
  <c r="BL90" i="3"/>
  <c r="AZ90" i="3" s="1"/>
  <c r="BL94" i="3"/>
  <c r="BA97" i="3"/>
  <c r="AZ97" i="3" s="1"/>
  <c r="BA101" i="3"/>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D86" i="46"/>
  <c r="J83" i="46"/>
  <c r="D83" i="46"/>
  <c r="D85" i="46"/>
  <c r="D88"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E8" i="6"/>
  <c r="E53" i="40" s="1"/>
  <c r="AZ20" i="3"/>
  <c r="AZ484" i="3"/>
  <c r="AZ395" i="3"/>
  <c r="AZ397" i="3"/>
  <c r="AZ411" i="3"/>
  <c r="AZ413" i="3"/>
  <c r="AZ427" i="3"/>
  <c r="AZ437" i="3"/>
  <c r="AZ443" i="3"/>
  <c r="AZ465" i="3"/>
  <c r="AZ206" i="3"/>
  <c r="AZ116" i="3"/>
  <c r="BT5" i="3"/>
  <c r="G28" i="6" s="1"/>
  <c r="G30" i="6" s="1"/>
  <c r="G31" i="6" s="1"/>
  <c r="BI5" i="3"/>
  <c r="BG5" i="3"/>
  <c r="AZ208" i="3"/>
  <c r="AZ211" i="3"/>
  <c r="AZ227" i="3"/>
  <c r="AZ235" i="3"/>
  <c r="AZ251" i="3"/>
  <c r="AZ259" i="3"/>
  <c r="AZ271" i="3"/>
  <c r="AZ287" i="3"/>
  <c r="AZ168" i="3"/>
  <c r="AZ186" i="3"/>
  <c r="AZ190" i="3"/>
  <c r="AZ33" i="3"/>
  <c r="AZ45" i="3"/>
  <c r="AZ69" i="3"/>
  <c r="AZ80"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J1" i="65"/>
  <c r="C27" i="15"/>
  <c r="F64" i="15"/>
  <c r="F70" i="15"/>
  <c r="M9" i="44"/>
  <c r="J8" i="44" s="1"/>
  <c r="L59" i="15"/>
  <c r="L58" i="15"/>
  <c r="J53" i="15"/>
  <c r="J57" i="15"/>
  <c r="J55" i="15" s="1"/>
  <c r="J58" i="15" s="1"/>
  <c r="Q51" i="15" s="1"/>
  <c r="I54" i="15"/>
  <c r="L56" i="15"/>
  <c r="F49" i="15"/>
  <c r="M7" i="15"/>
  <c r="I55" i="44"/>
  <c r="J54" i="44"/>
  <c r="L57" i="44"/>
  <c r="J58" i="44"/>
  <c r="J56" i="44" s="1"/>
  <c r="J59" i="44" s="1"/>
  <c r="Q52" i="44" s="1"/>
  <c r="Q72" i="15"/>
  <c r="C4" i="65"/>
  <c r="B39" i="1" s="1"/>
  <c r="F6" i="15"/>
  <c r="M8" i="15"/>
  <c r="M6" i="15"/>
  <c r="F36" i="15"/>
  <c r="M29" i="15"/>
  <c r="F8" i="15"/>
  <c r="C15" i="12"/>
  <c r="C16" i="15"/>
  <c r="L48" i="44"/>
  <c r="E3" i="65"/>
  <c r="F40" i="15"/>
  <c r="M23" i="15"/>
  <c r="F10" i="44"/>
  <c r="J4" i="65"/>
  <c r="M31" i="44"/>
  <c r="C18" i="44"/>
  <c r="M22" i="15"/>
  <c r="M24" i="15"/>
  <c r="F38" i="15"/>
  <c r="E2" i="65"/>
  <c r="F65" i="15" l="1"/>
  <c r="F67" i="15"/>
  <c r="F50" i="15"/>
  <c r="C48" i="15" s="1"/>
  <c r="F63" i="15"/>
  <c r="F48" i="15"/>
  <c r="F31" i="15"/>
  <c r="C6" i="15"/>
  <c r="C32" i="15" s="1"/>
  <c r="M77" i="46"/>
  <c r="N77" i="46" s="1"/>
  <c r="K77" i="46"/>
  <c r="J77" i="46" s="1"/>
  <c r="D77" i="46" s="1"/>
  <c r="K72" i="46"/>
  <c r="M72" i="46"/>
  <c r="N72" i="46" s="1"/>
  <c r="S13" i="36"/>
  <c r="AA13" i="36"/>
  <c r="AA33" i="39"/>
  <c r="S33" i="39"/>
  <c r="W25" i="36"/>
  <c r="AC25" i="36"/>
  <c r="S13" i="35"/>
  <c r="AA13" i="35"/>
  <c r="U29" i="34"/>
  <c r="AB29" i="34"/>
  <c r="AC36" i="35"/>
  <c r="W36" i="35"/>
  <c r="S29" i="21"/>
  <c r="AA29" i="21"/>
  <c r="U15" i="39"/>
  <c r="AB15" i="39"/>
  <c r="M17" i="15"/>
  <c r="M73" i="46"/>
  <c r="N73" i="46" s="1"/>
  <c r="K73" i="46"/>
  <c r="J73" i="46" s="1"/>
  <c r="K75" i="46"/>
  <c r="J75" i="46" s="1"/>
  <c r="M75" i="46"/>
  <c r="K78" i="46"/>
  <c r="J78" i="46" s="1"/>
  <c r="D78" i="46" s="1"/>
  <c r="M78" i="46"/>
  <c r="N78" i="46" s="1"/>
  <c r="AZ86" i="3"/>
  <c r="AZ101" i="3"/>
  <c r="AZ41" i="3"/>
  <c r="AZ187" i="3"/>
  <c r="AZ72" i="3"/>
  <c r="AZ137" i="3"/>
  <c r="AZ288" i="3"/>
  <c r="AZ245" i="3"/>
  <c r="AZ408" i="3"/>
  <c r="AZ479" i="3"/>
  <c r="AZ453" i="3"/>
  <c r="AZ389" i="3"/>
  <c r="AZ215" i="3"/>
  <c r="AZ388" i="3"/>
  <c r="AZ570" i="3"/>
  <c r="AZ78" i="3"/>
  <c r="AZ51" i="3"/>
  <c r="AZ180" i="3"/>
  <c r="AZ493" i="3"/>
  <c r="K34" i="9"/>
  <c r="AZ264" i="3"/>
  <c r="AZ232" i="3"/>
  <c r="AZ252" i="3"/>
  <c r="AC9" i="34"/>
  <c r="W9" i="34"/>
  <c r="U26" i="33"/>
  <c r="AB26" i="33"/>
  <c r="S34" i="36"/>
  <c r="AA34" i="36"/>
  <c r="AB39" i="37"/>
  <c r="U39" i="37"/>
  <c r="AC23" i="36"/>
  <c r="W23" i="36"/>
  <c r="AC13" i="35"/>
  <c r="W13" i="35"/>
  <c r="S29" i="34"/>
  <c r="AA29" i="34"/>
  <c r="AC13" i="21"/>
  <c r="W13" i="21"/>
  <c r="M76" i="46"/>
  <c r="N76" i="46" s="1"/>
  <c r="K76" i="46"/>
  <c r="M80" i="46"/>
  <c r="K80" i="46"/>
  <c r="J80" i="46" s="1"/>
  <c r="M79" i="46"/>
  <c r="N79" i="46" s="1"/>
  <c r="K79" i="46"/>
  <c r="BL5" i="3"/>
  <c r="AZ52" i="3"/>
  <c r="AZ294" i="3"/>
  <c r="AZ219" i="3"/>
  <c r="AZ455" i="3"/>
  <c r="AZ475" i="3"/>
  <c r="AZ221" i="3"/>
  <c r="AZ401" i="3"/>
  <c r="AZ572" i="3"/>
  <c r="AZ64" i="3"/>
  <c r="AZ263" i="3"/>
  <c r="AZ239" i="3"/>
  <c r="AZ557" i="3"/>
  <c r="AZ561" i="3"/>
  <c r="J74" i="46"/>
  <c r="D74" i="46"/>
  <c r="AC9" i="36"/>
  <c r="W9" i="36"/>
  <c r="AA9" i="34"/>
  <c r="S9" i="34"/>
  <c r="W46" i="39"/>
  <c r="AC46" i="39"/>
  <c r="AB23" i="36"/>
  <c r="U23" i="36"/>
  <c r="AC25" i="35"/>
  <c r="W25" i="35"/>
  <c r="AA45" i="34"/>
  <c r="S45" i="34"/>
  <c r="W30" i="33"/>
  <c r="AC30" i="33"/>
  <c r="AA29" i="40"/>
  <c r="S29" i="40"/>
  <c r="AA16" i="40"/>
  <c r="S16" i="40"/>
  <c r="AB9" i="35"/>
  <c r="U9" i="35"/>
  <c r="AZ171" i="3"/>
  <c r="AZ61" i="3"/>
  <c r="AZ39" i="3"/>
  <c r="AZ291" i="3"/>
  <c r="AZ471" i="3"/>
  <c r="AZ385" i="3"/>
  <c r="AZ96" i="3"/>
  <c r="AZ76" i="3"/>
  <c r="AZ54" i="3"/>
  <c r="AZ67" i="3"/>
  <c r="AZ176" i="3"/>
  <c r="AZ256" i="3"/>
  <c r="AZ451" i="3"/>
  <c r="AZ417" i="3"/>
  <c r="AZ473" i="3"/>
  <c r="AZ457" i="3"/>
  <c r="AZ433" i="3"/>
  <c r="AZ447" i="3"/>
  <c r="AZ405" i="3"/>
  <c r="AZ334" i="3"/>
  <c r="AZ404" i="3"/>
  <c r="AZ532" i="3"/>
  <c r="AZ492" i="3"/>
  <c r="AZ560" i="3"/>
  <c r="F29" i="6"/>
  <c r="E29" i="6" s="1"/>
  <c r="AZ494" i="3"/>
  <c r="AZ527" i="3"/>
  <c r="AZ533" i="3"/>
  <c r="W26" i="33"/>
  <c r="AZ568" i="3"/>
  <c r="W31" i="21"/>
  <c r="AA26" i="33"/>
  <c r="S26" i="33"/>
  <c r="W33" i="39"/>
  <c r="AC33" i="39"/>
  <c r="AB25" i="36"/>
  <c r="U25" i="36"/>
  <c r="AA23" i="36"/>
  <c r="S23" i="36"/>
  <c r="AB25" i="35"/>
  <c r="U25" i="35"/>
  <c r="AB30" i="33"/>
  <c r="U30" i="33"/>
  <c r="AZ488" i="3"/>
  <c r="AB36" i="35"/>
  <c r="U36" i="35"/>
  <c r="AC29" i="21"/>
  <c r="W29" i="21"/>
  <c r="W42" i="21"/>
  <c r="S45" i="21"/>
  <c r="U45" i="21"/>
  <c r="AB45" i="21"/>
  <c r="AB27" i="21"/>
  <c r="U27" i="21"/>
  <c r="AC28" i="21"/>
  <c r="W28" i="21"/>
  <c r="S42" i="21"/>
  <c r="U42" i="21"/>
  <c r="AA37" i="21"/>
  <c r="W37" i="21"/>
  <c r="AC37" i="21"/>
  <c r="AB37" i="21"/>
  <c r="K17" i="4"/>
  <c r="A22" i="51" s="1"/>
  <c r="B16" i="63" s="1"/>
  <c r="L60" i="44"/>
  <c r="Q63" i="44" s="1"/>
  <c r="L59" i="44"/>
  <c r="Q75" i="44" s="1"/>
  <c r="F33" i="44"/>
  <c r="C8" i="44"/>
  <c r="C34" i="44" s="1"/>
  <c r="C57" i="59"/>
  <c r="D56" i="59"/>
  <c r="C36" i="59"/>
  <c r="D35" i="59"/>
  <c r="AA31" i="33"/>
  <c r="S31" i="33"/>
  <c r="S13" i="37"/>
  <c r="AA13" i="37"/>
  <c r="W12" i="36"/>
  <c r="AC12" i="36"/>
  <c r="AA32" i="34"/>
  <c r="S32" i="34"/>
  <c r="AA45" i="33"/>
  <c r="S45" i="33"/>
  <c r="AB46" i="21"/>
  <c r="U46" i="21"/>
  <c r="AZ13" i="3"/>
  <c r="AZ107" i="3"/>
  <c r="AZ253" i="3"/>
  <c r="AZ218" i="3"/>
  <c r="AZ350" i="3"/>
  <c r="AZ439" i="3"/>
  <c r="AZ477" i="3"/>
  <c r="AZ466" i="3"/>
  <c r="AZ438" i="3"/>
  <c r="AZ112" i="3"/>
  <c r="AZ260" i="3"/>
  <c r="AZ240" i="3"/>
  <c r="AZ268" i="3"/>
  <c r="AZ236" i="3"/>
  <c r="AZ244" i="3"/>
  <c r="AB28" i="34"/>
  <c r="U28" i="34"/>
  <c r="U27" i="33"/>
  <c r="AB27" i="33"/>
  <c r="U9" i="37"/>
  <c r="AB9" i="37"/>
  <c r="AA24" i="35"/>
  <c r="S24" i="35"/>
  <c r="S14" i="34"/>
  <c r="AA14" i="34"/>
  <c r="U45" i="33"/>
  <c r="AB45" i="33"/>
  <c r="AA14" i="39"/>
  <c r="S14" i="39"/>
  <c r="U37" i="39"/>
  <c r="AB37" i="39"/>
  <c r="AB24" i="36"/>
  <c r="U24" i="36"/>
  <c r="W12" i="35"/>
  <c r="AC12" i="35"/>
  <c r="W26" i="35"/>
  <c r="AC26" i="35"/>
  <c r="AZ511" i="3"/>
  <c r="S30" i="21"/>
  <c r="AA30" i="21"/>
  <c r="AA14" i="21"/>
  <c r="S14" i="21"/>
  <c r="V25" i="59"/>
  <c r="F24" i="59"/>
  <c r="F23" i="59" s="1"/>
  <c r="F22" i="59" s="1"/>
  <c r="F21" i="59" s="1"/>
  <c r="AC9" i="21"/>
  <c r="W9" i="21"/>
  <c r="W32" i="36"/>
  <c r="AC32" i="36"/>
  <c r="W14" i="21"/>
  <c r="AC14" i="21"/>
  <c r="E15" i="6"/>
  <c r="E28" i="59"/>
  <c r="E27" i="59" s="1"/>
  <c r="AZ84" i="3"/>
  <c r="AZ191" i="3"/>
  <c r="AZ278" i="3"/>
  <c r="AZ250" i="3"/>
  <c r="AZ223" i="3"/>
  <c r="AZ248" i="3"/>
  <c r="O66" i="59"/>
  <c r="D67" i="59"/>
  <c r="AZ545" i="3"/>
  <c r="S25" i="37"/>
  <c r="AA25" i="37"/>
  <c r="S28" i="34"/>
  <c r="AA28" i="34"/>
  <c r="AB13" i="37"/>
  <c r="U13" i="37"/>
  <c r="S9" i="37"/>
  <c r="AA9" i="37"/>
  <c r="S12" i="36"/>
  <c r="AA12" i="36"/>
  <c r="AC24" i="35"/>
  <c r="W24" i="35"/>
  <c r="U14" i="34"/>
  <c r="AB14" i="34"/>
  <c r="S37" i="39"/>
  <c r="AA37" i="39"/>
  <c r="AA24" i="36"/>
  <c r="S24" i="36"/>
  <c r="AZ553" i="3"/>
  <c r="AZ498" i="3"/>
  <c r="AZ503" i="3"/>
  <c r="AZ529" i="3"/>
  <c r="AA46" i="21"/>
  <c r="S46" i="21"/>
  <c r="W30" i="21"/>
  <c r="AC30" i="21"/>
  <c r="AZ569" i="3"/>
  <c r="C66" i="40"/>
  <c r="R7" i="54"/>
  <c r="B52" i="63" s="1"/>
  <c r="AP16" i="1"/>
  <c r="F22" i="11" s="1"/>
  <c r="AZ49" i="3"/>
  <c r="AZ258" i="3"/>
  <c r="AZ386" i="3"/>
  <c r="AZ435" i="3"/>
  <c r="AA27" i="33"/>
  <c r="T65" i="59"/>
  <c r="D65" i="59"/>
  <c r="AZ247" i="3"/>
  <c r="C53" i="59"/>
  <c r="D52" i="59"/>
  <c r="U9" i="21"/>
  <c r="AB9" i="21"/>
  <c r="W34" i="36"/>
  <c r="AC34" i="36"/>
  <c r="AZ481" i="3"/>
  <c r="AC13" i="37"/>
  <c r="W13" i="37"/>
  <c r="W9" i="37"/>
  <c r="AC9" i="37"/>
  <c r="U12" i="36"/>
  <c r="AB12" i="36"/>
  <c r="AB32" i="34"/>
  <c r="U32" i="34"/>
  <c r="AC45" i="33"/>
  <c r="W45" i="33"/>
  <c r="W24" i="36"/>
  <c r="AC24" i="36"/>
  <c r="S32" i="36"/>
  <c r="AA32" i="36"/>
  <c r="AZ496" i="3"/>
  <c r="AZ501" i="3"/>
  <c r="AZ507" i="3"/>
  <c r="W46" i="21"/>
  <c r="AC46" i="21"/>
  <c r="AA26" i="35"/>
  <c r="S26" i="35"/>
  <c r="AZ558" i="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BA5" i="3"/>
  <c r="E12" i="6"/>
  <c r="E63" i="39" s="1"/>
  <c r="J7" i="21"/>
  <c r="AC7"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E66" i="39"/>
  <c r="E61" i="40"/>
  <c r="K14" i="1"/>
  <c r="H7" i="34"/>
  <c r="U7" i="34" s="1"/>
  <c r="F7" i="34"/>
  <c r="AA7" i="34" s="1"/>
  <c r="R49" i="34" s="1"/>
  <c r="J7" i="34"/>
  <c r="W7" i="34" s="1"/>
  <c r="G16" i="1"/>
  <c r="J12" i="40" s="1"/>
  <c r="F7" i="21"/>
  <c r="AA7" i="21" s="1"/>
  <c r="H7" i="21"/>
  <c r="AB7" i="21" s="1"/>
  <c r="T48" i="21" s="1"/>
  <c r="G48" i="21" s="1"/>
  <c r="B12" i="59"/>
  <c r="S13" i="59"/>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M32" i="46"/>
  <c r="P32" i="46"/>
  <c r="O32" i="46"/>
  <c r="N32" i="46"/>
  <c r="F1" i="44"/>
  <c r="Q54" i="44"/>
  <c r="J20" i="44"/>
  <c r="F1" i="15"/>
  <c r="Q53" i="15"/>
  <c r="Q61" i="15"/>
  <c r="Q74" i="15"/>
  <c r="J6" i="15"/>
  <c r="J18" i="15" s="1"/>
  <c r="AE6" i="1"/>
  <c r="AE12" i="1"/>
  <c r="AE7" i="1"/>
  <c r="AE8" i="1"/>
  <c r="AE9" i="1"/>
  <c r="AE10" i="1"/>
  <c r="AE11" i="1"/>
  <c r="D21" i="12"/>
  <c r="F46" i="44"/>
  <c r="F41" i="15"/>
  <c r="F33" i="12"/>
  <c r="F58" i="15" l="1"/>
  <c r="AZ5" i="3"/>
  <c r="E3" i="6" s="1"/>
  <c r="K15" i="1"/>
  <c r="L19" i="6"/>
  <c r="L27" i="6" s="1"/>
  <c r="N80" i="46"/>
  <c r="D80" i="46"/>
  <c r="N75" i="46"/>
  <c r="D75" i="46"/>
  <c r="J79" i="46"/>
  <c r="D79" i="46"/>
  <c r="J76" i="46"/>
  <c r="D76" i="46"/>
  <c r="F30" i="6"/>
  <c r="F31" i="6" s="1"/>
  <c r="J72" i="46"/>
  <c r="D72" i="46"/>
  <c r="V48" i="21"/>
  <c r="I48" i="21" s="1"/>
  <c r="R48" i="21"/>
  <c r="E48" i="21" s="1"/>
  <c r="C34" i="12"/>
  <c r="D33" i="12" s="1"/>
  <c r="C21" i="12"/>
  <c r="E58" i="40"/>
  <c r="Q76" i="44"/>
  <c r="C7" i="44"/>
  <c r="C40" i="44" s="1"/>
  <c r="Q62" i="44"/>
  <c r="D53" i="59"/>
  <c r="T53" i="59"/>
  <c r="V21" i="59"/>
  <c r="F20" i="59"/>
  <c r="F19" i="59" s="1"/>
  <c r="F18" i="59" s="1"/>
  <c r="F17" i="59" s="1"/>
  <c r="S7" i="34"/>
  <c r="C37" i="59"/>
  <c r="D36" i="59"/>
  <c r="W7" i="21"/>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15"/>
  <c r="M29" i="44"/>
  <c r="G54" i="34" l="1"/>
  <c r="H54" i="34" s="1"/>
  <c r="E72" i="46"/>
  <c r="B70" i="46" s="1"/>
  <c r="C28" i="46" s="1"/>
  <c r="T9" i="46" s="1"/>
  <c r="V9" i="46" s="1"/>
  <c r="D16" i="43"/>
  <c r="C16" i="43" s="1"/>
  <c r="B14" i="66"/>
  <c r="B1" i="66" s="1"/>
  <c r="D1" i="46"/>
  <c r="R49" i="21"/>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15" i="46"/>
  <c r="V15" i="46" s="1"/>
  <c r="E31" i="6"/>
  <c r="K21" i="6"/>
  <c r="S8" i="1" s="1"/>
  <c r="G43" i="35"/>
  <c r="H43" i="35" s="1"/>
  <c r="C59" i="15"/>
  <c r="C65" i="15"/>
  <c r="T11" i="46"/>
  <c r="V11" i="46" s="1"/>
  <c r="T4" i="46"/>
  <c r="V4" i="46" s="1"/>
  <c r="T13" i="46"/>
  <c r="V13" i="46" s="1"/>
  <c r="T6" i="46"/>
  <c r="V6" i="46" s="1"/>
  <c r="C42" i="46"/>
  <c r="E42" i="46" s="1"/>
  <c r="C41" i="46"/>
  <c r="G41" i="46" s="1"/>
  <c r="I41" i="46" s="1"/>
  <c r="C39" i="46"/>
  <c r="G39" i="46" s="1"/>
  <c r="I39" i="46" s="1"/>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B3" i="11"/>
  <c r="D16" i="12"/>
  <c r="C17" i="15"/>
  <c r="F7" i="67"/>
  <c r="D22" i="12"/>
  <c r="D19" i="12" l="1"/>
  <c r="C19" i="12" s="1"/>
  <c r="C16" i="12"/>
  <c r="C7" i="66"/>
  <c r="C6" i="66"/>
  <c r="C8" i="66"/>
  <c r="B5" i="11"/>
  <c r="C14" i="66"/>
  <c r="F1" i="46"/>
  <c r="C37" i="46"/>
  <c r="E37" i="46" s="1"/>
  <c r="T5" i="46"/>
  <c r="V5" i="46" s="1"/>
  <c r="T10" i="46"/>
  <c r="V10" i="46" s="1"/>
  <c r="T2" i="46"/>
  <c r="V2" i="46" s="1"/>
  <c r="C33" i="46"/>
  <c r="K27" i="6"/>
  <c r="C38" i="46"/>
  <c r="C40" i="46"/>
  <c r="G40" i="46" s="1"/>
  <c r="I40" i="46" s="1"/>
  <c r="T14" i="46"/>
  <c r="V14" i="46" s="1"/>
  <c r="T12" i="46"/>
  <c r="V12" i="46" s="1"/>
  <c r="T8" i="46"/>
  <c r="V8" i="46" s="1"/>
  <c r="T7" i="46"/>
  <c r="V7" i="46" s="1"/>
  <c r="T3" i="46"/>
  <c r="V3" i="46" s="1"/>
  <c r="B3" i="21"/>
  <c r="B2" i="21" s="1"/>
  <c r="C50" i="21"/>
  <c r="C22" i="12"/>
  <c r="C20" i="12"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33" i="46" s="1"/>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E40" i="46" l="1"/>
  <c r="E33" i="46"/>
  <c r="C34" i="46"/>
  <c r="E34" i="46" s="1"/>
  <c r="C31" i="46" s="1"/>
  <c r="C51" i="21"/>
  <c r="E50" i="21" s="1"/>
  <c r="S16" i="1"/>
  <c r="T10" i="1" s="1"/>
  <c r="H25" i="6"/>
  <c r="D16" i="59"/>
  <c r="C15" i="59"/>
  <c r="C30" i="46"/>
  <c r="B2" i="46" s="1"/>
  <c r="T9" i="1"/>
  <c r="T8"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I64" i="40"/>
  <c r="H66" i="40"/>
  <c r="H71" i="39"/>
  <c r="I69" i="39"/>
  <c r="N46" i="36"/>
  <c r="E3" i="67"/>
  <c r="B2" i="67"/>
  <c r="C19" i="9"/>
  <c r="F37" i="44"/>
  <c r="M23" i="44"/>
  <c r="F35" i="15"/>
  <c r="M21" i="15"/>
  <c r="L43" i="9" l="1"/>
  <c r="D4" i="46"/>
  <c r="E51" i="21"/>
  <c r="C10" i="12"/>
  <c r="C6" i="12" s="1"/>
  <c r="T7" i="1"/>
  <c r="T13" i="1"/>
  <c r="T6" i="1"/>
  <c r="T11" i="1"/>
  <c r="T16" i="1" s="1"/>
  <c r="T12" i="1"/>
  <c r="D15" i="59"/>
  <c r="C14" i="59"/>
  <c r="B3" i="46"/>
  <c r="B4" i="46"/>
  <c r="C36" i="44"/>
  <c r="J20" i="15"/>
  <c r="C34" i="15"/>
  <c r="R27" i="6"/>
  <c r="H27" i="6"/>
  <c r="E7" i="59"/>
  <c r="B7" i="59"/>
  <c r="F6" i="59"/>
  <c r="I6" i="6"/>
  <c r="I5" i="6"/>
  <c r="J22" i="44"/>
  <c r="F62" i="15"/>
  <c r="C61" i="15" s="1"/>
  <c r="R16" i="1"/>
  <c r="C18" i="43"/>
  <c r="O46" i="36"/>
  <c r="J7" i="36" s="1"/>
  <c r="F7" i="36"/>
  <c r="H7" i="36"/>
  <c r="J64" i="40"/>
  <c r="I66" i="40"/>
  <c r="J69" i="39"/>
  <c r="I71" i="39"/>
  <c r="B3" i="67"/>
  <c r="B4" i="67"/>
  <c r="C14" i="15"/>
  <c r="C21" i="9"/>
  <c r="C16" i="44"/>
  <c r="C13" i="12"/>
  <c r="C20" i="9"/>
  <c r="C17" i="12" l="1"/>
  <c r="C14" i="12"/>
  <c r="C18" i="12"/>
  <c r="C23" i="12" s="1"/>
  <c r="C24" i="12"/>
  <c r="C29" i="12"/>
  <c r="C18" i="15"/>
  <c r="C15"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35" i="12" l="1"/>
  <c r="C33" i="12" s="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B3" i="12"/>
  <c r="D22" i="9" l="1"/>
  <c r="L44" i="9"/>
  <c r="G19" i="9"/>
  <c r="D14" i="66"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5" i="12"/>
  <c r="B4" i="12"/>
  <c r="D20" i="9"/>
  <c r="C4" i="12" l="1"/>
  <c r="D21" i="9" s="1"/>
  <c r="E14" i="66"/>
  <c r="B5" i="66"/>
  <c r="F14" i="66"/>
  <c r="G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5" i="66" l="1"/>
  <c r="C5" i="66"/>
  <c r="G21" i="9"/>
  <c r="C33" i="9"/>
  <c r="O43" i="9"/>
  <c r="O38" i="9"/>
  <c r="C42"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R5" i="54" l="1"/>
  <c r="B48" i="63" s="1"/>
  <c r="D63" i="9"/>
  <c r="N68" i="9"/>
  <c r="K26" i="9"/>
  <c r="K25" i="9"/>
  <c r="M38" i="9"/>
  <c r="K27" i="9" s="1"/>
  <c r="E42" i="9"/>
  <c r="P5" i="54" s="1"/>
  <c r="B46" i="63" s="1"/>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C82" i="9" l="1"/>
  <c r="C81" i="9" s="1"/>
  <c r="C85" i="9" s="1"/>
  <c r="C86" i="9" s="1"/>
  <c r="D72" i="9" s="1"/>
  <c r="D71" i="9"/>
  <c r="D66" i="9" s="1"/>
  <c r="N72" i="9" s="1"/>
  <c r="C103" i="9"/>
  <c r="D70" i="9"/>
  <c r="C96" i="9"/>
  <c r="C91" i="9" s="1"/>
  <c r="D73" i="9"/>
  <c r="N73" i="9" s="1"/>
  <c r="C111" i="9"/>
  <c r="C104" i="9" s="1"/>
  <c r="C90" i="9"/>
  <c r="Q58" i="15"/>
  <c r="Q63" i="15" s="1"/>
  <c r="Q76" i="15"/>
  <c r="Q69" i="44"/>
  <c r="Q59" i="44"/>
  <c r="Q64" i="44" s="1"/>
  <c r="Q68" i="44"/>
  <c r="Q77" i="44" s="1"/>
  <c r="C97" i="9" l="1"/>
  <c r="C98" i="9" s="1"/>
  <c r="E98" i="9" s="1"/>
  <c r="E99" i="9" s="1"/>
  <c r="C113" i="9"/>
  <c r="C99" i="9" l="1"/>
  <c r="C114" i="9"/>
  <c r="E114" i="9" s="1"/>
  <c r="E115" i="9" s="1"/>
  <c r="C115" i="9" l="1"/>
  <c r="D76" i="9" s="1"/>
  <c r="D74" i="9" s="1"/>
  <c r="N74" i="9" s="1"/>
  <c r="O77" i="9" s="1"/>
  <c r="Q77" i="9" s="1"/>
  <c r="O78"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A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B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4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4000000}">
      <text>
        <r>
          <rPr>
            <b/>
            <sz val="12"/>
            <color indexed="81"/>
            <rFont val="宋体"/>
            <family val="3"/>
            <charset val="134"/>
          </rPr>
          <t>所属项目品质或
物业管理</t>
        </r>
      </text>
    </comment>
    <comment ref="B90"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<sst xmlns="http://schemas.openxmlformats.org/spreadsheetml/2006/main" count="8739" uniqueCount="3830">
  <si>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</si>
  <si>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</si>
  <si>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</si>
  <si>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</si>
  <si>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</si>
  <si>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</si>
  <si>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</si>
  <si>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</si>
  <si>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</si>
  <si>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</si>
  <si>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</si>
  <si>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</si>
  <si>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</si>
  <si>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</si>
  <si>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</si>
  <si>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</si>
  <si>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</si>
  <si>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</si>
  <si>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</si>
  <si>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</si>
  <si>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</si>
  <si>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</si>
  <si>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</si>
  <si>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</si>
  <si>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</si>
  <si>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</si>
  <si>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</si>
  <si>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</si>
  <si>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</si>
  <si>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</si>
  <si>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</si>
  <si>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</si>
  <si>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</si>
  <si>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</si>
  <si>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</si>
  <si>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</si>
  <si>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</si>
  <si>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</si>
  <si>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</si>
  <si>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</si>
  <si>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</si>
  <si>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</si>
  <si>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</si>
  <si>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</si>
  <si>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</si>
  <si>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</si>
  <si>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</si>
  <si>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</si>
  <si>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</si>
  <si>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</si>
  <si>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</si>
  <si>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</si>
  <si>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</si>
  <si>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</si>
  <si>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</si>
  <si>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</si>
  <si>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</si>
  <si>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</si>
  <si>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</si>
  <si>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</si>
  <si>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</si>
  <si>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</si>
  <si>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</si>
  <si>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</si>
  <si>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</si>
  <si>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</si>
  <si>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</si>
  <si>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</si>
  <si>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</si>
  <si>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</si>
  <si>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</si>
  <si>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</si>
  <si>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</si>
  <si>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</si>
  <si>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</si>
  <si>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</si>
  <si>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</si>
  <si>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</si>
  <si>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</si>
  <si>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</si>
  <si>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</si>
  <si>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</si>
  <si>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</si>
  <si>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</si>
  <si>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</si>
  <si>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</si>
  <si>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</si>
  <si>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</si>
  <si>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</si>
  <si>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</si>
  <si>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</si>
  <si>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</si>
  <si>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</si>
  <si>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</si>
  <si>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</si>
  <si>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</si>
  <si>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</si>
  <si>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</si>
  <si>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</si>
  <si>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</si>
  <si>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</si>
  <si>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</si>
  <si>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</si>
  <si>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</si>
  <si>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</si>
  <si>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</si>
  <si>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</si>
  <si>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</si>
  <si>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</si>
  <si>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</si>
  <si>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</si>
  <si>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</si>
  <si>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</si>
  <si>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</si>
  <si>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</si>
  <si>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</si>
  <si>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</si>
  <si>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</si>
  <si>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</si>
  <si>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</si>
  <si>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</si>
  <si>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</si>
  <si>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</si>
  <si>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</si>
  <si>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</si>
  <si>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</si>
  <si>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</si>
  <si>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</si>
  <si>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</si>
  <si>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</si>
  <si>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</si>
  <si>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</si>
  <si>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</si>
  <si>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</si>
  <si>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</si>
  <si>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</si>
  <si>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</si>
  <si>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</si>
  <si>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</si>
  <si>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</si>
  <si>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</si>
  <si>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</si>
  <si>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</si>
  <si>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</si>
  <si>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</si>
  <si>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</si>
  <si>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</si>
  <si>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</si>
  <si>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</si>
  <si>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</si>
  <si>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</si>
  <si>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</si>
  <si>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</si>
  <si>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</si>
  <si>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</si>
  <si>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</si>
  <si>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</si>
  <si>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</si>
  <si>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</si>
  <si>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</si>
  <si>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</si>
  <si>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</si>
  <si>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</si>
  <si>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</si>
  <si>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</si>
  <si>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</si>
  <si>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</si>
  <si>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</si>
  <si>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</si>
  <si>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</si>
  <si>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</si>
  <si>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</si>
  <si>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</si>
  <si>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</si>
  <si>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</si>
  <si>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</si>
  <si>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</si>
  <si>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</si>
  <si>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</si>
  <si>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</si>
  <si>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</si>
  <si>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</si>
  <si>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</si>
  <si>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</si>
  <si>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</si>
  <si>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</si>
  <si>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</si>
  <si>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</si>
  <si>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</si>
  <si>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</si>
  <si>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</si>
  <si>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</si>
  <si>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</si>
  <si>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</si>
  <si>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</si>
  <si>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</si>
  <si>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</si>
  <si>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</si>
  <si>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</si>
  <si>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</si>
  <si>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</si>
  <si>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</si>
  <si>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</si>
  <si>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</si>
  <si>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</si>
  <si>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</si>
  <si>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</si>
  <si>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</si>
  <si>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</si>
  <si>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</si>
  <si>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</si>
  <si>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</si>
  <si>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</si>
  <si>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</si>
  <si>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</si>
  <si>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</si>
  <si>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</si>
  <si>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</si>
  <si>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</si>
  <si>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</si>
  <si>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</si>
  <si>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</si>
  <si>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</si>
  <si>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</si>
  <si>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</si>
  <si>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</si>
  <si>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</si>
  <si>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</si>
  <si>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</si>
  <si>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</si>
  <si>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</si>
  <si>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</si>
  <si>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</si>
  <si>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</si>
  <si>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</si>
  <si>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</si>
  <si>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</si>
  <si>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</si>
  <si>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</si>
  <si>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</si>
  <si>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</si>
  <si>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</si>
  <si>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</si>
  <si>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</si>
  <si>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</si>
  <si>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</si>
  <si>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</si>
  <si>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</si>
  <si>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</si>
  <si>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</si>
  <si>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</si>
  <si>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</si>
  <si>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</si>
  <si>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</si>
  <si>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</si>
  <si>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</si>
  <si>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</si>
  <si>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</si>
  <si>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</si>
  <si>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</si>
  <si>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</si>
  <si>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</si>
  <si>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</si>
  <si>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</si>
  <si>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</si>
  <si>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</si>
  <si>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</si>
  <si>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</si>
  <si>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</si>
  <si>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</si>
  <si>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</si>
  <si>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</si>
  <si>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</si>
  <si>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</si>
  <si>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</si>
  <si>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</si>
  <si>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</si>
  <si>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</si>
  <si>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</si>
  <si>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</si>
  <si>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</si>
  <si>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</si>
  <si>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</si>
  <si>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</si>
  <si>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</si>
  <si>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</si>
  <si>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</si>
  <si>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</si>
  <si>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</si>
  <si>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</si>
  <si>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</si>
  <si>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</si>
  <si>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</si>
  <si>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</si>
  <si>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</si>
  <si>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</si>
  <si>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</si>
  <si>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</si>
  <si>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</si>
  <si>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</si>
  <si>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</si>
  <si>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</si>
  <si>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</si>
  <si>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</si>
  <si>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</si>
  <si>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</si>
  <si>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</si>
  <si>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</si>
  <si>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</si>
  <si>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</si>
  <si>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</si>
  <si>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</si>
  <si>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</si>
  <si>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</si>
  <si>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</si>
  <si>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</si>
  <si>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</si>
  <si>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</si>
  <si>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</si>
  <si>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</si>
  <si>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</si>
  <si>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</si>
  <si>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</si>
  <si>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</si>
  <si>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</si>
  <si>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</si>
  <si>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</si>
  <si>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</si>
  <si>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</si>
  <si>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</si>
  <si>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</si>
  <si>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</si>
  <si>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</si>
  <si>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</si>
  <si>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</si>
  <si>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</si>
  <si>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</si>
  <si>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</si>
  <si>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</si>
  <si>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</si>
  <si>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</si>
  <si>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</si>
  <si>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</si>
  <si>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</si>
  <si>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</si>
  <si>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</si>
  <si>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</si>
  <si>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</si>
  <si>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</si>
  <si>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</si>
  <si>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</si>
  <si>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</si>
  <si>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</si>
  <si>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</si>
  <si>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</si>
  <si>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</si>
  <si>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</si>
  <si>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</si>
  <si>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</si>
  <si>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</si>
  <si>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</si>
  <si>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</si>
  <si>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</si>
  <si>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</si>
  <si>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</si>
  <si>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</si>
  <si>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</si>
  <si>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</si>
  <si>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</si>
  <si>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</si>
  <si>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</si>
  <si>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</si>
  <si>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</si>
  <si>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</si>
  <si>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</si>
  <si>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</si>
  <si>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</si>
  <si>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</si>
  <si>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</si>
  <si>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</si>
  <si>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</si>
  <si>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</si>
  <si>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</si>
  <si>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</si>
  <si>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</si>
  <si>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</si>
  <si>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</si>
  <si>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</si>
  <si>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</si>
  <si>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</si>
  <si>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</si>
  <si>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</si>
  <si>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</si>
  <si>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</si>
  <si>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</si>
  <si>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</si>
  <si>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</si>
  <si>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</si>
  <si>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</si>
  <si>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</si>
  <si>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</si>
  <si>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</si>
  <si>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</si>
  <si>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</si>
  <si>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</si>
  <si>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</si>
  <si>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</si>
  <si>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</si>
  <si>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</si>
  <si>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</si>
  <si>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</si>
  <si>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</si>
  <si>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</si>
  <si>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</si>
  <si>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</si>
  <si>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</si>
  <si>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</si>
  <si>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</si>
  <si>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</si>
  <si>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</si>
  <si>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</si>
  <si>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</si>
  <si>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</si>
  <si>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</si>
  <si>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</si>
  <si>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</si>
  <si>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</si>
  <si>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</si>
  <si>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</si>
  <si>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</si>
  <si>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</si>
  <si>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</si>
  <si>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</si>
  <si>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</si>
  <si>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</si>
  <si>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</si>
  <si>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</si>
  <si>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</si>
  <si>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</si>
  <si>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</si>
  <si>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</si>
  <si>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</si>
  <si>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</si>
  <si>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</si>
  <si>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</si>
  <si>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</si>
  <si>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</si>
  <si>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</si>
  <si>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</si>
  <si>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</si>
  <si>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</si>
  <si>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</si>
  <si>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</si>
  <si>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</si>
  <si>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</si>
  <si>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</si>
  <si>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</si>
  <si>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</si>
  <si>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</si>
  <si>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</si>
  <si>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</si>
  <si>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</si>
  <si>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</si>
  <si>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</si>
  <si>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</si>
  <si>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</si>
  <si>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</si>
  <si>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</si>
  <si>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</si>
  <si>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</si>
  <si>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</si>
  <si>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</si>
  <si>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</si>
  <si>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</si>
  <si>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</si>
  <si>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</si>
  <si>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</si>
  <si>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</si>
  <si>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</si>
  <si>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</si>
  <si>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</si>
  <si>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</si>
  <si>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</si>
  <si>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</si>
  <si>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</si>
  <si>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</si>
  <si>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</si>
  <si>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</si>
  <si>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</si>
  <si>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</si>
  <si>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</si>
  <si>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</si>
  <si>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</si>
  <si>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</si>
  <si>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</si>
  <si>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</si>
  <si>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</si>
  <si>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</si>
  <si>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</si>
  <si>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</si>
  <si>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</si>
  <si>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</si>
  <si>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</si>
  <si>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</si>
  <si>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</si>
  <si>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</si>
  <si>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</si>
  <si>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</si>
  <si>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</si>
  <si>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</si>
  <si>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</si>
  <si>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</si>
  <si>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</si>
  <si>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</si>
  <si>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</si>
  <si>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</si>
  <si>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</si>
  <si>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</si>
  <si>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</si>
  <si>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</si>
  <si>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</si>
  <si>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</si>
  <si>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</si>
  <si>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</si>
  <si>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</si>
  <si>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</si>
  <si>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</si>
  <si>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</si>
  <si>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</si>
  <si>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</si>
  <si>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</si>
  <si>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</si>
  <si>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</si>
  <si>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</si>
  <si>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</si>
  <si>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</si>
  <si>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</si>
  <si>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</si>
  <si>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</si>
  <si>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</si>
  <si>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</si>
  <si>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</si>
  <si>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</si>
  <si>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</si>
  <si>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</si>
  <si>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</si>
  <si>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</si>
  <si>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</si>
  <si>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</si>
  <si>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</si>
  <si>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</si>
  <si>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</si>
  <si>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</si>
  <si>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</si>
  <si>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</si>
  <si>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</si>
  <si>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</si>
  <si>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</si>
  <si>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</si>
  <si>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</si>
  <si>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</si>
  <si>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</si>
  <si>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</si>
  <si>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</si>
  <si>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</si>
  <si>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</si>
  <si>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</si>
  <si>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</si>
  <si>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</si>
  <si>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</si>
  <si>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</si>
  <si>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</si>
  <si>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</si>
  <si>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</si>
  <si>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</si>
  <si>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</si>
  <si>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</si>
  <si>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</si>
  <si>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</si>
  <si>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</si>
  <si>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</si>
  <si>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</si>
  <si>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</si>
  <si>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</si>
  <si>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</si>
  <si>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</si>
  <si>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</si>
  <si>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</si>
  <si>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</si>
  <si>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</si>
  <si>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</si>
  <si>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</si>
  <si>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</si>
  <si>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</si>
  <si>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</si>
  <si>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</si>
  <si>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</si>
  <si>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</si>
  <si>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</si>
  <si>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</si>
  <si>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</si>
  <si>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</si>
  <si>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</si>
  <si>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</si>
  <si>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</si>
  <si>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</si>
  <si>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</si>
  <si>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</si>
  <si>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</si>
  <si>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</si>
  <si>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</si>
  <si>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</si>
  <si>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</si>
  <si>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</si>
  <si>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</si>
  <si>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</si>
  <si>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</si>
  <si>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</si>
  <si>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</si>
  <si>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</si>
  <si>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</si>
  <si>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</si>
  <si>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</si>
  <si>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</si>
  <si>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</si>
  <si>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</si>
  <si>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</si>
  <si>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</si>
  <si>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</si>
  <si>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</si>
  <si>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</si>
  <si>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</si>
  <si>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</si>
  <si>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</si>
  <si>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</si>
  <si>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</si>
  <si>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</si>
  <si>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</si>
  <si>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</si>
  <si>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</si>
  <si>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</si>
  <si>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</si>
  <si>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</si>
  <si>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</si>
  <si>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</si>
  <si>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</si>
  <si>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</si>
  <si>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</si>
  <si>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</si>
  <si>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</si>
  <si>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</si>
  <si>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</si>
  <si>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</si>
  <si>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</si>
  <si>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</si>
  <si>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</si>
  <si>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</si>
  <si>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</si>
  <si>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</si>
  <si>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</si>
  <si>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</si>
  <si>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</si>
  <si>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</si>
  <si>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</si>
  <si>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</si>
  <si>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</si>
  <si>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</si>
  <si>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</si>
  <si>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</si>
  <si>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</si>
  <si>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</si>
  <si>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</si>
  <si>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</si>
  <si>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</si>
  <si>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</si>
  <si>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</si>
  <si>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</si>
  <si>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</si>
  <si>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</si>
  <si>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</si>
  <si>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</si>
  <si>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</si>
  <si>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</si>
  <si>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</si>
  <si>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</si>
  <si>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</si>
  <si>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</si>
  <si>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</si>
  <si>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</si>
  <si>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</si>
  <si>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</si>
  <si>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</si>
  <si>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</si>
  <si>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</si>
  <si>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</si>
  <si>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</si>
  <si>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</si>
  <si>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</si>
  <si>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</si>
  <si>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</si>
  <si>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</si>
  <si>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</si>
  <si>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</si>
  <si>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</si>
  <si>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</si>
  <si>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</si>
  <si>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</si>
  <si>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</si>
  <si>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</si>
  <si>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</si>
  <si>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</si>
  <si>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</si>
  <si>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</si>
  <si>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</si>
  <si>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</si>
  <si>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</si>
  <si>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</si>
  <si>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</si>
  <si>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</si>
  <si>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</si>
  <si>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</si>
  <si>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</si>
  <si>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</si>
  <si>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</si>
  <si>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</si>
  <si>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</si>
  <si>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</si>
  <si>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</si>
  <si>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</si>
  <si>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</si>
  <si>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</si>
  <si>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</si>
  <si>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</si>
  <si>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</si>
  <si>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</si>
  <si>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</si>
  <si>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</si>
  <si>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</si>
  <si>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</si>
  <si>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</si>
  <si>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</si>
  <si>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</si>
  <si>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</si>
  <si>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</si>
  <si>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</si>
  <si>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</si>
  <si>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</si>
  <si>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</si>
  <si>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</si>
  <si>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</si>
  <si>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</si>
  <si>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</si>
  <si>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</si>
  <si>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</si>
  <si>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</si>
  <si>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</si>
  <si>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</si>
  <si>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</si>
  <si>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</si>
  <si>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</si>
  <si>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</si>
  <si>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</si>
  <si>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</si>
  <si>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</si>
  <si>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</si>
  <si>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</si>
  <si>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</si>
  <si>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</si>
  <si>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</si>
  <si>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</si>
  <si>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</si>
  <si>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</si>
  <si>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</si>
  <si>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</si>
  <si>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</si>
  <si>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</si>
  <si>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</si>
  <si>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</si>
  <si>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</si>
  <si>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</si>
  <si>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</si>
  <si>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</si>
  <si>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</si>
  <si>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</si>
  <si>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</si>
  <si>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</si>
  <si>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</si>
  <si>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</si>
  <si>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</si>
  <si>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</si>
  <si>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</si>
  <si>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</si>
  <si>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</si>
  <si>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</si>
  <si>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</si>
  <si>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</si>
  <si>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</si>
  <si>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</si>
  <si>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</si>
  <si>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</si>
  <si>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</si>
  <si>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</si>
  <si>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</si>
  <si>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</si>
  <si>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</si>
  <si>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</si>
  <si>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</si>
  <si>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</si>
  <si>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</si>
  <si>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</si>
  <si>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</si>
  <si>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</si>
  <si>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</si>
  <si>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</si>
  <si>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</si>
  <si>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</si>
  <si>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</si>
  <si>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</si>
  <si>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</si>
  <si>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</si>
  <si>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</si>
  <si>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</si>
  <si>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</si>
  <si>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</si>
  <si>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</si>
  <si>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</si>
  <si>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</si>
  <si>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</si>
  <si>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</si>
  <si>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</si>
  <si>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</si>
  <si>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</si>
  <si>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</si>
  <si>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</si>
  <si>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</si>
  <si>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</si>
  <si>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</si>
  <si>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</si>
  <si>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</si>
  <si>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</si>
  <si>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</si>
  <si>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</si>
  <si>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</si>
  <si>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</si>
  <si>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</si>
  <si>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</si>
  <si>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</si>
  <si>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</si>
  <si>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</si>
  <si>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</si>
  <si>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</si>
  <si>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</si>
  <si>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</si>
  <si>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</si>
  <si>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</si>
  <si>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</si>
  <si>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</si>
  <si>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</si>
  <si>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</si>
  <si>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</si>
  <si>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</si>
  <si>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</si>
  <si>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</si>
  <si>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</si>
  <si>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</si>
  <si>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</si>
  <si>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</si>
  <si>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</si>
  <si>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</si>
  <si>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</si>
  <si>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</si>
  <si>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</si>
  <si>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</si>
  <si>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</si>
  <si>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</si>
  <si>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</si>
  <si>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</si>
  <si>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</si>
  <si>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</si>
  <si>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</si>
  <si>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</si>
  <si>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</si>
  <si>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</si>
  <si>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</si>
  <si>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</si>
  <si>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</si>
  <si>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</si>
  <si>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</si>
  <si>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</si>
  <si>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</si>
  <si>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</si>
  <si>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</si>
  <si>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</si>
  <si>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</si>
  <si>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</si>
  <si>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</si>
  <si>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</si>
  <si>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</si>
  <si>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</si>
  <si>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</si>
  <si>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</si>
  <si>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</si>
  <si>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</si>
  <si>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</si>
  <si>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</si>
  <si>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</si>
  <si>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</si>
  <si>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</si>
  <si>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</si>
  <si>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</si>
  <si>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</si>
  <si>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</si>
  <si>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</si>
  <si>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</si>
  <si>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</si>
  <si>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</si>
  <si>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</si>
  <si>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</si>
  <si>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</si>
  <si>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</si>
  <si>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</si>
  <si>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</si>
  <si>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</si>
  <si>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</si>
  <si>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</si>
  <si>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</si>
  <si>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</si>
  <si>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</si>
  <si>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</si>
  <si>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</si>
  <si>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</si>
  <si>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</si>
  <si>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</si>
  <si>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</si>
  <si>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</si>
  <si>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</si>
  <si>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</si>
  <si>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</si>
  <si>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</si>
  <si>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</si>
  <si>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</si>
  <si>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</si>
  <si>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</si>
  <si>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</si>
  <si>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</si>
  <si>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</si>
  <si>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</si>
  <si>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</si>
  <si>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</si>
  <si>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</si>
  <si>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</si>
  <si>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</si>
  <si>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</si>
  <si>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</si>
  <si>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</si>
  <si>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</si>
  <si>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</si>
  <si>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</si>
  <si>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</si>
  <si>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</si>
  <si>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</si>
  <si>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</si>
  <si>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</si>
  <si>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</si>
  <si>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</si>
  <si>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</si>
  <si>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</si>
  <si>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</si>
  <si>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</si>
  <si>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</si>
  <si>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</si>
  <si>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</si>
  <si>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</si>
  <si>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</si>
  <si>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</si>
  <si>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</si>
  <si>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</si>
  <si>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</si>
  <si>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</si>
  <si>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</si>
  <si>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</si>
  <si>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</si>
  <si>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</si>
  <si>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</si>
  <si>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</si>
  <si>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</si>
  <si>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</si>
  <si>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</si>
  <si>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</si>
  <si>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</si>
  <si>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</si>
  <si>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</si>
  <si>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</si>
  <si>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</si>
  <si>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</si>
  <si>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</si>
  <si>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</si>
  <si>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</si>
  <si>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</si>
  <si>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</si>
  <si>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</si>
  <si>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</si>
  <si>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</si>
  <si>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</si>
  <si>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</si>
  <si>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</si>
  <si>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</si>
  <si>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</si>
  <si>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</si>
  <si>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</si>
  <si>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</si>
  <si>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</si>
  <si>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</si>
  <si>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</si>
  <si>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</si>
  <si>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</si>
  <si>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</si>
  <si>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</si>
  <si>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</si>
  <si>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</si>
  <si>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</si>
  <si>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</si>
  <si>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</si>
  <si>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</si>
  <si>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</si>
  <si>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</si>
  <si>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</si>
  <si>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</si>
  <si>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</si>
  <si>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</si>
  <si>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</si>
  <si>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</si>
  <si>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</si>
  <si>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</si>
  <si>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</si>
  <si>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</si>
  <si>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</si>
  <si>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</si>
  <si>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</si>
  <si>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</si>
  <si>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</si>
  <si>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</si>
  <si>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</si>
  <si>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</si>
  <si>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</si>
  <si>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</si>
  <si>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</si>
  <si>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</si>
  <si>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</si>
  <si>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</si>
  <si>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</si>
  <si>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</si>
  <si>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</si>
  <si>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</si>
  <si>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</si>
  <si>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</si>
  <si>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</si>
  <si>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</si>
  <si>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</si>
  <si>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</si>
  <si>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</si>
  <si>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</si>
  <si>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</si>
  <si>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</si>
  <si>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</si>
  <si>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</si>
  <si>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</si>
  <si>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</si>
  <si>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</si>
  <si>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</si>
  <si>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</si>
  <si>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</si>
  <si>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</si>
  <si>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</si>
  <si>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</si>
  <si>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</si>
  <si>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</si>
  <si>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</si>
  <si>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</si>
  <si>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</si>
  <si>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</si>
  <si>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</si>
  <si>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</si>
  <si>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</si>
  <si>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</si>
  <si>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</si>
  <si>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</si>
  <si>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</si>
  <si>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</si>
  <si>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</si>
  <si>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</si>
  <si>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</si>
  <si>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</si>
  <si>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</si>
  <si>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</si>
  <si>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</si>
  <si>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</si>
  <si>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</si>
  <si>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</si>
  <si>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</si>
  <si>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</si>
  <si>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</si>
  <si>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</si>
  <si>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</si>
  <si>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</si>
  <si>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</si>
  <si>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</si>
  <si>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</si>
  <si>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</si>
  <si>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</si>
  <si>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</si>
  <si>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</si>
  <si>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</si>
  <si>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</si>
  <si>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</si>
  <si>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</si>
  <si>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</si>
  <si>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</si>
  <si>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</si>
  <si>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</si>
  <si>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</si>
  <si>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</si>
  <si>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</si>
  <si>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</si>
  <si>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</si>
  <si>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</si>
  <si>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</si>
  <si>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</si>
  <si>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</si>
  <si>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</si>
  <si>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</si>
  <si>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</si>
  <si>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</si>
  <si>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</si>
  <si>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</si>
  <si>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</si>
  <si>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</si>
  <si>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</si>
  <si>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</si>
  <si>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</si>
  <si>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</si>
  <si>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</si>
  <si>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</si>
  <si>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</si>
  <si>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</si>
  <si>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</si>
  <si>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</si>
  <si>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</si>
  <si>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</si>
  <si>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</si>
  <si>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</si>
  <si>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</si>
  <si>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</si>
  <si>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</si>
  <si>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</si>
  <si>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</si>
  <si>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</si>
  <si>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</si>
  <si>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</si>
  <si>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</si>
  <si>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</si>
  <si>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</si>
  <si>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</si>
  <si>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</si>
  <si>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</si>
  <si>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</si>
  <si>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</si>
  <si>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</si>
  <si>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</si>
  <si>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</si>
  <si>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</si>
  <si>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</si>
  <si>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</si>
  <si>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</si>
  <si>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</si>
  <si>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</si>
  <si>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</si>
  <si>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</si>
  <si>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</si>
  <si>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</si>
  <si>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</si>
  <si>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</si>
  <si>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</si>
  <si>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</si>
  <si>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</si>
  <si>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</si>
  <si>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</si>
  <si>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</si>
  <si>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</si>
  <si>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</si>
  <si>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</si>
  <si>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</si>
  <si>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</si>
  <si>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</si>
  <si>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</si>
  <si>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</si>
  <si>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</si>
  <si>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</si>
  <si>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</si>
  <si>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</si>
  <si>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</si>
  <si>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</si>
  <si>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</si>
  <si>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</si>
  <si>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</si>
  <si>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</si>
  <si>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</si>
  <si>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</si>
  <si>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</si>
  <si>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</si>
  <si>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</si>
  <si>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</si>
  <si>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</si>
  <si>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</si>
  <si>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</si>
  <si>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</si>
  <si>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</si>
  <si>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</si>
  <si>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</si>
  <si>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</si>
  <si>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</si>
  <si>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</si>
  <si>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</si>
  <si>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</si>
  <si>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</si>
  <si>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</si>
  <si>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</si>
  <si>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</si>
  <si>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</si>
  <si>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</si>
  <si>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</si>
  <si>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</si>
  <si>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</si>
  <si>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</si>
  <si>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</si>
  <si>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</si>
  <si>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</si>
  <si>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</si>
  <si>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</si>
  <si>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</si>
  <si>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</si>
  <si>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</si>
  <si>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</si>
  <si>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</si>
  <si>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</si>
  <si>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</si>
  <si>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</si>
  <si>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</si>
  <si>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</si>
  <si>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</si>
  <si>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</si>
  <si>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</si>
  <si>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</si>
  <si>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</si>
  <si>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</si>
  <si>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</si>
  <si>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</si>
  <si>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</si>
  <si>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</si>
  <si>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</si>
  <si>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</si>
  <si>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</si>
  <si>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</si>
  <si>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</si>
  <si>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</si>
  <si>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</si>
  <si>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</si>
  <si>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</si>
  <si>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</si>
  <si>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</si>
  <si>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</si>
  <si>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</si>
  <si>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</si>
  <si>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</si>
  <si>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</si>
  <si>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</si>
  <si>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</si>
  <si>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</si>
  <si>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</si>
  <si>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</si>
  <si>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</si>
  <si>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</si>
  <si>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</si>
  <si>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</si>
  <si>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</si>
  <si>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</si>
  <si>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</si>
  <si>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</si>
  <si>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</si>
  <si>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</si>
  <si>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</si>
  <si>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</si>
  <si>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</si>
  <si>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</si>
  <si>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</si>
  <si>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</si>
  <si>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</si>
  <si>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</si>
  <si>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</si>
  <si>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</si>
  <si>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</si>
  <si>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</si>
  <si>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</si>
  <si>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</si>
  <si>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</si>
  <si>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</si>
  <si>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</si>
  <si>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</si>
  <si>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</si>
  <si>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</si>
  <si>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</si>
  <si>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</si>
  <si>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</si>
  <si>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</si>
  <si>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</si>
  <si>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</si>
  <si>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</si>
  <si>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</si>
  <si>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</si>
  <si>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</si>
  <si>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</si>
  <si>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</si>
  <si>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</si>
  <si>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</si>
  <si>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</si>
  <si>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</si>
  <si>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</si>
  <si>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</si>
  <si>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</si>
  <si>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</si>
  <si>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</si>
  <si>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</si>
  <si>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</si>
  <si>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</si>
  <si>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</si>
  <si>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</si>
  <si>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</si>
  <si>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</si>
  <si>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</si>
  <si>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</si>
  <si>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</si>
  <si>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</si>
  <si>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</si>
  <si>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</si>
  <si>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</si>
  <si>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</si>
  <si>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</si>
  <si>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</si>
  <si>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</si>
  <si>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</si>
  <si>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</si>
  <si>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</si>
  <si>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</si>
  <si>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</si>
  <si>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</si>
  <si>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</si>
  <si>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</si>
  <si>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</si>
  <si>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</si>
  <si>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</si>
  <si>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</si>
  <si>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</si>
  <si>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</si>
  <si>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</si>
  <si>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</si>
  <si>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</si>
  <si>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</si>
  <si>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</si>
  <si>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</si>
  <si>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</si>
  <si>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</si>
  <si>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</si>
  <si>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</si>
  <si>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</si>
  <si>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</si>
  <si>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</si>
  <si>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</si>
  <si>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</si>
  <si>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</si>
  <si>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</si>
  <si>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</si>
  <si>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</si>
  <si>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</si>
  <si>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</si>
  <si>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</si>
  <si>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</si>
  <si>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</si>
  <si>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</si>
  <si>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</si>
  <si>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</si>
  <si>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</si>
  <si>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</si>
  <si>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</si>
  <si>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</si>
  <si>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</si>
  <si>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</si>
  <si>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</si>
  <si>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</si>
  <si>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</si>
  <si>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</si>
  <si>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</si>
  <si>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</si>
  <si>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</si>
  <si>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</si>
  <si>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</si>
  <si>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</si>
  <si>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</si>
  <si>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</si>
  <si>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</si>
  <si>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</si>
  <si>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</si>
  <si>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</si>
  <si>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</si>
  <si>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</si>
  <si>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</si>
  <si>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</si>
  <si>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</si>
  <si>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</si>
  <si>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</si>
  <si>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</si>
  <si>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</si>
  <si>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</si>
  <si>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</si>
  <si>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</si>
  <si>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</si>
  <si>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</si>
  <si>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</si>
  <si>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</si>
  <si>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</si>
  <si>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</si>
  <si>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</si>
  <si>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</si>
  <si>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</si>
  <si>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</si>
  <si>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</si>
  <si>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</si>
  <si>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</si>
  <si>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</si>
  <si>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</si>
  <si>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</si>
  <si>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</si>
  <si>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</si>
  <si>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</si>
  <si>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</si>
  <si>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</si>
  <si>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</si>
  <si>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</si>
  <si>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</si>
  <si>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</si>
  <si>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</si>
  <si>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</si>
  <si>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</si>
  <si>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</si>
  <si>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</si>
  <si>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</si>
  <si>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</si>
  <si>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</si>
  <si>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</si>
  <si>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</si>
  <si>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</si>
  <si>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</si>
  <si>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</si>
  <si>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</si>
  <si>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</si>
  <si>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</si>
  <si>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</si>
  <si>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</si>
  <si>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</si>
  <si>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</si>
  <si>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</si>
  <si>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</si>
  <si>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</si>
  <si>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</si>
  <si>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</si>
  <si>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</si>
  <si>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</si>
  <si>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</si>
  <si>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</si>
  <si>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</si>
  <si>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</si>
  <si>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</si>
  <si>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</si>
  <si>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</si>
  <si>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</si>
  <si>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</si>
  <si>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</si>
  <si>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</si>
  <si>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</si>
  <si>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</si>
  <si>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</si>
  <si>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</si>
  <si>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</si>
  <si>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</si>
  <si>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</si>
  <si>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</si>
  <si>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</si>
  <si>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</si>
  <si>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</si>
  <si>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</si>
  <si>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</si>
  <si>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</si>
  <si>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</si>
  <si>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</si>
  <si>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</si>
  <si>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</si>
  <si>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</si>
  <si>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</si>
  <si>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</si>
  <si>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</si>
  <si>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</si>
  <si>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</si>
  <si>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</si>
  <si>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</si>
  <si>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</si>
  <si>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</si>
  <si>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</si>
  <si>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</si>
  <si>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</si>
  <si>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</si>
  <si>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</si>
  <si>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</si>
  <si>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</si>
  <si>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</si>
  <si>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</si>
  <si>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</si>
  <si>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</si>
  <si>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</si>
  <si>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</si>
  <si>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</si>
  <si>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</si>
  <si>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</si>
  <si>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</si>
  <si>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</si>
  <si>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</si>
  <si>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</si>
  <si>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</si>
  <si>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</si>
  <si>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</si>
  <si>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</si>
  <si>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</si>
  <si>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</si>
  <si>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</si>
  <si>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</si>
  <si>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</si>
  <si>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</si>
  <si>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</si>
  <si>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</si>
  <si>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</si>
  <si>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</si>
  <si>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</si>
  <si>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</si>
  <si>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</si>
  <si>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</si>
  <si>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</si>
  <si>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</si>
  <si>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</si>
  <si>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</si>
  <si>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</si>
  <si>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</si>
  <si>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</si>
  <si>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</si>
  <si>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</si>
  <si>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</si>
  <si>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</si>
  <si>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</si>
  <si>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</si>
  <si>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</si>
  <si>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</si>
  <si>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</si>
  <si>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</si>
  <si>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</si>
  <si>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</si>
  <si>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</si>
  <si>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</si>
  <si>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</si>
  <si>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</si>
  <si>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</si>
  <si>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</si>
  <si>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</si>
  <si>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</si>
  <si>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</si>
  <si>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</si>
  <si>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</si>
  <si>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</si>
  <si>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</si>
  <si>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</si>
  <si>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</si>
  <si>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</si>
  <si>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</si>
  <si>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</si>
  <si>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</si>
  <si>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</si>
  <si>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</si>
  <si>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</si>
  <si>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</si>
  <si>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</si>
  <si>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</si>
  <si>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</si>
  <si>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</si>
  <si>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</si>
  <si>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</si>
  <si>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</si>
  <si>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</si>
  <si>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</si>
  <si>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</si>
  <si>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</si>
  <si>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</si>
  <si>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</si>
  <si>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</si>
  <si>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</si>
  <si>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</si>
  <si>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</si>
  <si>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</si>
  <si>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</si>
  <si>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</si>
  <si>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</si>
  <si>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</si>
  <si>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</si>
  <si>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</si>
  <si>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</si>
  <si>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</si>
  <si>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</si>
  <si>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</si>
  <si>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</si>
  <si>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</si>
  <si>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</si>
  <si>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</si>
  <si>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</si>
  <si>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</si>
  <si>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</si>
  <si>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</si>
  <si>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</si>
  <si>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</si>
  <si>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</si>
  <si>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</si>
  <si>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</si>
  <si>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</si>
  <si>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</si>
  <si>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</si>
  <si>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</si>
  <si>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</si>
  <si>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</si>
  <si>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</si>
  <si>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</si>
  <si>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</si>
  <si>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</si>
  <si>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</si>
  <si>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</si>
  <si>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</si>
  <si>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</si>
  <si>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</si>
  <si>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</si>
  <si>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</si>
  <si>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</si>
  <si>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</si>
  <si>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</si>
  <si>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</si>
  <si>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</si>
  <si>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</si>
  <si>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</si>
  <si>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</si>
  <si>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</si>
  <si>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</si>
  <si>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</si>
  <si>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</si>
  <si>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</si>
  <si>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</si>
  <si>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</si>
  <si>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</si>
  <si>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</si>
  <si>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</si>
  <si>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</si>
  <si>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</si>
  <si>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</si>
  <si>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</si>
  <si>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</si>
  <si>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</si>
  <si>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</si>
  <si>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</si>
  <si>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</si>
  <si>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</si>
  <si>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</si>
  <si>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</si>
  <si>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</si>
  <si>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</si>
  <si>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</si>
  <si>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</si>
  <si>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</si>
  <si>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</si>
  <si>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</si>
  <si>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</si>
  <si>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</si>
  <si>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</si>
  <si>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</si>
  <si>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</si>
  <si>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</si>
  <si>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</si>
  <si>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</si>
  <si>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</si>
  <si>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</si>
  <si>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</si>
  <si>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</si>
  <si>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</si>
  <si>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</si>
  <si>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</si>
  <si>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</si>
  <si>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</si>
  <si>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</si>
  <si>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</si>
  <si>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</si>
  <si>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</si>
  <si>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</si>
  <si>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</si>
  <si>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</si>
  <si>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</si>
  <si>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</si>
  <si>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</si>
  <si>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</si>
  <si>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</si>
  <si>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</si>
  <si>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</si>
  <si>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</si>
  <si>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</si>
  <si>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</si>
  <si>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</si>
  <si>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</si>
  <si>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</si>
  <si>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</si>
  <si>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</si>
  <si>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</si>
  <si>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</si>
  <si>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</si>
  <si>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</si>
  <si>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</si>
  <si>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</si>
  <si>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</si>
  <si>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</si>
  <si>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</si>
  <si>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</si>
  <si>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</si>
  <si>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</si>
  <si>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</si>
  <si>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</si>
  <si>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</si>
  <si>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</si>
  <si>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</si>
  <si>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</si>
  <si>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</si>
  <si>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</si>
  <si>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</si>
  <si>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</si>
  <si>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</si>
  <si>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</si>
  <si>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</si>
  <si>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</si>
  <si>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</si>
  <si>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</si>
  <si>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</si>
  <si>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</si>
  <si>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</si>
  <si>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</si>
  <si>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</si>
  <si>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</si>
  <si>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</si>
  <si>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</si>
  <si>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</si>
  <si>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</si>
  <si>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</si>
  <si>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</si>
  <si>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</si>
  <si>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</si>
  <si>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</si>
  <si>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</si>
  <si>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</si>
  <si>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</si>
  <si>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</si>
  <si>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</si>
  <si>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</si>
  <si>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</si>
  <si>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</si>
  <si>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</si>
  <si>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</si>
  <si>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</si>
  <si>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</si>
  <si>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</si>
  <si>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</si>
  <si>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</si>
  <si>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</si>
  <si>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</si>
  <si>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</si>
  <si>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</si>
  <si>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</si>
  <si>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</si>
  <si>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</si>
  <si>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</si>
  <si>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</si>
  <si>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</si>
  <si>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</si>
  <si>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</si>
  <si>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</si>
  <si>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</si>
  <si>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</si>
  <si>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</si>
  <si>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</si>
  <si>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</si>
  <si>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</si>
  <si>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</si>
  <si>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</si>
  <si>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</si>
  <si>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</si>
  <si>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</si>
  <si>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</si>
  <si>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</si>
  <si>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</si>
  <si>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</si>
  <si>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</si>
  <si>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</si>
  <si>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</si>
  <si>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</si>
  <si>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</si>
  <si>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</si>
  <si>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</si>
  <si>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</si>
  <si>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</si>
  <si>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</si>
  <si>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</si>
  <si>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</si>
  <si>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</si>
  <si>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</si>
  <si>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</si>
  <si>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</si>
  <si>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</si>
  <si>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</si>
  <si>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</si>
  <si>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</si>
  <si>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</si>
  <si>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</si>
  <si>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</si>
  <si>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</si>
  <si>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</si>
  <si>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</si>
  <si>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</si>
  <si>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</si>
  <si>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</si>
  <si>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</si>
  <si>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</si>
  <si>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</si>
  <si>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</si>
  <si>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</si>
  <si>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</si>
  <si>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</si>
  <si>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</si>
  <si>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</si>
  <si>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</si>
  <si>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</si>
  <si>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</si>
  <si>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</si>
  <si>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</si>
  <si>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</si>
  <si>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</si>
  <si>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</si>
  <si>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</si>
  <si>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</si>
  <si>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</si>
  <si>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</si>
  <si>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</si>
  <si>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</si>
  <si>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</si>
  <si>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</si>
  <si>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</si>
  <si>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</si>
  <si>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</si>
  <si>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</si>
  <si>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</si>
  <si>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</si>
  <si>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</si>
  <si>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</si>
  <si>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</si>
  <si>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</si>
  <si>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</si>
  <si>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</si>
  <si>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</si>
  <si>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</si>
  <si>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</si>
  <si>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</si>
  <si>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</si>
  <si>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</si>
  <si>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</si>
  <si>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</si>
  <si>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</si>
  <si>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</si>
  <si>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</si>
  <si>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</si>
  <si>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</si>
  <si>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</si>
  <si>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</si>
  <si>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</si>
  <si>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</si>
  <si>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</si>
  <si>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</si>
  <si>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</si>
  <si>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</si>
  <si>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</si>
  <si>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</si>
  <si>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</si>
  <si>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</si>
  <si>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</si>
  <si>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</si>
  <si>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</si>
  <si>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</si>
  <si>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</si>
  <si>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</si>
  <si>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</si>
  <si>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</si>
  <si>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</si>
  <si>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</si>
  <si>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</si>
  <si>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</si>
  <si>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</si>
  <si>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</si>
  <si>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</si>
  <si>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</si>
  <si>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</si>
  <si>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</si>
  <si>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</si>
  <si>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</si>
  <si>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</si>
  <si>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</si>
  <si>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</si>
  <si>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</si>
  <si>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</si>
  <si>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</si>
  <si>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</si>
  <si>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</si>
  <si>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</si>
  <si>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</si>
  <si>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</si>
  <si>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</si>
  <si>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</si>
  <si>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</si>
  <si>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</si>
  <si>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</si>
  <si>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</si>
  <si>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</si>
  <si>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</si>
  <si>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</si>
  <si>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</si>
  <si>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</si>
  <si>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</si>
  <si>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</si>
  <si>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</si>
  <si>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</si>
  <si>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</si>
  <si>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</si>
  <si>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</si>
  <si>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</si>
  <si>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</si>
  <si>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</si>
  <si>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</si>
  <si>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</si>
  <si>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</si>
  <si>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</si>
  <si>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</si>
  <si>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</si>
  <si>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</si>
  <si>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</si>
  <si>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</si>
  <si>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</si>
  <si>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</si>
  <si>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</si>
  <si>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</si>
  <si>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</si>
  <si>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</si>
  <si>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</si>
  <si>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</si>
  <si>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</si>
  <si>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</si>
  <si>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</si>
  <si>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</si>
  <si>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</si>
  <si>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</si>
  <si>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</si>
  <si>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</si>
  <si>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</si>
  <si>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</si>
  <si>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</si>
  <si>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</si>
  <si>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</si>
  <si>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</si>
  <si>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</si>
  <si>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</si>
  <si>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</si>
  <si>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</si>
  <si>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</si>
  <si>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</si>
  <si>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</si>
  <si>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</si>
  <si>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</si>
  <si>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</si>
  <si>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</si>
  <si>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</si>
  <si>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</si>
  <si>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</si>
  <si>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</si>
  <si>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</si>
  <si>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</si>
  <si>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</si>
  <si>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</si>
  <si>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</si>
  <si>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</si>
  <si>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</si>
  <si>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</si>
  <si>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</si>
  <si>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</si>
  <si>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</si>
  <si>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</si>
  <si>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</si>
  <si>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</si>
  <si>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</si>
  <si>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</si>
  <si>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</si>
  <si>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</si>
  <si>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</si>
  <si>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</si>
  <si>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</si>
  <si>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</si>
  <si>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</si>
  <si>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</si>
  <si>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</si>
  <si>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</si>
  <si>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</si>
  <si>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</si>
  <si>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</si>
  <si>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</si>
  <si>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</si>
  <si>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</si>
  <si>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</si>
  <si>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</si>
  <si>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</si>
  <si>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</si>
  <si>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</si>
  <si>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</si>
  <si>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</si>
  <si>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</si>
  <si>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</si>
  <si>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</si>
  <si>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</si>
  <si>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</si>
  <si>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</si>
  <si>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</si>
  <si>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</si>
  <si>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</si>
  <si>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</si>
  <si>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</si>
  <si>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</si>
  <si>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</si>
  <si>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</si>
  <si>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</si>
  <si>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</si>
  <si>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</si>
  <si>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</si>
  <si>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</si>
  <si>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</si>
  <si>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</si>
  <si>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</si>
  <si>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</si>
  <si>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</si>
  <si>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</si>
  <si>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</si>
  <si>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</si>
  <si>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</si>
  <si>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</si>
  <si>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</si>
  <si>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</si>
  <si>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</si>
  <si>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</si>
  <si>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</si>
  <si>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</si>
  <si>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</si>
  <si>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</si>
  <si>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</si>
  <si>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</si>
  <si>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</si>
  <si>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</si>
  <si>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</si>
  <si>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</si>
  <si>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</si>
  <si>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</si>
  <si>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</si>
  <si>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</si>
  <si>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</si>
  <si>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</si>
  <si>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</si>
  <si>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</si>
  <si>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</si>
  <si>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</si>
  <si>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</si>
  <si>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</si>
  <si>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</si>
  <si>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</si>
  <si>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</si>
  <si>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</si>
  <si>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</si>
  <si>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</si>
  <si>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</si>
  <si>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</si>
  <si>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</si>
  <si>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</si>
  <si>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</si>
  <si>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</si>
  <si>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</si>
  <si>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</si>
  <si>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</si>
  <si>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</si>
  <si>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</si>
  <si>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</si>
  <si>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</si>
  <si>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</si>
  <si>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</si>
  <si>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</si>
  <si>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</si>
  <si>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</si>
  <si>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</si>
  <si>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</si>
  <si>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</si>
  <si>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</si>
  <si>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</si>
  <si>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</si>
  <si>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</si>
  <si>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</si>
  <si>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</si>
  <si>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</si>
  <si>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</si>
  <si>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</si>
  <si>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</si>
  <si>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</si>
  <si>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</si>
  <si>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</si>
  <si>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</si>
  <si>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</si>
  <si>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</si>
  <si>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</si>
  <si>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</si>
  <si>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</si>
  <si>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</si>
  <si>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</si>
  <si>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</si>
  <si>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</si>
  <si>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</si>
  <si>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</si>
  <si>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</si>
  <si>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</si>
  <si>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</si>
  <si>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</si>
  <si>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</si>
  <si>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</si>
  <si>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</si>
  <si>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</si>
  <si>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</si>
  <si>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</si>
  <si>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</si>
  <si>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</si>
  <si>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</si>
  <si>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</si>
  <si>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</si>
  <si>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</si>
  <si>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</si>
  <si>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</si>
  <si>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</si>
  <si>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</si>
  <si>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</si>
  <si>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</si>
  <si>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</si>
  <si>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</si>
  <si>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</si>
  <si>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</si>
  <si>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</si>
  <si>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</si>
  <si>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</si>
  <si>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</si>
  <si>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</si>
  <si>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</si>
  <si>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</si>
  <si>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</si>
  <si>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</si>
  <si>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</si>
  <si>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</si>
  <si>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</si>
  <si>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</si>
  <si>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</si>
  <si>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</si>
  <si>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</si>
  <si>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</si>
  <si>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</si>
  <si>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</si>
  <si>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</si>
  <si>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</si>
  <si>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</si>
  <si>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</si>
  <si>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</si>
  <si>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</si>
  <si>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</si>
  <si>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</si>
  <si>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</si>
  <si>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</si>
  <si>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</si>
  <si>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</si>
  <si>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</si>
  <si>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</si>
  <si>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</si>
  <si>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</si>
  <si>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</si>
  <si>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</si>
  <si>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</si>
  <si>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</si>
  <si>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</si>
  <si>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</si>
  <si>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</si>
  <si>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</si>
  <si>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</si>
  <si>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</si>
  <si>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</si>
  <si>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</si>
  <si>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</si>
  <si>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</si>
  <si>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</si>
  <si>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</si>
  <si>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</si>
  <si>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</si>
  <si>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</si>
  <si>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</si>
  <si>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</si>
  <si>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</si>
  <si>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</si>
  <si>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</si>
  <si>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</si>
  <si>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</si>
  <si>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</si>
  <si>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</si>
  <si>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</si>
  <si>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</si>
  <si>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</si>
  <si>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</si>
  <si>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</si>
  <si>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</si>
  <si>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</si>
  <si>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</si>
  <si>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</si>
  <si>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</si>
  <si>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</si>
  <si>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</si>
  <si>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</si>
  <si>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</si>
  <si>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</si>
  <si>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</si>
  <si>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</si>
  <si>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</si>
  <si>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</si>
  <si>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</si>
  <si>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</si>
  <si>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</si>
  <si>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</si>
  <si>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</si>
  <si>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</si>
  <si>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</si>
  <si>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</si>
  <si>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</si>
  <si>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</si>
  <si>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</si>
  <si>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</si>
  <si>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</si>
  <si>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</si>
  <si>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</si>
  <si>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</si>
  <si>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</si>
  <si>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</si>
  <si>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</si>
  <si>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</si>
  <si>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</si>
  <si>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</si>
  <si>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</si>
  <si>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</si>
  <si>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</si>
  <si>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</si>
  <si>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</si>
  <si>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</si>
  <si>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</si>
  <si>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</si>
  <si>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</si>
  <si>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</si>
  <si>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</si>
  <si>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</si>
  <si>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</si>
  <si>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</si>
  <si>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</si>
  <si>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</si>
  <si>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</si>
  <si>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</si>
  <si>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</si>
  <si>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</si>
  <si>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</si>
  <si>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</si>
  <si>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</si>
  <si>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</si>
  <si>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</si>
  <si>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</si>
  <si>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</si>
  <si>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</si>
  <si>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</si>
  <si>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</si>
  <si>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</si>
  <si>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</si>
  <si>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</si>
  <si>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</si>
  <si>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</si>
  <si>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</si>
  <si>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</si>
  <si>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</si>
  <si>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</si>
  <si>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</si>
  <si>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</si>
  <si>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</si>
  <si>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</si>
  <si>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</si>
  <si>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</si>
  <si>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</si>
  <si>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</si>
  <si>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</si>
  <si>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</si>
  <si>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</si>
  <si>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</si>
  <si>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</si>
  <si>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</si>
  <si>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</si>
  <si>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</si>
  <si>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</si>
  <si>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</si>
  <si>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</si>
  <si>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</si>
  <si>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</si>
  <si>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</si>
  <si>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</si>
  <si>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</si>
  <si>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</si>
  <si>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</si>
  <si>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</si>
  <si>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</si>
  <si>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</si>
  <si>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</si>
  <si>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</si>
  <si>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</si>
  <si>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</si>
  <si>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</si>
  <si>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</si>
  <si>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</si>
  <si>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</si>
  <si>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</si>
  <si>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</si>
  <si>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</si>
  <si>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</si>
  <si>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</si>
  <si>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</si>
  <si>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</si>
  <si>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</si>
  <si>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</si>
  <si>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</si>
  <si>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</si>
  <si>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</si>
  <si>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</si>
  <si>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</si>
  <si>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</si>
  <si>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</si>
  <si>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</si>
  <si>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</si>
  <si>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</si>
  <si>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</si>
  <si>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</si>
  <si>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</si>
  <si>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</si>
  <si>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</si>
  <si>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</si>
  <si>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</si>
  <si>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</si>
  <si>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</si>
  <si>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</si>
  <si>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</si>
  <si>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</si>
  <si>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</si>
  <si>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</si>
  <si>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</si>
  <si>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</si>
  <si>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</si>
  <si>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</si>
  <si>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</si>
  <si>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</si>
  <si>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</si>
  <si>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</si>
  <si>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</si>
  <si>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</si>
  <si>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</si>
  <si>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</si>
  <si>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</si>
  <si>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</si>
  <si>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</si>
  <si>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</si>
  <si>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</si>
  <si>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</si>
  <si>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</si>
  <si>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</si>
  <si>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</si>
  <si>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</si>
  <si>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</si>
  <si>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</si>
  <si>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</si>
  <si>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</si>
  <si>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</si>
  <si>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</si>
  <si>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</si>
  <si>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</si>
  <si>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</si>
  <si>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</si>
  <si>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</si>
  <si>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</si>
  <si>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</si>
  <si>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</si>
  <si>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</si>
  <si>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</si>
  <si>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</si>
  <si>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</si>
  <si>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</si>
  <si>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</si>
  <si>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</si>
  <si>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</si>
  <si>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</si>
  <si>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</si>
  <si>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</si>
  <si>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</si>
  <si>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</si>
  <si>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</si>
  <si>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</si>
  <si>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</si>
  <si>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</si>
  <si>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</si>
  <si>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</si>
  <si>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</si>
  <si>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</si>
  <si>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</si>
  <si>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</si>
  <si>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</si>
  <si>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</si>
  <si>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</si>
  <si>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</si>
  <si>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</si>
  <si>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</si>
  <si>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</si>
  <si>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</si>
  <si>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</si>
  <si>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</si>
  <si>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</si>
  <si>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</si>
  <si>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</si>
  <si>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</si>
  <si>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</si>
  <si>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</si>
  <si>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</si>
  <si>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</si>
  <si>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</si>
  <si>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</si>
  <si>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</si>
  <si>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</si>
  <si>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</si>
  <si>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</si>
  <si>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</si>
  <si>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</si>
  <si>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</si>
  <si>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</si>
  <si>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</si>
  <si>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</si>
  <si>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</si>
  <si>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</si>
  <si>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</si>
  <si>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</si>
  <si>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</si>
  <si>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</si>
  <si>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</si>
  <si>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</si>
  <si>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</si>
  <si>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</si>
  <si>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</si>
  <si>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</si>
  <si>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</si>
  <si>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</si>
  <si>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</si>
  <si>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</si>
  <si>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</si>
  <si>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</si>
  <si>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</si>
  <si>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</si>
  <si>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</si>
  <si>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</si>
  <si>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</si>
  <si>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</si>
  <si>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</si>
  <si>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</si>
  <si>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</si>
  <si>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</si>
  <si>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</si>
  <si>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</si>
  <si>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</si>
  <si>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</si>
  <si>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</si>
  <si>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</si>
  <si>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</si>
  <si>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</si>
  <si>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</si>
  <si>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</si>
  <si>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</si>
  <si>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</si>
  <si>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</si>
  <si>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</si>
  <si>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</si>
  <si>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</si>
  <si>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</si>
  <si>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</si>
  <si>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</si>
  <si>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</si>
  <si>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</si>
  <si>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</si>
  <si>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</si>
  <si>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</si>
  <si>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</si>
  <si>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</si>
  <si>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</si>
  <si>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</si>
  <si>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</si>
  <si>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</si>
  <si>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</si>
  <si>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</si>
  <si>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</si>
  <si>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</si>
  <si>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</si>
  <si>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</si>
  <si>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</si>
  <si>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</si>
  <si>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</si>
  <si>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</si>
  <si>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</si>
  <si>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</si>
  <si>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</si>
  <si>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</si>
  <si>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</si>
  <si>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</si>
  <si>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</si>
  <si>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</si>
  <si>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</si>
  <si>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</si>
  <si>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</si>
  <si>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</si>
  <si>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</si>
  <si>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</si>
  <si>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</si>
  <si>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</si>
  <si>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</si>
  <si>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</si>
  <si>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</si>
  <si>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</si>
  <si>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</si>
  <si>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</si>
  <si>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</si>
  <si>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</si>
  <si>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</si>
  <si>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</si>
  <si>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</si>
  <si>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</si>
  <si>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</si>
  <si>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</si>
  <si>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</si>
  <si>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</si>
  <si>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</si>
  <si>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</si>
  <si>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</si>
  <si>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</si>
  <si>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</si>
  <si>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</si>
  <si>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</si>
  <si>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</si>
  <si>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</si>
  <si>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</si>
  <si>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</si>
  <si>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</si>
  <si>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</si>
  <si>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</si>
  <si>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</si>
  <si>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</si>
  <si>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</si>
  <si>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</si>
  <si>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</si>
  <si>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</si>
  <si>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</si>
  <si>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</si>
  <si>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</si>
  <si>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</si>
  <si>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</si>
  <si>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</si>
  <si>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</si>
  <si>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</si>
  <si>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</si>
  <si>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</si>
  <si>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</si>
  <si>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</si>
  <si>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</si>
  <si>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</si>
  <si>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</si>
  <si>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</si>
  <si>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</si>
  <si>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</si>
  <si>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</si>
  <si>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</si>
  <si>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</si>
  <si>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</si>
  <si>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</si>
  <si>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</si>
  <si>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</si>
  <si>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</si>
  <si>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</si>
  <si>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</si>
  <si>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</si>
  <si>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</si>
  <si>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</si>
  <si>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</si>
  <si>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</si>
  <si>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</si>
  <si>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</si>
  <si>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</si>
  <si>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</si>
  <si>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</si>
  <si>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</si>
  <si>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</si>
  <si>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</si>
  <si>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</si>
  <si>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</si>
  <si>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</si>
  <si>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</si>
  <si>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</si>
  <si>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</si>
  <si>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</si>
  <si>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</si>
  <si>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</si>
  <si>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</si>
  <si>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</si>
  <si>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</si>
  <si>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</si>
  <si>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</si>
  <si>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</si>
  <si>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</si>
  <si>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</si>
  <si>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</si>
  <si>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</si>
  <si>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</si>
  <si>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</si>
  <si>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</si>
  <si>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</si>
  <si>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</si>
  <si>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</si>
  <si>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</si>
  <si>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</si>
  <si>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</si>
  <si>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</si>
  <si>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</si>
  <si>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</si>
  <si>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</si>
  <si>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</si>
  <si>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</si>
  <si>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</si>
  <si>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</si>
  <si>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</si>
  <si>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</si>
  <si>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</si>
  <si>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</si>
  <si>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</si>
  <si>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</si>
  <si>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</si>
  <si>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</si>
  <si>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</si>
  <si>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</si>
  <si>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</si>
  <si>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</si>
  <si>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</si>
  <si>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</si>
  <si>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</si>
  <si>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</si>
  <si>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</si>
  <si>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</si>
  <si>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</si>
  <si>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</si>
  <si>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</si>
  <si>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</si>
  <si>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</si>
  <si>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</si>
  <si>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</si>
  <si>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</si>
  <si>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</si>
  <si>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</si>
  <si>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</si>
  <si>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</si>
  <si>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</si>
  <si>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</si>
  <si>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</si>
  <si>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</si>
  <si>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</si>
  <si>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</si>
  <si>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</si>
  <si>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</si>
  <si>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</si>
  <si>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</si>
  <si>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</si>
  <si>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</si>
  <si>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</si>
  <si>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</si>
  <si>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</si>
  <si>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</si>
  <si>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</si>
  <si>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</si>
  <si>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</si>
  <si>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</si>
  <si>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</si>
  <si>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</si>
  <si>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</si>
  <si>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</si>
  <si>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</si>
  <si>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</si>
  <si>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</si>
  <si>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</si>
  <si>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</si>
  <si>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</si>
  <si>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</si>
  <si>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</si>
  <si>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</si>
  <si>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</si>
  <si>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</si>
  <si>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</si>
  <si>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</si>
  <si>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</si>
  <si>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</si>
  <si>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</si>
  <si>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</si>
  <si>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</si>
  <si>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</si>
  <si>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</si>
  <si>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</si>
  <si>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</si>
  <si>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</si>
  <si>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</si>
  <si>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</si>
  <si>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</si>
  <si>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</si>
  <si>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</si>
  <si>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</si>
  <si>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</si>
  <si>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</si>
  <si>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</si>
  <si>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</si>
  <si>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</si>
  <si>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</si>
  <si>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</si>
  <si>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</si>
  <si>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</si>
  <si>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</si>
  <si>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</si>
  <si>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</si>
  <si>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</si>
  <si>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</si>
  <si>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</si>
  <si>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</si>
  <si>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</si>
  <si>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</si>
  <si>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</si>
  <si>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</si>
  <si>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</si>
  <si>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</si>
  <si>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</si>
  <si>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</si>
  <si>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</si>
  <si>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</si>
  <si>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</si>
  <si>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</si>
  <si>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</si>
  <si>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</si>
  <si>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</si>
  <si>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</si>
  <si>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</si>
  <si>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</si>
  <si>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</si>
  <si>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</si>
  <si>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</si>
  <si>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</si>
  <si>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</si>
  <si>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</si>
  <si>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</si>
  <si>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</si>
  <si>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</si>
  <si>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</si>
  <si>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</si>
  <si>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</si>
  <si>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</si>
  <si>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</si>
  <si>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</si>
  <si>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</si>
  <si>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</si>
  <si>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</si>
  <si>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</si>
  <si>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</si>
  <si>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</si>
  <si>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</si>
  <si>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</si>
  <si>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</si>
  <si>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</si>
  <si>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</si>
  <si>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</si>
  <si>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</si>
  <si>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</si>
  <si>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</si>
  <si>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</si>
  <si>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</si>
  <si>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</si>
  <si>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</si>
  <si>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</si>
  <si>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</si>
  <si>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</si>
  <si>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</si>
  <si>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</si>
  <si>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</si>
  <si>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</si>
  <si>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</si>
  <si>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</si>
  <si>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</si>
  <si>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</si>
  <si>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</si>
  <si>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</si>
  <si>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</si>
  <si>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</si>
  <si>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</si>
  <si>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</si>
  <si>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</si>
  <si>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</si>
  <si>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</si>
  <si>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</si>
  <si>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</si>
  <si>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</si>
  <si>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</si>
  <si>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</si>
  <si>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</si>
  <si>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</si>
  <si>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</si>
  <si>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</si>
  <si>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</si>
  <si>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</si>
  <si>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</si>
  <si>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</si>
  <si>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</si>
  <si>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</si>
  <si>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</si>
  <si>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</si>
  <si>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</si>
  <si>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</si>
  <si>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</si>
  <si>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</si>
  <si>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</si>
  <si>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</si>
  <si>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</si>
  <si>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</si>
  <si>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</si>
  <si>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</si>
  <si>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</si>
  <si>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</si>
  <si>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</si>
  <si>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</si>
  <si>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</si>
  <si>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</si>
  <si>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</si>
  <si>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</si>
  <si>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</si>
  <si>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</si>
  <si>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</si>
  <si>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</si>
  <si>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</si>
  <si>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</si>
  <si>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</si>
  <si>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</si>
  <si>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</si>
  <si>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</si>
  <si>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</si>
  <si>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</si>
  <si>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</si>
  <si>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</si>
  <si>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</si>
  <si>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</si>
  <si>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</si>
  <si>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</si>
  <si>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</si>
  <si>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</si>
  <si>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</si>
  <si>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</si>
  <si>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</si>
  <si>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</si>
  <si>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</si>
  <si>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</si>
  <si>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</si>
  <si>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</si>
  <si>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</si>
  <si>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</si>
  <si>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</si>
  <si>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</si>
  <si>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</si>
  <si>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</si>
  <si>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</si>
  <si>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</si>
  <si>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</si>
  <si>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</si>
  <si>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</si>
  <si>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</si>
  <si>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</si>
  <si>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</si>
  <si>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</si>
  <si>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</si>
  <si>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</si>
  <si>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</si>
  <si>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</si>
  <si>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</si>
  <si>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</si>
  <si>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</si>
  <si>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</si>
  <si>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</si>
  <si>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</si>
  <si>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</si>
  <si>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</si>
  <si>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</si>
  <si>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</si>
  <si>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</si>
  <si>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</si>
  <si>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</si>
  <si>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</si>
  <si>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</si>
  <si>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</si>
  <si>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</si>
  <si>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</si>
  <si>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</si>
  <si>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</si>
  <si>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</si>
  <si>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</si>
  <si>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</si>
  <si>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</si>
  <si>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</si>
  <si>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</si>
  <si>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</si>
  <si>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</si>
  <si>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</si>
  <si>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</si>
  <si>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</si>
  <si>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</si>
  <si>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</si>
  <si>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</si>
  <si>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</si>
  <si>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</si>
  <si>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</si>
  <si>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</si>
  <si>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</si>
  <si>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</si>
  <si>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</si>
  <si>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</si>
  <si>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</si>
  <si>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</si>
  <si>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</si>
  <si>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</si>
  <si>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</si>
  <si>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</si>
  <si>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</si>
  <si>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</si>
  <si>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</si>
  <si>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</si>
  <si>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</si>
  <si>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</si>
  <si>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</si>
  <si>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</si>
  <si>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</si>
  <si>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</si>
  <si>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</si>
  <si>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</si>
  <si>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</si>
  <si>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</si>
  <si>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</si>
  <si>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</si>
  <si>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</si>
  <si>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</si>
  <si>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</si>
  <si>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</si>
  <si>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</si>
  <si>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</si>
  <si>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</si>
  <si>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</si>
  <si>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</si>
  <si>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</si>
  <si>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</si>
  <si>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</si>
  <si>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</si>
  <si>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</si>
  <si>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</si>
  <si>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</si>
  <si>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</si>
  <si>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</si>
  <si>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</si>
  <si>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</si>
  <si>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</si>
  <si>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</si>
  <si>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</si>
  <si>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</si>
  <si>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</si>
  <si>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</si>
  <si>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</si>
  <si>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</si>
  <si>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</si>
  <si>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</si>
  <si>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</si>
  <si>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</si>
  <si>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</si>
  <si>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</si>
  <si>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</si>
  <si>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</si>
  <si>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</si>
  <si>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</si>
  <si>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</si>
  <si>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</si>
  <si>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</si>
  <si>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</si>
  <si>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</si>
  <si>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</si>
  <si>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</si>
  <si>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</si>
  <si>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</si>
  <si>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</si>
  <si>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</si>
  <si>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</si>
  <si>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</si>
  <si>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</si>
  <si>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</si>
  <si>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</si>
  <si>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</si>
  <si>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</si>
  <si>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</si>
  <si>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</si>
  <si>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</si>
  <si>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</si>
  <si>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</si>
  <si>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</si>
  <si>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</si>
  <si>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</si>
  <si>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</si>
  <si>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</si>
  <si>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</si>
  <si>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</si>
  <si>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</si>
  <si>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</si>
  <si>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</si>
  <si>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</si>
  <si>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</si>
  <si>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</si>
  <si>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</si>
  <si>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</si>
  <si>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</si>
  <si>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</si>
  <si>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</si>
  <si>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</si>
  <si>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</si>
  <si>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</si>
  <si>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</si>
  <si>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</si>
  <si>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</si>
  <si>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</si>
  <si>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</si>
  <si>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</si>
  <si>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</si>
  <si>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</si>
  <si>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</si>
  <si>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</si>
  <si>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</si>
  <si>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</si>
  <si>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</si>
  <si>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</si>
  <si>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</si>
  <si>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</si>
  <si>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</si>
  <si>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</si>
  <si>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</si>
  <si>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</si>
  <si>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</si>
  <si>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</si>
  <si>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</si>
  <si>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</si>
  <si>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</si>
  <si>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</si>
  <si>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</si>
  <si>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</si>
  <si>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</si>
  <si>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</si>
  <si>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</si>
  <si>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</si>
  <si>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</si>
  <si>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</si>
  <si>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</si>
  <si>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</si>
  <si>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</si>
  <si>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</si>
  <si>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</si>
  <si>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</si>
  <si>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</si>
  <si>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</si>
  <si>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</si>
  <si>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</si>
  <si>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</si>
  <si>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</si>
  <si>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</si>
  <si>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</si>
  <si>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</si>
  <si>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</si>
  <si>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</si>
  <si>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</si>
  <si>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</si>
  <si>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</si>
  <si>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</si>
  <si>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</si>
  <si>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</si>
  <si>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</si>
  <si>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</si>
  <si>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</si>
  <si>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</si>
  <si>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</si>
  <si>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</si>
  <si>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</si>
  <si>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</si>
  <si>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</si>
  <si>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</si>
  <si>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</si>
  <si>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</si>
  <si>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</si>
  <si>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</si>
  <si>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</si>
  <si>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</si>
  <si>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</si>
  <si>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</si>
  <si>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</si>
  <si>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</si>
  <si>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</si>
  <si>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</si>
  <si>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</si>
  <si>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</si>
  <si>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</si>
  <si>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</si>
  <si>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</si>
  <si>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</si>
  <si>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</si>
  <si>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</si>
  <si>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</si>
  <si>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</si>
  <si>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</si>
  <si>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</si>
  <si>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</si>
  <si>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</si>
  <si>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</si>
  <si>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</si>
  <si>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</si>
  <si>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</si>
  <si>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</si>
  <si>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</si>
  <si>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</si>
  <si>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</si>
  <si>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</si>
  <si>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</si>
  <si>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</si>
  <si>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</si>
  <si>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</si>
  <si>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</si>
  <si>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</si>
  <si>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</si>
  <si>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</si>
  <si>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</si>
  <si>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</si>
  <si>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</si>
  <si>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</si>
  <si>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</si>
  <si>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</si>
  <si>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</si>
  <si>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</si>
  <si>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</si>
  <si>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</si>
  <si>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</si>
  <si>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</si>
  <si>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</si>
  <si>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</si>
  <si>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</si>
  <si>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</si>
  <si>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</si>
  <si>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</si>
  <si>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</si>
  <si>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</si>
  <si>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</si>
  <si>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</si>
  <si>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</si>
  <si>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</si>
  <si>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</si>
  <si>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</si>
  <si>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</si>
  <si>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</si>
  <si>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</si>
  <si>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</si>
  <si>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</si>
  <si>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</si>
  <si>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</si>
  <si>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</si>
  <si>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</si>
  <si>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</si>
  <si>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</si>
  <si>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</si>
  <si>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</si>
  <si>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</si>
  <si>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</si>
  <si>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</si>
  <si>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</si>
  <si>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</si>
  <si>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</si>
  <si>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</si>
  <si>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</si>
  <si>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</si>
  <si>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</si>
  <si>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</si>
  <si>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</si>
  <si>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</si>
  <si>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</si>
  <si>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</si>
  <si>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</si>
  <si>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</si>
  <si>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</si>
  <si>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</si>
  <si>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</si>
  <si>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</si>
  <si>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</si>
  <si>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</si>
  <si>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</si>
  <si>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</si>
  <si>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</si>
  <si>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</si>
  <si>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</si>
  <si>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</si>
  <si>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</si>
  <si>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</si>
  <si>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</si>
  <si>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</si>
  <si>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</si>
  <si>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</si>
  <si>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</si>
  <si>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</si>
  <si>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</si>
  <si>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</si>
  <si>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</si>
  <si>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</si>
  <si>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</si>
  <si>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</si>
  <si>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</si>
  <si>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</si>
  <si>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</si>
  <si>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</si>
  <si>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</si>
  <si>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</si>
  <si>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</si>
  <si>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市场价格</t>
  </si>
  <si>
    <t>自然人</t>
  </si>
  <si>
    <t>是</t>
  </si>
  <si>
    <t>地上</t>
  </si>
  <si>
    <t>地下</t>
  </si>
  <si>
    <t>住宅</t>
    <phoneticPr fontId="7" type="noConversion"/>
  </si>
  <si>
    <t>利息：取LPR加浮动点数</t>
  </si>
  <si>
    <t>城镇住宅用地</t>
  </si>
  <si>
    <t>有</t>
  </si>
  <si>
    <t>1000米以外</t>
  </si>
  <si>
    <t>较好</t>
  </si>
  <si>
    <t>一般</t>
  </si>
  <si>
    <t>较差</t>
  </si>
  <si>
    <t>好</t>
  </si>
  <si>
    <t>房屋坐落</t>
  </si>
  <si>
    <t>物业名称</t>
  </si>
  <si>
    <t>产权性质</t>
  </si>
  <si>
    <t>房屋用途</t>
  </si>
  <si>
    <t>总层数</t>
  </si>
  <si>
    <t>所在楼层</t>
  </si>
  <si>
    <t>产权年代</t>
  </si>
  <si>
    <t>现场年代</t>
  </si>
  <si>
    <t>证明年代</t>
  </si>
  <si>
    <t>土地证号</t>
  </si>
  <si>
    <t>成交单价</t>
  </si>
  <si>
    <t>评估单价</t>
  </si>
  <si>
    <t>评估总价</t>
  </si>
  <si>
    <t>估价时点</t>
  </si>
  <si>
    <t>香江花园</t>
  </si>
  <si>
    <t>商品房</t>
  </si>
  <si>
    <t>别墅</t>
  </si>
  <si>
    <t>香江北路1号138A幢1至3层全部</t>
  </si>
  <si>
    <t>3（0）</t>
  </si>
  <si>
    <t>京市朝私国用（2008出）第7002789号</t>
  </si>
  <si>
    <t>香江北路1号T841幢1至3层</t>
  </si>
  <si>
    <t>香江北路1号134E幢1至2层</t>
  </si>
  <si>
    <t>香江北路1号332F幢1至2层全部</t>
  </si>
  <si>
    <t>香江北路1号210A幢1至3层全部</t>
  </si>
  <si>
    <t>来广营东路9号103A号楼-1至3层102</t>
  </si>
  <si>
    <t>长岛澜桥</t>
  </si>
  <si>
    <t>03（-01）</t>
  </si>
  <si>
    <t>来广营东路9号96号楼-1至3层102号</t>
  </si>
  <si>
    <t>观唐东路1号院1-203、地下室</t>
  </si>
  <si>
    <t>观唐</t>
  </si>
  <si>
    <t>02（-01）</t>
  </si>
  <si>
    <t>京市朝私国用（2007出）第6021269号</t>
  </si>
  <si>
    <t>观唐东路1号院5-810-1至2层5-810号</t>
  </si>
  <si>
    <t>2（-1）</t>
  </si>
  <si>
    <t>-1-2</t>
    <phoneticPr fontId="224" type="noConversion"/>
  </si>
  <si>
    <t>观唐东路1号院2-711</t>
  </si>
  <si>
    <t>观唐中式宅院</t>
  </si>
  <si>
    <t>京市朝私国用（2008出）第003799号</t>
  </si>
  <si>
    <t>-1-2</t>
    <phoneticPr fontId="224" type="noConversion"/>
  </si>
  <si>
    <t>长岛澜桥</t>
    <phoneticPr fontId="224" type="noConversion"/>
  </si>
  <si>
    <t>-1-3</t>
    <phoneticPr fontId="224" type="noConversion"/>
  </si>
  <si>
    <t>香江花园</t>
    <phoneticPr fontId="224" type="noConversion"/>
  </si>
  <si>
    <t>1-3</t>
    <phoneticPr fontId="224" type="noConversion"/>
  </si>
  <si>
    <t>1-2</t>
    <phoneticPr fontId="224" type="noConversion"/>
  </si>
  <si>
    <t>京顺路大湖山庄260幢-1至2层全部</t>
  </si>
  <si>
    <t>大湖山庄</t>
  </si>
  <si>
    <t>京顺路大湖山庄231幢-1至3层全部</t>
  </si>
  <si>
    <t>3（-1）</t>
  </si>
  <si>
    <t>京朝私国用（2012出）第0602429号</t>
  </si>
  <si>
    <t>-1至2层</t>
    <phoneticPr fontId="224" type="noConversion"/>
  </si>
  <si>
    <t>已部分缴纳</t>
  </si>
  <si>
    <t>项目全部</t>
  </si>
  <si>
    <t>土地</t>
  </si>
  <si>
    <t>基准地价</t>
  </si>
  <si>
    <t>剩余法-待开发</t>
  </si>
  <si>
    <t>地块名称</t>
  </si>
  <si>
    <t>区县</t>
  </si>
  <si>
    <t>板块</t>
  </si>
  <si>
    <t>地块编号</t>
  </si>
  <si>
    <t>土地位置</t>
  </si>
  <si>
    <t>用地性质</t>
  </si>
  <si>
    <t>建设用地面积(㎡)</t>
  </si>
  <si>
    <t>规划建筑面积(㎡)</t>
  </si>
  <si>
    <t>容积率上限</t>
  </si>
  <si>
    <t>出让方式</t>
  </si>
  <si>
    <t>详细规划</t>
  </si>
  <si>
    <t>推出特殊政策</t>
  </si>
  <si>
    <t>成交特殊政策</t>
  </si>
  <si>
    <t>公告时间</t>
  </si>
  <si>
    <t>起始时间</t>
  </si>
  <si>
    <t>截止时间</t>
  </si>
  <si>
    <t>成交时间</t>
  </si>
  <si>
    <t>公告编号</t>
  </si>
  <si>
    <t>交易状态</t>
  </si>
  <si>
    <t>受让单位</t>
  </si>
  <si>
    <t>拿地企业</t>
  </si>
  <si>
    <t>企业性质</t>
  </si>
  <si>
    <t>是否城投企业</t>
  </si>
  <si>
    <t>起始价(万元)</t>
  </si>
  <si>
    <t>保证金(万元)</t>
  </si>
  <si>
    <t>成交价(万元)</t>
  </si>
  <si>
    <t>推出每亩价(万元/亩)</t>
  </si>
  <si>
    <t>成交每亩价(万元/亩)</t>
  </si>
  <si>
    <t>推出楼面价(元/㎡)</t>
  </si>
  <si>
    <t>成交楼面价(元/㎡)</t>
  </si>
  <si>
    <t>溢价率(%)</t>
  </si>
  <si>
    <t>出让年限(年)</t>
  </si>
  <si>
    <t>环线</t>
  </si>
  <si>
    <t>特殊用地类型</t>
  </si>
  <si>
    <t>保障房类型</t>
  </si>
  <si>
    <t>北京市朝阳区酒仙桥旧城区改建项目1019-0014地块、小红门乡剩余土地一级开发项目XHM-10、12地块、十八里店朝阳港一期土地一级开发项目1303-692、683、1301-L01、L02地块</t>
  </si>
  <si>
    <t>朝阳区</t>
  </si>
  <si>
    <t>酒仙桥</t>
  </si>
  <si>
    <t>京土储挂(朝)[2024]046号</t>
  </si>
  <si>
    <t>朝阳区酒仙桥街道、小红门乡、十八里店乡</t>
  </si>
  <si>
    <t>综合用地(含住宅)</t>
  </si>
  <si>
    <t>r2:2.8,b4:3,a334:0.9</t>
  </si>
  <si>
    <t>挂牌</t>
  </si>
  <si>
    <t>R2二类居住用地、 B4综合性商业金融服务业用地、 A334托幼用地</t>
  </si>
  <si>
    <t>限地价,摇号/摇珠/抽签</t>
  </si>
  <si>
    <t>已成交</t>
  </si>
  <si>
    <t>中海企业发展集团有限公司</t>
  </si>
  <si>
    <t>中海地产</t>
  </si>
  <si>
    <t>中央国有企业</t>
  </si>
  <si>
    <t>居住70年、商业40年、办公50年</t>
  </si>
  <si>
    <t>四至五环间</t>
  </si>
  <si>
    <t>北京市朝阳区十八里店朝阳港一期土地一级开发项目1303-686地块R2二类居住用地、1303-687地块A334托幼用地</t>
  </si>
  <si>
    <t>十八里店</t>
  </si>
  <si>
    <t>京土储挂(朝)[2024]019号</t>
  </si>
  <si>
    <t>朝阳区十八里店乡</t>
  </si>
  <si>
    <t>686:2.8,687:0.9</t>
  </si>
  <si>
    <t>R2二类居住用地、A334托幼用地</t>
  </si>
  <si>
    <t>限地价,摇号/摇珠/抽签,现房销售</t>
  </si>
  <si>
    <t>北京金隅地产开发集团有限公司</t>
  </si>
  <si>
    <t>金隅集团</t>
  </si>
  <si>
    <t>地方国有企业</t>
  </si>
  <si>
    <t>居住 70 年 商业 40 年 办公 50 年</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</si>
  <si>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</si>
  <si>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</si>
  <si>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</si>
  <si>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0005:0.8、0006:2.5、0007:2.8、006:1.2、008:1.2、009:0.85、010:1.2、011:1、0017:2.5</t>
  </si>
  <si>
    <t>R2二类居住用地、F3其他类多功能用地、B1商业用地、 A61机构养老用地、A8社区综合服务设施用地、 A514社区卫生服务中心用地、A334托幼用地</t>
  </si>
  <si>
    <t>限地价</t>
  </si>
  <si>
    <t>中建智地置业有限公司、江苏绿建开发置业有限公司、北京市朝阳城市建设综合开发有限责任公司</t>
  </si>
  <si>
    <t>北京朝阳城市发展集团有限公司,江苏绿建开发置业有限公司,中建一局</t>
  </si>
  <si>
    <t>民营企业，，中央国有企业</t>
  </si>
  <si>
    <t>北京市朝阳区十八里店朝阳港一期土地一级开发项目1303-678地块R2二类居住用地</t>
  </si>
  <si>
    <t>京土储挂(朝)[2023]045号</t>
  </si>
  <si>
    <t>住宅用地</t>
  </si>
  <si>
    <t>城镇住宅-普通商品住房用地</t>
  </si>
  <si>
    <t>限地价,限房价,摇号/摇珠/抽签</t>
  </si>
  <si>
    <t>成通京置业(上海)有限公司</t>
  </si>
  <si>
    <t>南方首度置业（北京）有限公司</t>
  </si>
  <si>
    <t>民营企业</t>
  </si>
  <si>
    <t>70年</t>
  </si>
  <si>
    <t>北京市朝阳区东坝北西区域棚户区改造项目CY00-1102街区1102-C012地块R2二类居住用地、1102-C009地块A334托幼用地</t>
  </si>
  <si>
    <t>将台</t>
  </si>
  <si>
    <t>京土储挂(朝)[2023]024号</t>
  </si>
  <si>
    <t>朝阳区东坝北西区域</t>
  </si>
  <si>
    <t>居住2.2、幼托0.9</t>
  </si>
  <si>
    <t>限地价,摇号/摇珠/抽签,限房价</t>
  </si>
  <si>
    <t>限地价,限房价</t>
  </si>
  <si>
    <t>保利(北京)房地产开发有限公司、北京京投置地房地产有限公司</t>
  </si>
  <si>
    <t>保利发展,京投发展</t>
  </si>
  <si>
    <t>中央国有企业，地方国有企业</t>
  </si>
  <si>
    <t>居住70、幼儿园50</t>
  </si>
  <si>
    <t>五至六环间</t>
  </si>
  <si>
    <t>北京市朝阳区东坝北西区域棚户区改造项目CY00-1102街区1102-B006地块R2二类居住用地</t>
  </si>
  <si>
    <t>京土储挂(朝)[2023]023号</t>
  </si>
  <si>
    <t>R2二类居住用地</t>
  </si>
  <si>
    <t>住宅70年</t>
  </si>
  <si>
    <t>北京市朝阳区崔各庄乡奶西村棚户区改造土地开发项目29-315-1地块R2二类居住用地、29-317-1地块U22环卫设施用地、29-317-4地块B4综合性商业金融服务用地</t>
  </si>
  <si>
    <t>望京北</t>
  </si>
  <si>
    <t>京土储挂(朝)[2023]*020号</t>
  </si>
  <si>
    <t>朝阳区崔各庄乡奶西村</t>
  </si>
  <si>
    <t>r2容积率1.4、u22容积率0.25,b4容积率1.61</t>
  </si>
  <si>
    <t>29-315-1地块R2二类居住用地、29-317-1地块U22环卫设施用地、29-317-4地块B4综合性商业金融服务用地</t>
  </si>
  <si>
    <t>限地价,限房价,摇号/摇珠/抽签,现房销售</t>
  </si>
  <si>
    <t>京土储挂(朝)[2023] 020号</t>
  </si>
  <si>
    <t>北京世纪鸿城置业有限公司</t>
  </si>
  <si>
    <t>北京城建</t>
  </si>
  <si>
    <t>城投企业</t>
  </si>
  <si>
    <t>办公40 年、住 宅70年</t>
  </si>
  <si>
    <t>北京市朝阳区孙河乡前苇沟组团棚户区改造土地开发项目002、003地块R2二类居住用地</t>
  </si>
  <si>
    <t>金盏北部</t>
  </si>
  <si>
    <t>京土储挂(朝)[2023]005号</t>
  </si>
  <si>
    <t>朝阳区孙河乡</t>
  </si>
  <si>
    <t>京土储挂(朝) [2023]005号</t>
  </si>
  <si>
    <t>中建智地置业有限公司</t>
  </si>
  <si>
    <t>中建一局</t>
  </si>
  <si>
    <t>居住70年商业40年办公50年</t>
  </si>
  <si>
    <t>北京市朝阳区小红门乡剩余土地一级开发项目11号地(XHM-15)R2二类居住用地</t>
  </si>
  <si>
    <t>分钟寺</t>
  </si>
  <si>
    <t>京土储挂(朝)[2022]073号</t>
  </si>
  <si>
    <t>朝阳区小红门乡</t>
  </si>
  <si>
    <t>山东中建房地产开发有限公司</t>
  </si>
  <si>
    <t>中建八局</t>
  </si>
  <si>
    <t>三至四环间</t>
  </si>
  <si>
    <t>北京市朝阳区平房乡棚户区改造和环境整治项目(一期)PF-45地块R2二类居住用地</t>
  </si>
  <si>
    <t>平房</t>
  </si>
  <si>
    <t>京土储挂(朝)〔2022〕065号</t>
  </si>
  <si>
    <t>朝阳区平房乡</t>
  </si>
  <si>
    <t>限地价,现房销售,摇号/摇珠/抽签</t>
  </si>
  <si>
    <t>北京三元嘉业房地产开发有限公司</t>
  </si>
  <si>
    <t>三元嘉业</t>
  </si>
  <si>
    <t>北京市朝阳区平房乡棚户区改造和环境整治项目(一期)PF-44地块R2二类居住用地</t>
  </si>
  <si>
    <t>京土储挂(朝)〔2022〕064号</t>
  </si>
  <si>
    <t>保利(北京)房地产开发有限公司、北京建工地产有限责任公司</t>
  </si>
  <si>
    <t>保利发展,北京建工</t>
  </si>
  <si>
    <t>，城投企业</t>
  </si>
  <si>
    <t>北京市朝阳区崔各庄乡奶西村棚户区改造土地开发项目29-321地块R2二类居住用地</t>
  </si>
  <si>
    <t>京土储挂(朝)〔2022〕066号</t>
  </si>
  <si>
    <t>朝阳区崔各庄乡</t>
  </si>
  <si>
    <t>北京市朝阳区崔各庄乡奶西村棚户区改造土地开发项目29-318地块R2二类居住用地</t>
  </si>
  <si>
    <t>京土储挂(朝)[2022]024号</t>
  </si>
  <si>
    <t>≤1.4</t>
  </si>
  <si>
    <t>限地价,现房销售,报高标准商品住宅建设方案,限房价</t>
  </si>
  <si>
    <t>限房价,限地价</t>
  </si>
  <si>
    <t>居住70年</t>
  </si>
  <si>
    <t>北京市朝阳区十八里店朝阳港一期土地一级开发项目1303-685、694地块R2二类居住用地</t>
  </si>
  <si>
    <t>京土储挂(朝)[2022]022号</t>
  </si>
  <si>
    <t>≤2.5</t>
  </si>
  <si>
    <t>限地价,现房销售,摇号/摇珠/抽签,限房价</t>
  </si>
  <si>
    <t>北京金隅地产开发集团有限公司、北京住总房地产开发有限责任公司</t>
  </si>
  <si>
    <t>北京住总集团,金隅集团</t>
  </si>
  <si>
    <t>地方国有企业，地方国有企业</t>
  </si>
  <si>
    <t>城投企业，</t>
  </si>
  <si>
    <t>北京市朝阳区太阳宫新区D区0210-029地块R2二类居住用地</t>
  </si>
  <si>
    <t>太阳宫</t>
  </si>
  <si>
    <t>京土储挂(朝)[2022]021号</t>
  </si>
  <si>
    <t>朝阳区太阳宫乡</t>
  </si>
  <si>
    <t>≤2.8</t>
  </si>
  <si>
    <t>限房价,限地价,摇号/摇珠/抽签</t>
  </si>
  <si>
    <t>中建玖合发展集团有限公司</t>
  </si>
  <si>
    <t>中建二局</t>
  </si>
  <si>
    <t>北京市朝阳区崔各庄乡奶西村棚户区改造土地开发项目29-319、320地块R2二类居住用地、A334托幼用地</t>
  </si>
  <si>
    <t>京土储挂(朝)[2022]025号</t>
  </si>
  <si>
    <t>29-319容积率0.8,29-320容积率2.22</t>
  </si>
  <si>
    <t>限房价,限地价,摇号/摇珠/抽签,现房销售</t>
  </si>
  <si>
    <t>北京首都开发股份有限公司</t>
  </si>
  <si>
    <t>首开股份</t>
  </si>
  <si>
    <t>居住70年教育50年</t>
  </si>
  <si>
    <t>北京市朝阳区崔各庄乡黑桥村、南皋村棚户区改造土地开发项目30-L03-01地块R2二类居住用地等(配建“保障性租赁住房”)</t>
  </si>
  <si>
    <t>京土储挂(朝)[2022]001号</t>
  </si>
  <si>
    <t>30-l03-01 地块容积率2.5,30-l03-03地块容积率1.2,30-l03-04地块容积率0.8,30-l03-05地块容积率0.7</t>
  </si>
  <si>
    <t>R2二类居住用地、A62社区养老设施用地、A334基础教育用地、U12供电用地</t>
  </si>
  <si>
    <t>限房价,限地价,报高标准商品住宅建设方案,90/70,现房销售</t>
  </si>
  <si>
    <t>限房价,限地价,90/70,现房销售</t>
  </si>
  <si>
    <t>长春创诚房地产开发有限公司</t>
  </si>
  <si>
    <t>绿城中国</t>
  </si>
  <si>
    <t>混合所有制</t>
  </si>
  <si>
    <t>居住70年、教育50年,服务设施用地50年</t>
  </si>
  <si>
    <t>含保障房用地,含租赁住房用地</t>
  </si>
  <si>
    <t>保障性租赁住房</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</si>
  <si>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</si>
  <si>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</si>
  <si>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</si>
  <si>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</si>
  <si>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</si>
  <si>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北京金地兴业房地产有限公司、保利(北京)房地产开发有限公司</t>
  </si>
  <si>
    <t>保利发展,金地集团</t>
  </si>
  <si>
    <t>中央国有企业，混合所有制</t>
  </si>
  <si>
    <t>北京市朝阳区劲松街道0408-646地块F2公建混合住宅用地</t>
  </si>
  <si>
    <t>西大望路</t>
  </si>
  <si>
    <t>京土整储挂(朝)[2021]093号</t>
  </si>
  <si>
    <t>朝阳区劲松街道</t>
  </si>
  <si>
    <t>F2公建混合住宅用地</t>
  </si>
  <si>
    <t>限房价,限地价,报高标准商品住宅建设方案,摇号/摇珠/抽签</t>
  </si>
  <si>
    <t>中国葛洲坝集团房地产开发有限公司</t>
  </si>
  <si>
    <t>能建城发</t>
  </si>
  <si>
    <t>居住70年,商业40年,办公50年</t>
  </si>
  <si>
    <t>北京市朝阳区东坝车辆基地综合利用项目1101-A002-1,1101-A003-1地块R2二类居住用地(配建“保障性租赁住房”)</t>
  </si>
  <si>
    <t>京土整储挂(朝)[2021]090号</t>
  </si>
  <si>
    <t>朝阳区东坝西区</t>
  </si>
  <si>
    <t>限房价,限地价,报高标准商品住宅建设方案</t>
  </si>
  <si>
    <t>北京市基础设施投资有限公司、北京京投置地房地产有限公司</t>
  </si>
  <si>
    <t>京投发展,北京市基础设施投资</t>
  </si>
  <si>
    <t>地方国有企业，民营企业</t>
  </si>
  <si>
    <t>居住70年,商业40年,办公52年</t>
  </si>
  <si>
    <t>北京市朝阳区东坝车辆基地综合利用项目1101-A002-3地块R2二类居住用地</t>
  </si>
  <si>
    <t>京土整储挂(朝)[2021]092号</t>
  </si>
  <si>
    <t>北京市基础设施投资,京投发展</t>
  </si>
  <si>
    <t>民营企业，地方国有企业</t>
  </si>
  <si>
    <t>居住70年,商业40年,办公53年</t>
  </si>
  <si>
    <t>北京市朝阳区管庄乡棚户区改造和环境整治项目(一期)GZGJC-03地块R2二类居住用地</t>
  </si>
  <si>
    <t>双桥</t>
  </si>
  <si>
    <t>京土整储挂(朝)[2021]095号</t>
  </si>
  <si>
    <t>朝阳区管庄乡</t>
  </si>
  <si>
    <t>京能置业股份有限公司、北京龙湖中佰置业有限公司</t>
  </si>
  <si>
    <t>龙湖集团,京能置业</t>
  </si>
  <si>
    <t>居住70年,商业40年,办公59年</t>
  </si>
  <si>
    <t>北京市朝阳区东坝车辆基地综合利用项目1101-A002-2、1101-A003-2地块R2二类居住用地</t>
  </si>
  <si>
    <t>京土整储挂(朝)[2021]091号</t>
  </si>
  <si>
    <t>居住70年、商业40年、办公58年</t>
  </si>
  <si>
    <t>北京市朝阳区十八里店朝阳港一期土地一级开发项目1303-693地块R2二类居住用地</t>
  </si>
  <si>
    <t>京土整储挂(朝)[2021]034号</t>
  </si>
  <si>
    <t>限房价,限地价,报高标准商品住宅建设方案,90/70</t>
  </si>
  <si>
    <t>限房价,限地价,90/70</t>
  </si>
  <si>
    <t>北京金隅地产开发集团有限公司、北京昆泰控股集团有限公司</t>
  </si>
  <si>
    <t>北京昆泰,金隅集团</t>
  </si>
  <si>
    <t>北京市朝阳区崔各庄乡黑桥村、南皋村棚户区改造项目30-L06地块F1住宅混合公建用地</t>
  </si>
  <si>
    <t>京土整储挂(朝)[2021]009号</t>
  </si>
  <si>
    <t>≤3.0</t>
  </si>
  <si>
    <t>F1住宅混合公建用地</t>
  </si>
  <si>
    <t>限地价,报高标准商品住宅建设方案,90/70</t>
  </si>
  <si>
    <t>北京兆悦房地产开发有限公司</t>
  </si>
  <si>
    <t>建发房产</t>
  </si>
  <si>
    <t>含租赁住房用地</t>
  </si>
  <si>
    <t>北京市朝阳区豆各庄乡孙家坡村1306-638地块F1住宅混合公建用地</t>
  </si>
  <si>
    <t>豆各庄</t>
  </si>
  <si>
    <t>京土整储挂(朝)[2021]011号</t>
  </si>
  <si>
    <t>朝阳区豆各庄乡孙家坡村</t>
  </si>
  <si>
    <t>北京宁诚置业有限公司</t>
  </si>
  <si>
    <t>北京市朝阳区王四营乡土地一级开发项目一期1304-L01地块R2二类居住用地</t>
  </si>
  <si>
    <t>京土整储挂(朝)[2021]004号</t>
  </si>
  <si>
    <t>r2≤2.5</t>
  </si>
  <si>
    <t>限地价,竞配建,报高标准商品住宅建设方案,90/70</t>
  </si>
  <si>
    <t>保利(北京)房地产开发有限公司、北京润置商业运营管理有限公司、北京金泰慧业科技有限公司</t>
  </si>
  <si>
    <t>华润置地,金地集团,保利发展</t>
  </si>
  <si>
    <t>中央国有企业，混合所有制，中央国有企业</t>
  </si>
  <si>
    <t>含保障房用地</t>
  </si>
  <si>
    <t>公共租赁房</t>
  </si>
  <si>
    <t>北京市朝阳区崔各庄乡黑桥村、南皋村棚户区改造项目30-L01-01地块R2二类居住用地(配建“公共租赁住房”)</t>
  </si>
  <si>
    <t>京土整储挂(朝)[2021]007号</t>
  </si>
  <si>
    <t>限地价,竞配建,90/70</t>
  </si>
  <si>
    <t>北京润置商业运营管理有限公司、保利(北京)房地产开发有限公司、北京金泰辉华科技有限公司</t>
  </si>
  <si>
    <t>金地集团,保利发展,华润置地</t>
  </si>
  <si>
    <t>混合所有制，中央国有企业，中央国有企业</t>
  </si>
  <si>
    <t>北京市朝阳区王四营乡土地一级开发项目一期1304-L03地块R2二类居住用地</t>
  </si>
  <si>
    <t>京土整储挂(朝)[2021]006号</t>
  </si>
  <si>
    <t>北京城建投资发展股份有限公司、招商局地产(北京)有限公司、五矿盛世广业(北京)有限公司</t>
  </si>
  <si>
    <t>北京城建,五矿地产控股</t>
  </si>
  <si>
    <t>地方国有企业，中央国有企业</t>
  </si>
  <si>
    <t>北京市朝阳区金盏乡小店村3005-08地块R2二类居住用地</t>
  </si>
  <si>
    <t>京土整储挂(朝)[2021]003号</t>
  </si>
  <si>
    <t>朝阳区金盏乡</t>
  </si>
  <si>
    <t>≤1.3</t>
  </si>
  <si>
    <t>限地价,报高标准商品住宅建设方案</t>
  </si>
  <si>
    <t>北京璞北管理咨询有限公司</t>
  </si>
  <si>
    <t>卓越集团,北京慧询名诚咨询管理有限公司,陕建地产集团,北京星丰创企业管理有限公司</t>
  </si>
  <si>
    <t>民营企业，民营企业，地方国有企业，民营企业</t>
  </si>
  <si>
    <t>联排</t>
  </si>
  <si>
    <t>现：京(2021)朝不动产权第0081075号</t>
  </si>
  <si>
    <t>24号楼</t>
  </si>
  <si>
    <t>成交单价(元/㎡)</t>
  </si>
  <si>
    <t>成交金额(万元)</t>
  </si>
  <si>
    <t>成交面积(㎡)</t>
  </si>
  <si>
    <t>户型</t>
  </si>
  <si>
    <t>物业类型</t>
  </si>
  <si>
    <t>许可证号</t>
  </si>
  <si>
    <t>房间号</t>
  </si>
  <si>
    <t>楼层号</t>
  </si>
  <si>
    <t>总楼层</t>
  </si>
  <si>
    <t>单元号</t>
  </si>
  <si>
    <t>楼栋号</t>
  </si>
  <si>
    <t>时间</t>
  </si>
  <si>
    <t>禧瑞春秋</t>
    <phoneticPr fontId="224" type="noConversion"/>
  </si>
  <si>
    <t>叠拼</t>
  </si>
  <si>
    <t>现：京(2021)朝不动产权第0097105号</t>
  </si>
  <si>
    <t>一单元2</t>
  </si>
  <si>
    <t>8号楼</t>
  </si>
  <si>
    <t>一单元3</t>
  </si>
  <si>
    <t>天瑞宸章</t>
    <phoneticPr fontId="224" type="noConversion"/>
  </si>
  <si>
    <t>京房售证字(2022)172号</t>
  </si>
  <si>
    <t>1单元-302</t>
  </si>
  <si>
    <t>10#住宅楼</t>
  </si>
  <si>
    <t>2单元-301</t>
  </si>
  <si>
    <t>2#住宅楼</t>
  </si>
  <si>
    <t>2单元-302</t>
  </si>
  <si>
    <t>16#住宅楼</t>
  </si>
  <si>
    <t>2单元-102</t>
  </si>
  <si>
    <t>9#住宅楼</t>
  </si>
  <si>
    <t>1单元-301</t>
  </si>
  <si>
    <t>17#住宅楼</t>
  </si>
  <si>
    <t>中建宸园</t>
    <phoneticPr fontId="224" type="noConversion"/>
  </si>
  <si>
    <t>独栋</t>
  </si>
  <si>
    <t>现：京(2023)朝不动产权第0009682号</t>
  </si>
  <si>
    <t>512号楼</t>
  </si>
  <si>
    <t>现：京(2022)朝不动产权第0081977号</t>
  </si>
  <si>
    <t>513号楼</t>
  </si>
  <si>
    <t>现：京(2022)朝不动产权第0081930号</t>
  </si>
  <si>
    <t>514号楼</t>
  </si>
  <si>
    <t>现：京(2023)朝不动产权第0009578号</t>
  </si>
  <si>
    <t>505号楼</t>
  </si>
  <si>
    <t>现：京(2022)朝不动产权第0067795号</t>
  </si>
  <si>
    <t>537号楼</t>
  </si>
  <si>
    <t>现：京(2022)朝不动产权第0061910号</t>
  </si>
  <si>
    <t>541号楼</t>
  </si>
  <si>
    <t>现：京(2022)朝不动产权第0080419号</t>
  </si>
  <si>
    <t>548号楼</t>
  </si>
  <si>
    <t>现：京(2022)朝不动产权第0049044号</t>
  </si>
  <si>
    <t>683号楼</t>
  </si>
  <si>
    <t>现：京(2023)朝不动产权第0009665号</t>
  </si>
  <si>
    <t>506号楼</t>
  </si>
  <si>
    <t>现：京(2023)朝不动产权第0009659号</t>
  </si>
  <si>
    <t>507号楼</t>
  </si>
  <si>
    <t>六房及以上</t>
  </si>
  <si>
    <t>普通住宅</t>
  </si>
  <si>
    <t>现：京(2023)朝不动产权第0101171号</t>
  </si>
  <si>
    <t>618号楼</t>
  </si>
  <si>
    <t>现：京(2023)朝不动产权第0009657号</t>
  </si>
  <si>
    <t>508号楼</t>
  </si>
  <si>
    <t>其他</t>
  </si>
  <si>
    <t>现：京(2020)朝不动产权第0048418号</t>
  </si>
  <si>
    <t>15号楼</t>
  </si>
  <si>
    <t>现：京(2020)朝不动产权第0051685号</t>
  </si>
  <si>
    <t>9号楼</t>
  </si>
  <si>
    <t>现：京(2020)朝不动产权第0051694号</t>
  </si>
  <si>
    <t>11号楼</t>
  </si>
  <si>
    <t>现：京(2020)朝不动产权第0089823号</t>
  </si>
  <si>
    <t>7号楼</t>
  </si>
  <si>
    <t>首城东郡汇</t>
    <phoneticPr fontId="224" type="noConversion"/>
  </si>
  <si>
    <t>现：京(2021)朝不动产权第0004249号</t>
  </si>
  <si>
    <t>现：京(2020)朝不动产权第0087682号</t>
  </si>
  <si>
    <t>14号楼</t>
  </si>
  <si>
    <t>现：京(2020)朝不动产权第0087515号</t>
  </si>
  <si>
    <t>13号楼</t>
  </si>
  <si>
    <t>现：京(2020)朝不动产权第0087501号</t>
  </si>
  <si>
    <t>10号楼</t>
  </si>
  <si>
    <t>现：京(2021)朝不动产权第0004259号</t>
  </si>
  <si>
    <t>6号楼</t>
  </si>
  <si>
    <t>现：京(2020)朝不动产权第0083853号</t>
  </si>
  <si>
    <t>20号楼</t>
  </si>
  <si>
    <t>现：京(2021)朝不动产权第0004220号</t>
  </si>
  <si>
    <t>16号楼</t>
  </si>
  <si>
    <t>现：京(2020)朝不动产权第0086162号</t>
  </si>
  <si>
    <t>19号楼</t>
  </si>
  <si>
    <t>复式</t>
  </si>
  <si>
    <t>现：京(2020)朝不动产权第0087636号</t>
  </si>
  <si>
    <t>现：京(2021)朝不动产权第0004235号</t>
  </si>
  <si>
    <t>12号楼</t>
  </si>
  <si>
    <t>现：京房权证朝其05字第001162号</t>
  </si>
  <si>
    <t>2-202</t>
  </si>
  <si>
    <t>现：X京房权证朝字第711197号</t>
  </si>
  <si>
    <t>无</t>
  </si>
  <si>
    <t>84号楼</t>
  </si>
  <si>
    <t>现：X京房权证朝字第720637号</t>
  </si>
  <si>
    <t>18号楼</t>
  </si>
  <si>
    <t>康城花园</t>
    <phoneticPr fontId="224" type="noConversion"/>
  </si>
  <si>
    <t>现：京(2020)朝不动产权第0086160号</t>
    <phoneticPr fontId="224" type="noConversion"/>
  </si>
  <si>
    <r>
      <t>4（</t>
    </r>
    <r>
      <rPr>
        <sz val="11"/>
        <color theme="1"/>
        <rFont val="宋体"/>
        <family val="3"/>
        <charset val="134"/>
        <scheme val="minor"/>
      </rPr>
      <t>-2）</t>
    </r>
    <phoneticPr fontId="224" type="noConversion"/>
  </si>
  <si>
    <t>润泽悦溪</t>
    <phoneticPr fontId="224" type="noConversion"/>
  </si>
  <si>
    <t>润泽悦溪</t>
    <phoneticPr fontId="224" type="noConversion"/>
  </si>
  <si>
    <t>香江北路1号183B幢1至3层</t>
    <phoneticPr fontId="224" type="noConversion"/>
  </si>
  <si>
    <t>正常</t>
  </si>
  <si>
    <t>住宅</t>
    <phoneticPr fontId="21" type="noConversion"/>
  </si>
  <si>
    <t>楼层</t>
    <phoneticPr fontId="224" type="noConversion"/>
  </si>
  <si>
    <t>容积率</t>
    <phoneticPr fontId="224" type="noConversion"/>
  </si>
  <si>
    <t>润泽悦溪</t>
    <phoneticPr fontId="224" type="noConversion"/>
  </si>
  <si>
    <t>懋源·璟玺</t>
    <phoneticPr fontId="224" type="noConversion"/>
  </si>
  <si>
    <t>西甸路7号院12号楼-3至3层3</t>
  </si>
  <si>
    <t>3（-03）</t>
  </si>
  <si>
    <t>京（2016）朝阳区不动产权第0000033号</t>
  </si>
  <si>
    <t>紫玉东路1号627幢1至3层</t>
  </si>
  <si>
    <t>紫玉山庄</t>
  </si>
  <si>
    <t>光大补报告</t>
  </si>
  <si>
    <t>紫玉东路1号761幢-1至3层</t>
  </si>
  <si>
    <t>售价</t>
  </si>
  <si>
    <t>项目位置</t>
    <phoneticPr fontId="3" type="noConversion"/>
  </si>
  <si>
    <t>紫玉山庄</t>
    <phoneticPr fontId="224" type="noConversion"/>
  </si>
  <si>
    <t>精装修</t>
  </si>
  <si>
    <t>普通装修</t>
  </si>
  <si>
    <t>简单装修</t>
  </si>
  <si>
    <t>毛坯</t>
  </si>
  <si>
    <t>七通</t>
  </si>
  <si>
    <t>六通</t>
  </si>
  <si>
    <t>楼层</t>
    <phoneticPr fontId="21" type="noConversion"/>
  </si>
  <si>
    <t>来广营东路9号9号楼-1至3层101</t>
  </si>
  <si>
    <t>3（-1)</t>
  </si>
  <si>
    <t>长岛澜桥</t>
    <phoneticPr fontId="224" type="noConversion"/>
  </si>
  <si>
    <t>-1-3</t>
    <phoneticPr fontId="224" type="noConversion"/>
  </si>
  <si>
    <t>懋源·璟玺</t>
  </si>
  <si>
    <t>懋源·璟玺</t>
    <phoneticPr fontId="224" type="noConversion"/>
  </si>
  <si>
    <t>香江北路1号T847幢1至3层</t>
    <phoneticPr fontId="224" type="noConversion"/>
  </si>
  <si>
    <t>商品房</t>
    <phoneticPr fontId="224" type="noConversion"/>
  </si>
  <si>
    <t>商品房</t>
    <phoneticPr fontId="224" type="noConversion"/>
  </si>
  <si>
    <t>来广营东路9号3A号楼-1至3层101</t>
    <phoneticPr fontId="224" type="noConversion"/>
  </si>
  <si>
    <t>02（-01）</t>
    <phoneticPr fontId="224" type="noConversion"/>
  </si>
  <si>
    <t>1-3</t>
    <phoneticPr fontId="224" type="noConversion"/>
  </si>
  <si>
    <t>别墅</t>
    <phoneticPr fontId="224" type="noConversion"/>
  </si>
  <si>
    <t>别墅</t>
    <phoneticPr fontId="224" type="noConversion"/>
  </si>
  <si>
    <t>项目名称</t>
  </si>
  <si>
    <t>成交套数(套)</t>
  </si>
  <si>
    <t>成交价格(元/㎡)</t>
  </si>
  <si>
    <t>套均面积(㎡)</t>
  </si>
  <si>
    <t>套均总价(万元/套)</t>
  </si>
  <si>
    <t>孙河</t>
  </si>
  <si>
    <t>康城花园</t>
  </si>
  <si>
    <t>首城东郡汇</t>
  </si>
  <si>
    <t>东坝</t>
  </si>
  <si>
    <t>润泽悦溪</t>
  </si>
  <si>
    <t>北苑</t>
  </si>
  <si>
    <t>5号楼</t>
  </si>
  <si>
    <t>现：京(2020)朝不动产权第0083703号</t>
  </si>
  <si>
    <t>禧瑞春秋</t>
    <phoneticPr fontId="224" type="noConversion"/>
  </si>
  <si>
    <t>中建宸园</t>
    <phoneticPr fontId="224" type="noConversion"/>
  </si>
  <si>
    <t>11#住宅楼</t>
  </si>
  <si>
    <t>1单元-102</t>
  </si>
  <si>
    <t>四房</t>
  </si>
  <si>
    <t>5#住宅楼</t>
  </si>
  <si>
    <t>1单元-401</t>
  </si>
  <si>
    <t>五房</t>
  </si>
  <si>
    <t>楼型</t>
    <phoneticPr fontId="224" type="noConversion"/>
  </si>
  <si>
    <t>独栋</t>
    <phoneticPr fontId="224" type="noConversion"/>
  </si>
  <si>
    <t>朝向</t>
    <phoneticPr fontId="224" type="noConversion"/>
  </si>
  <si>
    <t>全朝向</t>
  </si>
  <si>
    <t>全朝向</t>
    <phoneticPr fontId="224" type="noConversion"/>
  </si>
  <si>
    <t>七通</t>
    <phoneticPr fontId="224" type="noConversion"/>
  </si>
  <si>
    <r>
      <t>1-3</t>
    </r>
    <r>
      <rPr>
        <sz val="11"/>
        <rFont val="宋体"/>
        <family val="3"/>
        <charset val="134"/>
      </rPr>
      <t>层</t>
    </r>
    <phoneticPr fontId="21" type="noConversion"/>
  </si>
  <si>
    <r>
      <t>-1-2</t>
    </r>
    <r>
      <rPr>
        <sz val="11"/>
        <rFont val="宋体"/>
        <family val="3"/>
        <charset val="134"/>
      </rPr>
      <t>层</t>
    </r>
    <phoneticPr fontId="21" type="noConversion"/>
  </si>
  <si>
    <r>
      <t>-1-2</t>
    </r>
    <r>
      <rPr>
        <sz val="11"/>
        <color indexed="8"/>
        <rFont val="宋体"/>
        <family val="3"/>
        <charset val="134"/>
      </rPr>
      <t>层</t>
    </r>
    <phoneticPr fontId="21" type="noConversion"/>
  </si>
  <si>
    <r>
      <t>1-3</t>
    </r>
    <r>
      <rPr>
        <sz val="11"/>
        <color indexed="8"/>
        <rFont val="宋体"/>
        <family val="3"/>
        <charset val="134"/>
      </rPr>
      <t>层</t>
    </r>
    <phoneticPr fontId="21" type="noConversion"/>
  </si>
  <si>
    <t>混合</t>
  </si>
  <si>
    <t>混合</t>
    <phoneticPr fontId="21" type="noConversion"/>
  </si>
  <si>
    <t>物业公司管理</t>
  </si>
  <si>
    <t>物业公司管理</t>
    <phoneticPr fontId="21" type="noConversion"/>
  </si>
  <si>
    <r>
      <rPr>
        <b/>
        <sz val="10"/>
        <color rgb="FF303133"/>
        <rFont val="宋体"/>
        <family val="3"/>
        <charset val="134"/>
      </rPr>
      <t>懋源</t>
    </r>
    <r>
      <rPr>
        <b/>
        <sz val="10"/>
        <color rgb="FF303133"/>
        <rFont val="Verdana"/>
        <family val="2"/>
      </rPr>
      <t>·</t>
    </r>
    <r>
      <rPr>
        <b/>
        <sz val="10"/>
        <color rgb="FF303133"/>
        <rFont val="宋体"/>
        <family val="3"/>
        <charset val="134"/>
      </rPr>
      <t>璟玺</t>
    </r>
    <phoneticPr fontId="224" type="noConversion"/>
  </si>
  <si>
    <t>懋源璟玺</t>
    <phoneticPr fontId="224" type="noConversion"/>
  </si>
  <si>
    <t>-3-3</t>
    <phoneticPr fontId="224" type="noConversion"/>
  </si>
  <si>
    <t>香江花园</t>
    <phoneticPr fontId="224" type="noConversion"/>
  </si>
  <si>
    <t>1-3</t>
    <phoneticPr fontId="224" type="noConversion"/>
  </si>
  <si>
    <t>市政</t>
    <phoneticPr fontId="224" type="noConversion"/>
  </si>
  <si>
    <t>联排</t>
    <phoneticPr fontId="224" type="noConversion"/>
  </si>
  <si>
    <t>南北</t>
  </si>
  <si>
    <t>南北</t>
    <phoneticPr fontId="224" type="noConversion"/>
  </si>
  <si>
    <t>车库单有本</t>
    <phoneticPr fontId="224" type="noConversion"/>
  </si>
  <si>
    <t>西甸路7号院12号楼-3至3层3</t>
    <phoneticPr fontId="224" type="noConversion"/>
  </si>
  <si>
    <r>
      <t>-2-4</t>
    </r>
    <r>
      <rPr>
        <sz val="11"/>
        <color indexed="8"/>
        <rFont val="宋体"/>
        <family val="3"/>
        <charset val="134"/>
      </rPr>
      <t>层</t>
    </r>
    <phoneticPr fontId="21" type="noConversion"/>
  </si>
  <si>
    <t>地下</t>
    <phoneticPr fontId="21" type="noConversion"/>
  </si>
  <si>
    <t>地上</t>
    <phoneticPr fontId="21" type="noConversion"/>
  </si>
  <si>
    <t>长岛澜桥</t>
    <phoneticPr fontId="224" type="noConversion"/>
  </si>
  <si>
    <r>
      <t>-3-3</t>
    </r>
    <r>
      <rPr>
        <sz val="11"/>
        <rFont val="宋体"/>
        <family val="3"/>
        <charset val="134"/>
      </rPr>
      <t>层</t>
    </r>
    <phoneticPr fontId="21" type="noConversion"/>
  </si>
  <si>
    <r>
      <t>-3-3</t>
    </r>
    <r>
      <rPr>
        <sz val="11"/>
        <color indexed="8"/>
        <rFont val="宋体"/>
        <family val="3"/>
        <charset val="134"/>
      </rPr>
      <t>层</t>
    </r>
    <phoneticPr fontId="21" type="noConversion"/>
  </si>
  <si>
    <t>带地下车库</t>
    <phoneticPr fontId="21" type="noConversion"/>
  </si>
  <si>
    <t>否</t>
    <phoneticPr fontId="21" type="noConversion"/>
  </si>
  <si>
    <t>是</t>
    <phoneticPr fontId="21" type="noConversion"/>
  </si>
  <si>
    <t>联排</t>
    <phoneticPr fontId="21" type="noConversion"/>
  </si>
  <si>
    <r>
      <t>-3-3</t>
    </r>
    <r>
      <rPr>
        <sz val="11"/>
        <rFont val="宋体"/>
        <family val="3"/>
        <charset val="134"/>
      </rPr>
      <t>层</t>
    </r>
    <phoneticPr fontId="21" type="noConversion"/>
  </si>
  <si>
    <t>是</t>
    <phoneticPr fontId="21" type="noConversion"/>
  </si>
  <si>
    <t>否</t>
    <phoneticPr fontId="21" type="noConversion"/>
  </si>
  <si>
    <t>南北</t>
    <phoneticPr fontId="21" type="noConversion"/>
  </si>
  <si>
    <t>https://paimai.jd.com/116643037</t>
    <phoneticPr fontId="224" type="noConversion"/>
  </si>
  <si>
    <t>成交时间</t>
    <phoneticPr fontId="224" type="noConversion"/>
  </si>
  <si>
    <t>建筑面积</t>
    <phoneticPr fontId="224" type="noConversion"/>
  </si>
  <si>
    <t>成交单价</t>
    <phoneticPr fontId="224" type="noConversion"/>
  </si>
  <si>
    <t>成交总价</t>
    <phoneticPr fontId="224" type="noConversion"/>
  </si>
  <si>
    <t>评估单价</t>
    <phoneticPr fontId="224" type="noConversion"/>
  </si>
  <si>
    <t>评估总价</t>
    <phoneticPr fontId="224" type="noConversion"/>
  </si>
  <si>
    <t>项目位置</t>
    <phoneticPr fontId="224" type="noConversion"/>
  </si>
  <si>
    <t>香江北路1号86A幢1至3层</t>
    <phoneticPr fontId="224" type="noConversion"/>
  </si>
  <si>
    <t>https://paimai.jd.com/298465187</t>
    <phoneticPr fontId="224" type="noConversion"/>
  </si>
  <si>
    <t>起拍价</t>
    <phoneticPr fontId="224" type="noConversion"/>
  </si>
  <si>
    <t>总价</t>
    <phoneticPr fontId="224" type="noConversion"/>
  </si>
  <si>
    <t>香江北路1号56A幢1至3层</t>
    <phoneticPr fontId="224" type="noConversion"/>
  </si>
  <si>
    <t>https://paimai.jd.com/298973434</t>
    <phoneticPr fontId="224" type="noConversion"/>
  </si>
  <si>
    <t>来广营东路5号香江庄园66号-1至2层</t>
    <phoneticPr fontId="224" type="noConversion"/>
  </si>
  <si>
    <t>市政管线接驳</t>
    <phoneticPr fontId="21" type="noConversion"/>
  </si>
  <si>
    <t>接驳其他小区</t>
    <phoneticPr fontId="21" type="noConversion"/>
  </si>
  <si>
    <t>接驳本小区</t>
  </si>
  <si>
    <t>接驳本小区</t>
    <phoneticPr fontId="21" type="noConversion"/>
  </si>
  <si>
    <t>无</t>
    <phoneticPr fontId="21" type="noConversion"/>
  </si>
  <si>
    <t>宗地容积率</t>
  </si>
  <si>
    <t>核定资产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</si>
</sst>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0"/>
      <color theme="1"/>
      <name val="楷体_GB2312"/>
      <charset val="134"/>
    </font>
    <font>
      <sz val="7"/>
      <color rgb="FF000000"/>
      <name val="Microsoft YaHei"/>
      <family val="2"/>
      <charset val="134"/>
    </font>
    <font>
      <sz val="7"/>
      <name val="Microsoft YaHei"/>
      <family val="2"/>
      <charset val="134"/>
    </font>
    <font>
      <sz val="11"/>
      <name val="宋体"/>
      <family val="3"/>
      <charset val="134"/>
      <scheme val="minor"/>
    </font>
    <font>
      <b/>
      <sz val="10"/>
      <color rgb="FF303133"/>
      <name val="宋体"/>
      <family val="3"/>
      <charset val="134"/>
    </font>
    <font>
      <sz val="7"/>
      <color rgb="FF333333"/>
      <name val="Microsoft YaHei"/>
      <family val="2"/>
      <charset val="134"/>
    </font>
    <font>
      <sz val="11"/>
      <color rgb="FF000000"/>
      <name val="宋体"/>
      <family val="3"/>
      <charset val="134"/>
    </font>
    <font>
      <sz val="7"/>
      <color rgb="FFFF0000"/>
      <name val="Microsoft YaHei"/>
      <family val="2"/>
      <charset val="134"/>
    </font>
    <font>
      <b/>
      <sz val="10"/>
      <color rgb="FF303133"/>
      <name val="Verdana"/>
      <family val="2"/>
    </font>
    <font>
      <sz val="12"/>
      <color theme="1"/>
      <name val="宋体"/>
      <family val="2"/>
      <scheme val="minor"/>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DFDC0"/>
        <bgColor indexed="64"/>
      </patternFill>
    </fill>
    <fill>
      <patternFill patternType="solid">
        <fgColor rgb="FFFF7C80"/>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10" fillId="0" borderId="0"/>
    <xf numFmtId="0" fontId="311" fillId="0" borderId="0" applyNumberFormat="0" applyFill="0" applyBorder="0" applyAlignment="0" applyProtection="0">
      <alignment vertical="center"/>
    </xf>
  </cellStyleXfs>
  <cellXfs count="376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1" fillId="6" borderId="2" xfId="0" applyFont="1" applyFill="1" applyBorder="1" applyAlignment="1" applyProtection="1">
      <alignment horizontal="left" vertical="center" wrapText="1"/>
      <protection locked="0"/>
    </xf>
    <xf numFmtId="0" fontId="302" fillId="24" borderId="172" xfId="0" applyFont="1" applyFill="1" applyBorder="1" applyAlignment="1">
      <alignment horizontal="center" vertical="center" wrapText="1"/>
    </xf>
    <xf numFmtId="49" fontId="302" fillId="24" borderId="172" xfId="0" applyNumberFormat="1" applyFont="1" applyFill="1" applyBorder="1" applyAlignment="1">
      <alignment horizontal="center" vertical="center" wrapText="1"/>
    </xf>
    <xf numFmtId="49" fontId="0" fillId="0" borderId="0" xfId="0" applyNumberFormat="1">
      <alignment vertical="center"/>
    </xf>
    <xf numFmtId="0" fontId="303" fillId="8" borderId="172" xfId="0" applyFont="1" applyFill="1" applyBorder="1" applyAlignment="1">
      <alignment horizontal="center" vertical="center" wrapText="1"/>
    </xf>
    <xf numFmtId="49" fontId="303" fillId="8" borderId="172" xfId="0" applyNumberFormat="1" applyFont="1" applyFill="1" applyBorder="1" applyAlignment="1">
      <alignment horizontal="center" vertical="center" wrapText="1"/>
    </xf>
    <xf numFmtId="31" fontId="303" fillId="8" borderId="172" xfId="0" applyNumberFormat="1" applyFont="1" applyFill="1" applyBorder="1" applyAlignment="1">
      <alignment horizontal="center" vertical="center" wrapText="1"/>
    </xf>
    <xf numFmtId="0" fontId="304" fillId="8" borderId="0" xfId="0" applyFont="1" applyFill="1">
      <alignment vertical="center"/>
    </xf>
    <xf numFmtId="14" fontId="0" fillId="0" borderId="0" xfId="0" applyNumberFormat="1" applyAlignment="1"/>
    <xf numFmtId="0" fontId="77" fillId="0" borderId="59" xfId="0" applyFont="1" applyBorder="1" applyAlignment="1" applyProtection="1">
      <alignment horizontal="center" vertical="center" wrapText="1"/>
      <protection locked="0"/>
    </xf>
    <xf numFmtId="0" fontId="0" fillId="0" borderId="0" xfId="0" applyAlignment="1">
      <alignment horizontal="center"/>
    </xf>
    <xf numFmtId="0" fontId="141" fillId="0" borderId="0" xfId="0" applyFont="1" applyAlignment="1">
      <alignment horizontal="center"/>
    </xf>
    <xf numFmtId="14" fontId="0" fillId="6" borderId="0" xfId="0" applyNumberFormat="1" applyFill="1" applyAlignment="1">
      <alignment horizontal="center"/>
    </xf>
    <xf numFmtId="0" fontId="0" fillId="6" borderId="0" xfId="0" applyFill="1" applyAlignment="1">
      <alignment horizontal="center"/>
    </xf>
    <xf numFmtId="0" fontId="141" fillId="6" borderId="0" xfId="0" applyFont="1" applyFill="1" applyAlignment="1">
      <alignment horizontal="center"/>
    </xf>
    <xf numFmtId="14" fontId="0" fillId="0" borderId="0" xfId="0" applyNumberFormat="1" applyAlignment="1">
      <alignment horizontal="center"/>
    </xf>
    <xf numFmtId="0" fontId="305" fillId="0" borderId="0" xfId="0" applyFont="1" applyAlignment="1">
      <alignment horizontal="center" vertical="center" wrapText="1"/>
    </xf>
    <xf numFmtId="0" fontId="305" fillId="0" borderId="0" xfId="0" applyFont="1" applyAlignment="1">
      <alignment horizontal="center"/>
    </xf>
    <xf numFmtId="0" fontId="303" fillId="25" borderId="172" xfId="0" applyFont="1" applyFill="1" applyBorder="1" applyAlignment="1">
      <alignment horizontal="center" vertical="center" wrapText="1"/>
    </xf>
    <xf numFmtId="49" fontId="303" fillId="25" borderId="172" xfId="0" applyNumberFormat="1" applyFont="1" applyFill="1" applyBorder="1" applyAlignment="1">
      <alignment horizontal="center" vertical="center" wrapText="1"/>
    </xf>
    <xf numFmtId="31" fontId="303" fillId="25" borderId="172" xfId="0" applyNumberFormat="1" applyFont="1" applyFill="1" applyBorder="1" applyAlignment="1">
      <alignment horizontal="center" vertical="center" wrapText="1"/>
    </xf>
    <xf numFmtId="0" fontId="304" fillId="25" borderId="0" xfId="0" applyFont="1" applyFill="1">
      <alignment vertical="center"/>
    </xf>
    <xf numFmtId="0" fontId="306" fillId="24" borderId="172" xfId="0" applyFont="1" applyFill="1" applyBorder="1" applyAlignment="1">
      <alignment horizontal="center" vertical="center" wrapText="1"/>
    </xf>
    <xf numFmtId="31" fontId="306" fillId="24" borderId="172" xfId="0" applyNumberFormat="1" applyFont="1" applyFill="1" applyBorder="1" applyAlignment="1">
      <alignment horizontal="center" vertical="center" wrapText="1"/>
    </xf>
    <xf numFmtId="58" fontId="306" fillId="24" borderId="172" xfId="0" applyNumberFormat="1" applyFont="1" applyFill="1" applyBorder="1" applyAlignment="1">
      <alignment horizontal="center" vertical="center" wrapText="1"/>
    </xf>
    <xf numFmtId="194" fontId="148" fillId="0" borderId="10" xfId="0" applyNumberFormat="1" applyFont="1" applyBorder="1" applyAlignment="1" applyProtection="1">
      <alignment horizontal="center" vertical="center"/>
      <protection locked="0"/>
    </xf>
    <xf numFmtId="0" fontId="30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67" fillId="0" borderId="74" xfId="0" applyNumberFormat="1"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49" fontId="80" fillId="0" borderId="64" xfId="0" applyNumberFormat="1" applyFont="1" applyBorder="1" applyAlignment="1" applyProtection="1">
      <alignment horizontal="center" vertical="center" wrapText="1"/>
      <protection locked="0"/>
    </xf>
    <xf numFmtId="58" fontId="80" fillId="0" borderId="64" xfId="0" applyNumberFormat="1" applyFont="1" applyBorder="1" applyAlignment="1" applyProtection="1">
      <alignment horizontal="center" vertical="center" wrapText="1"/>
      <protection locked="0"/>
    </xf>
    <xf numFmtId="49" fontId="306" fillId="24" borderId="172" xfId="0" applyNumberFormat="1" applyFont="1" applyFill="1" applyBorder="1" applyAlignment="1">
      <alignment horizontal="center" vertical="center" wrapText="1"/>
    </xf>
    <xf numFmtId="0" fontId="308" fillId="24" borderId="172" xfId="0" applyFont="1" applyFill="1" applyBorder="1" applyAlignment="1">
      <alignment horizontal="center" vertical="center" wrapText="1"/>
    </xf>
    <xf numFmtId="49" fontId="308" fillId="24" borderId="172" xfId="0" applyNumberFormat="1" applyFont="1" applyFill="1" applyBorder="1" applyAlignment="1">
      <alignment horizontal="center" vertical="center" wrapText="1"/>
    </xf>
    <xf numFmtId="31" fontId="308" fillId="24" borderId="172" xfId="0" applyNumberFormat="1" applyFont="1" applyFill="1" applyBorder="1" applyAlignment="1">
      <alignment horizontal="center" vertical="center" wrapText="1"/>
    </xf>
    <xf numFmtId="0" fontId="309" fillId="0" borderId="0" xfId="0" applyFont="1">
      <alignment vertical="center"/>
    </xf>
    <xf numFmtId="0" fontId="302" fillId="24" borderId="173" xfId="0" applyFont="1" applyFill="1" applyBorder="1" applyAlignment="1">
      <alignment horizontal="center" vertical="center" wrapText="1"/>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31" fontId="306" fillId="24" borderId="173" xfId="0" applyNumberFormat="1" applyFont="1" applyFill="1" applyBorder="1" applyAlignment="1">
      <alignment horizontal="center" vertical="center" wrapText="1"/>
    </xf>
    <xf numFmtId="0" fontId="140" fillId="12" borderId="0" xfId="0" applyFont="1" applyFill="1" applyAlignment="1" applyProtection="1">
      <alignment horizontal="center" vertical="center"/>
      <protection locked="0"/>
    </xf>
    <xf numFmtId="14" fontId="0" fillId="25" borderId="0" xfId="0" applyNumberFormat="1" applyFill="1" applyAlignment="1">
      <alignment horizontal="center"/>
    </xf>
    <xf numFmtId="0" fontId="0" fillId="25" borderId="0" xfId="0" applyFill="1" applyAlignment="1">
      <alignment horizontal="center"/>
    </xf>
    <xf numFmtId="0" fontId="77" fillId="0" borderId="64" xfId="0" applyFont="1" applyBorder="1" applyAlignment="1" applyProtection="1">
      <alignment horizontal="center" vertical="center" wrapText="1"/>
      <protection locked="0"/>
    </xf>
    <xf numFmtId="0" fontId="311" fillId="0" borderId="0" xfId="19">
      <alignment vertical="center"/>
    </xf>
    <xf numFmtId="14" fontId="0" fillId="0" borderId="0" xfId="0" applyNumberFormat="1">
      <alignment vertical="center"/>
    </xf>
    <xf numFmtId="0" fontId="140" fillId="0" borderId="64" xfId="0" applyFont="1" applyBorder="1" applyAlignment="1" applyProtection="1">
      <alignment horizontal="center" vertical="center" wrapText="1"/>
      <protection locked="0"/>
    </xf>
    <xf numFmtId="0" fontId="293" fillId="0" borderId="0" xfId="0" applyFont="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79" fillId="16" borderId="2" xfId="0"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21" xfId="0" applyFont="1" applyFill="1" applyBorder="1" applyAlignment="1">
      <alignment horizontal="center" vertical="center" textRotation="255"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310" fillId="0" borderId="0" xfId="18"/>
    <xf numFmtId="14" fontId="310" fillId="0" borderId="0" xfId="18" applyNumberFormat="1"/>
    <xf numFmtId="14" fontId="0" fillId="0" borderId="0" xfId="0" applyNumberFormat="1" applyAlignment="1">
      <alignment horizontal="center"/>
    </xf>
    <xf numFmtId="0" fontId="0" fillId="0" borderId="0" xfId="0" applyAlignment="1">
      <alignment horizontal="center"/>
    </xf>
    <xf numFmtId="0" fontId="0" fillId="6" borderId="0" xfId="0" applyFill="1" applyAlignment="1">
      <alignment horizontal="center"/>
    </xf>
    <xf numFmtId="14" fontId="0" fillId="6" borderId="0" xfId="0" applyNumberFormat="1" applyFill="1" applyAlignment="1">
      <alignment horizontal="center"/>
    </xf>
    <xf numFmtId="0" fontId="141" fillId="6" borderId="0" xfId="0" applyFont="1" applyFill="1" applyAlignment="1">
      <alignment horizontal="center"/>
    </xf>
    <xf numFmtId="14" fontId="0" fillId="25" borderId="0" xfId="0" applyNumberFormat="1" applyFill="1" applyAlignment="1">
      <alignment horizontal="center"/>
    </xf>
    <xf numFmtId="0" fontId="0" fillId="25" borderId="0" xfId="0" applyFill="1" applyAlignment="1">
      <alignment horizontal="center"/>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67" fillId="9" borderId="11" xfId="0" applyFont="1" applyFill="1" applyBorder="1" applyAlignment="1" applyProtection="1">
      <alignment horizontal="center" vertical="center" wrapText="1"/>
      <protection locked="0"/>
    </xf>
    <xf numFmtId="0" fontId="67" fillId="9" borderId="12" xfId="0" applyFont="1" applyFill="1" applyBorder="1" applyAlignment="1">
      <alignment horizontal="center" vertical="center" wrapText="1"/>
    </xf>
    <xf numFmtId="10" fontId="71" fillId="9" borderId="2" xfId="2" applyNumberFormat="1" applyFont="1" applyFill="1" applyBorder="1" applyAlignment="1">
      <alignment horizontal="center" vertical="center"/>
    </xf>
  </cellXfs>
  <cellStyles count="20">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超链接" xfId="19" builtinId="8"/>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72734</xdr:rowOff>
    </xdr:from>
    <xdr:to>
      <xdr:col>9</xdr:col>
      <xdr:colOff>74776</xdr:colOff>
      <xdr:row>24</xdr:row>
      <xdr:rowOff>31674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804254"/>
          <a:ext cx="7245196" cy="3616540"/>
        </a:xfrm>
        <a:prstGeom prst="rect">
          <a:avLst/>
        </a:prstGeom>
      </xdr:spPr>
    </xdr:pic>
    <xdr:clientData/>
  </xdr:twoCellAnchor>
  <xdr:twoCellAnchor editAs="oneCell">
    <xdr:from>
      <xdr:col>0</xdr:col>
      <xdr:colOff>0</xdr:colOff>
      <xdr:row>29</xdr:row>
      <xdr:rowOff>140717</xdr:rowOff>
    </xdr:from>
    <xdr:to>
      <xdr:col>8</xdr:col>
      <xdr:colOff>316755</xdr:colOff>
      <xdr:row>48</xdr:row>
      <xdr:rowOff>60279</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5444237"/>
          <a:ext cx="6877575" cy="3394282"/>
        </a:xfrm>
        <a:prstGeom prst="rect">
          <a:avLst/>
        </a:prstGeom>
      </xdr:spPr>
    </xdr:pic>
    <xdr:clientData/>
  </xdr:twoCellAnchor>
  <xdr:twoCellAnchor editAs="oneCell">
    <xdr:from>
      <xdr:col>0</xdr:col>
      <xdr:colOff>0</xdr:colOff>
      <xdr:row>55</xdr:row>
      <xdr:rowOff>91440</xdr:rowOff>
    </xdr:from>
    <xdr:to>
      <xdr:col>8</xdr:col>
      <xdr:colOff>226960</xdr:colOff>
      <xdr:row>72</xdr:row>
      <xdr:rowOff>69808</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stretch>
          <a:fillRect/>
        </a:stretch>
      </xdr:blipFill>
      <xdr:spPr>
        <a:xfrm>
          <a:off x="0" y="10149840"/>
          <a:ext cx="6787780" cy="3087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99060</xdr:rowOff>
    </xdr:from>
    <xdr:to>
      <xdr:col>2</xdr:col>
      <xdr:colOff>213127</xdr:colOff>
      <xdr:row>14</xdr:row>
      <xdr:rowOff>152119</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655320"/>
          <a:ext cx="1866667" cy="2247619"/>
        </a:xfrm>
        <a:prstGeom prst="rect">
          <a:avLst/>
        </a:prstGeom>
      </xdr:spPr>
    </xdr:pic>
    <xdr:clientData/>
  </xdr:twoCellAnchor>
  <xdr:twoCellAnchor editAs="oneCell">
    <xdr:from>
      <xdr:col>2</xdr:col>
      <xdr:colOff>350521</xdr:colOff>
      <xdr:row>2</xdr:row>
      <xdr:rowOff>99061</xdr:rowOff>
    </xdr:from>
    <xdr:to>
      <xdr:col>5</xdr:col>
      <xdr:colOff>129541</xdr:colOff>
      <xdr:row>14</xdr:row>
      <xdr:rowOff>142189</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2004061" y="655321"/>
          <a:ext cx="1607820" cy="2237688"/>
        </a:xfrm>
        <a:prstGeom prst="rect">
          <a:avLst/>
        </a:prstGeom>
      </xdr:spPr>
    </xdr:pic>
    <xdr:clientData/>
  </xdr:twoCellAnchor>
  <xdr:twoCellAnchor editAs="oneCell">
    <xdr:from>
      <xdr:col>0</xdr:col>
      <xdr:colOff>0</xdr:colOff>
      <xdr:row>20</xdr:row>
      <xdr:rowOff>38100</xdr:rowOff>
    </xdr:from>
    <xdr:to>
      <xdr:col>2</xdr:col>
      <xdr:colOff>222650</xdr:colOff>
      <xdr:row>34</xdr:row>
      <xdr:rowOff>96828</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947160"/>
          <a:ext cx="1876190" cy="2619048"/>
        </a:xfrm>
        <a:prstGeom prst="rect">
          <a:avLst/>
        </a:prstGeom>
      </xdr:spPr>
    </xdr:pic>
    <xdr:clientData/>
  </xdr:twoCellAnchor>
  <xdr:twoCellAnchor editAs="oneCell">
    <xdr:from>
      <xdr:col>2</xdr:col>
      <xdr:colOff>236220</xdr:colOff>
      <xdr:row>20</xdr:row>
      <xdr:rowOff>144780</xdr:rowOff>
    </xdr:from>
    <xdr:to>
      <xdr:col>5</xdr:col>
      <xdr:colOff>264563</xdr:colOff>
      <xdr:row>34</xdr:row>
      <xdr:rowOff>165412</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889760" y="4122420"/>
          <a:ext cx="1857143" cy="2580952"/>
        </a:xfrm>
        <a:prstGeom prst="rect">
          <a:avLst/>
        </a:prstGeom>
      </xdr:spPr>
    </xdr:pic>
    <xdr:clientData/>
  </xdr:twoCellAnchor>
  <xdr:twoCellAnchor editAs="oneCell">
    <xdr:from>
      <xdr:col>12</xdr:col>
      <xdr:colOff>32174</xdr:colOff>
      <xdr:row>39</xdr:row>
      <xdr:rowOff>0</xdr:rowOff>
    </xdr:from>
    <xdr:to>
      <xdr:col>22</xdr:col>
      <xdr:colOff>253829</xdr:colOff>
      <xdr:row>67</xdr:row>
      <xdr:rowOff>48351</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8010314" y="7383780"/>
          <a:ext cx="6317655" cy="5168991"/>
        </a:xfrm>
        <a:prstGeom prst="rect">
          <a:avLst/>
        </a:prstGeom>
      </xdr:spPr>
    </xdr:pic>
    <xdr:clientData/>
  </xdr:twoCellAnchor>
  <xdr:twoCellAnchor editAs="oneCell">
    <xdr:from>
      <xdr:col>0</xdr:col>
      <xdr:colOff>0</xdr:colOff>
      <xdr:row>38</xdr:row>
      <xdr:rowOff>130291</xdr:rowOff>
    </xdr:from>
    <xdr:to>
      <xdr:col>11</xdr:col>
      <xdr:colOff>792480</xdr:colOff>
      <xdr:row>69</xdr:row>
      <xdr:rowOff>107503</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6"/>
        <a:stretch>
          <a:fillRect/>
        </a:stretch>
      </xdr:blipFill>
      <xdr:spPr>
        <a:xfrm>
          <a:off x="0" y="7331191"/>
          <a:ext cx="7932420" cy="5646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57</xdr:row>
      <xdr:rowOff>85055</xdr:rowOff>
    </xdr:from>
    <xdr:to>
      <xdr:col>14</xdr:col>
      <xdr:colOff>746824</xdr:colOff>
      <xdr:row>65</xdr:row>
      <xdr:rowOff>89535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7150" y="13343855"/>
          <a:ext cx="10805224" cy="1376080"/>
        </a:xfrm>
        <a:prstGeom prst="rect">
          <a:avLst/>
        </a:prstGeom>
      </xdr:spPr>
    </xdr:pic>
    <xdr:clientData/>
  </xdr:twoCellAnchor>
  <xdr:twoCellAnchor editAs="oneCell">
    <xdr:from>
      <xdr:col>0</xdr:col>
      <xdr:colOff>0</xdr:colOff>
      <xdr:row>23</xdr:row>
      <xdr:rowOff>153938</xdr:rowOff>
    </xdr:from>
    <xdr:to>
      <xdr:col>13</xdr:col>
      <xdr:colOff>476551</xdr:colOff>
      <xdr:row>56</xdr:row>
      <xdr:rowOff>71315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8947418"/>
          <a:ext cx="8889031" cy="5952417"/>
        </a:xfrm>
        <a:prstGeom prst="rect">
          <a:avLst/>
        </a:prstGeom>
      </xdr:spPr>
    </xdr:pic>
    <xdr:clientData/>
  </xdr:twoCellAnchor>
  <xdr:twoCellAnchor editAs="oneCell">
    <xdr:from>
      <xdr:col>15</xdr:col>
      <xdr:colOff>243840</xdr:colOff>
      <xdr:row>14</xdr:row>
      <xdr:rowOff>213360</xdr:rowOff>
    </xdr:from>
    <xdr:to>
      <xdr:col>18</xdr:col>
      <xdr:colOff>291230</xdr:colOff>
      <xdr:row>22</xdr:row>
      <xdr:rowOff>249228</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0180320" y="4716780"/>
          <a:ext cx="1876190" cy="2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38</xdr:row>
      <xdr:rowOff>152401</xdr:rowOff>
    </xdr:from>
    <xdr:ext cx="7741920" cy="3262237"/>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5638801"/>
          <a:ext cx="7741920" cy="3262237"/>
        </a:xfrm>
        <a:prstGeom prst="rect">
          <a:avLst/>
        </a:prstGeom>
      </xdr:spPr>
    </xdr:pic>
    <xdr:clientData/>
  </xdr:oneCellAnchor>
  <xdr:oneCellAnchor>
    <xdr:from>
      <xdr:col>0</xdr:col>
      <xdr:colOff>0</xdr:colOff>
      <xdr:row>60</xdr:row>
      <xdr:rowOff>182880</xdr:rowOff>
    </xdr:from>
    <xdr:ext cx="9328233" cy="4209081"/>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4343400"/>
          <a:ext cx="9328233" cy="4209081"/>
        </a:xfrm>
        <a:prstGeom prst="rect">
          <a:avLst/>
        </a:prstGeom>
      </xdr:spPr>
    </xdr:pic>
    <xdr:clientData/>
  </xdr:oneCellAnchor>
  <xdr:oneCellAnchor>
    <xdr:from>
      <xdr:col>0</xdr:col>
      <xdr:colOff>0</xdr:colOff>
      <xdr:row>69</xdr:row>
      <xdr:rowOff>13602</xdr:rowOff>
    </xdr:from>
    <xdr:ext cx="5373831" cy="3000851"/>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5957202"/>
          <a:ext cx="5373831" cy="3000851"/>
        </a:xfrm>
        <a:prstGeom prst="rect">
          <a:avLst/>
        </a:prstGeom>
      </xdr:spPr>
    </xdr:pic>
    <xdr:clientData/>
  </xdr:oneCellAnchor>
  <xdr:oneCellAnchor>
    <xdr:from>
      <xdr:col>4</xdr:col>
      <xdr:colOff>53340</xdr:colOff>
      <xdr:row>69</xdr:row>
      <xdr:rowOff>151087</xdr:rowOff>
    </xdr:from>
    <xdr:ext cx="6594954" cy="685784"/>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2491740" y="5637487"/>
          <a:ext cx="6594954" cy="685784"/>
        </a:xfrm>
        <a:prstGeom prst="rect">
          <a:avLst/>
        </a:prstGeom>
      </xdr:spPr>
    </xdr:pic>
    <xdr:clientData/>
  </xdr:oneCellAnchor>
  <xdr:oneCellAnchor>
    <xdr:from>
      <xdr:col>3</xdr:col>
      <xdr:colOff>579120</xdr:colOff>
      <xdr:row>44</xdr:row>
      <xdr:rowOff>69762</xdr:rowOff>
    </xdr:from>
    <xdr:ext cx="6250460" cy="3461139"/>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2926080" y="6661062"/>
          <a:ext cx="6250460" cy="3461139"/>
        </a:xfrm>
        <a:prstGeom prst="rect">
          <a:avLst/>
        </a:prstGeom>
      </xdr:spPr>
    </xdr:pic>
    <xdr:clientData/>
  </xdr:oneCellAnchor>
  <xdr:oneCellAnchor>
    <xdr:from>
      <xdr:col>0</xdr:col>
      <xdr:colOff>0</xdr:colOff>
      <xdr:row>49</xdr:row>
      <xdr:rowOff>157158</xdr:rowOff>
    </xdr:from>
    <xdr:ext cx="9820080" cy="1002049"/>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0" y="4188138"/>
          <a:ext cx="9820080" cy="1002049"/>
        </a:xfrm>
        <a:prstGeom prst="rect">
          <a:avLst/>
        </a:prstGeom>
      </xdr:spPr>
    </xdr:pic>
    <xdr:clientData/>
  </xdr:oneCellAnchor>
  <xdr:oneCellAnchor>
    <xdr:from>
      <xdr:col>0</xdr:col>
      <xdr:colOff>71788</xdr:colOff>
      <xdr:row>112</xdr:row>
      <xdr:rowOff>144780</xdr:rowOff>
    </xdr:from>
    <xdr:ext cx="8272315" cy="2350287"/>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71788" y="20634960"/>
          <a:ext cx="8272315" cy="2350287"/>
        </a:xfrm>
        <a:prstGeom prst="rect">
          <a:avLst/>
        </a:prstGeom>
      </xdr:spPr>
    </xdr:pic>
    <xdr:clientData/>
  </xdr:oneCellAnchor>
  <xdr:oneCellAnchor>
    <xdr:from>
      <xdr:col>0</xdr:col>
      <xdr:colOff>76200</xdr:colOff>
      <xdr:row>124</xdr:row>
      <xdr:rowOff>33367</xdr:rowOff>
    </xdr:from>
    <xdr:ext cx="5945792" cy="4516358"/>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76200" y="22718107"/>
          <a:ext cx="5945792" cy="4516358"/>
        </a:xfrm>
        <a:prstGeom prst="rect">
          <a:avLst/>
        </a:prstGeom>
      </xdr:spPr>
    </xdr:pic>
    <xdr:clientData/>
  </xdr:oneCellAnchor>
  <xdr:oneCellAnchor>
    <xdr:from>
      <xdr:col>0</xdr:col>
      <xdr:colOff>0</xdr:colOff>
      <xdr:row>85</xdr:row>
      <xdr:rowOff>160532</xdr:rowOff>
    </xdr:from>
    <xdr:ext cx="9249996" cy="3687568"/>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0" y="9274052"/>
          <a:ext cx="9249996" cy="3687568"/>
        </a:xfrm>
        <a:prstGeom prst="rect">
          <a:avLst/>
        </a:prstGeom>
      </xdr:spPr>
    </xdr:pic>
    <xdr:clientData/>
  </xdr:oneCellAnchor>
  <xdr:oneCellAnchor>
    <xdr:from>
      <xdr:col>0</xdr:col>
      <xdr:colOff>0</xdr:colOff>
      <xdr:row>90</xdr:row>
      <xdr:rowOff>99060</xdr:rowOff>
    </xdr:from>
    <xdr:ext cx="4875638" cy="3764280"/>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0" y="10203180"/>
          <a:ext cx="4875638" cy="3764280"/>
        </a:xfrm>
        <a:prstGeom prst="rect">
          <a:avLst/>
        </a:prstGeom>
      </xdr:spPr>
    </xdr:pic>
    <xdr:clientData/>
  </xdr:oneCellAnchor>
  <xdr:oneCellAnchor>
    <xdr:from>
      <xdr:col>0</xdr:col>
      <xdr:colOff>0</xdr:colOff>
      <xdr:row>107</xdr:row>
      <xdr:rowOff>50079</xdr:rowOff>
    </xdr:from>
    <xdr:ext cx="9153399" cy="536542"/>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0" y="18162819"/>
          <a:ext cx="9153399" cy="536542"/>
        </a:xfrm>
        <a:prstGeom prst="rect">
          <a:avLst/>
        </a:prstGeom>
      </xdr:spPr>
    </xdr:pic>
    <xdr:clientData/>
  </xdr:oneCellAnchor>
  <xdr:oneCellAnchor>
    <xdr:from>
      <xdr:col>0</xdr:col>
      <xdr:colOff>0</xdr:colOff>
      <xdr:row>150</xdr:row>
      <xdr:rowOff>175260</xdr:rowOff>
    </xdr:from>
    <xdr:ext cx="8431306" cy="5106018"/>
    <xdr:pic>
      <xdr:nvPicPr>
        <xdr:cNvPr id="13" name="图片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0" y="22166580"/>
          <a:ext cx="8431306" cy="5106018"/>
        </a:xfrm>
        <a:prstGeom prst="rect">
          <a:avLst/>
        </a:prstGeom>
      </xdr:spPr>
    </xdr:pic>
    <xdr:clientData/>
  </xdr:oneCellAnchor>
  <xdr:oneCellAnchor>
    <xdr:from>
      <xdr:col>0</xdr:col>
      <xdr:colOff>200262</xdr:colOff>
      <xdr:row>161</xdr:row>
      <xdr:rowOff>175260</xdr:rowOff>
    </xdr:from>
    <xdr:ext cx="6080377" cy="3389757"/>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3"/>
        <a:stretch>
          <a:fillRect/>
        </a:stretch>
      </xdr:blipFill>
      <xdr:spPr>
        <a:xfrm>
          <a:off x="200262" y="24345900"/>
          <a:ext cx="6080377" cy="3389757"/>
        </a:xfrm>
        <a:prstGeom prst="rect">
          <a:avLst/>
        </a:prstGeom>
      </xdr:spPr>
    </xdr:pic>
    <xdr:clientData/>
  </xdr:oneCellAnchor>
  <xdr:oneCellAnchor>
    <xdr:from>
      <xdr:col>1</xdr:col>
      <xdr:colOff>807720</xdr:colOff>
      <xdr:row>168</xdr:row>
      <xdr:rowOff>5092</xdr:rowOff>
    </xdr:from>
    <xdr:ext cx="10834674" cy="1076738"/>
    <xdr:pic>
      <xdr:nvPicPr>
        <xdr:cNvPr id="15" name="图片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4"/>
        <a:stretch>
          <a:fillRect/>
        </a:stretch>
      </xdr:blipFill>
      <xdr:spPr>
        <a:xfrm>
          <a:off x="1722120" y="30736552"/>
          <a:ext cx="10834674" cy="1076738"/>
        </a:xfrm>
        <a:prstGeom prst="rect">
          <a:avLst/>
        </a:prstGeom>
      </xdr:spPr>
    </xdr:pic>
    <xdr:clientData/>
  </xdr:oneCellAnchor>
  <xdr:oneCellAnchor>
    <xdr:from>
      <xdr:col>0</xdr:col>
      <xdr:colOff>0</xdr:colOff>
      <xdr:row>179</xdr:row>
      <xdr:rowOff>119376</xdr:rowOff>
    </xdr:from>
    <xdr:ext cx="9635291" cy="3609826"/>
    <xdr:pic>
      <xdr:nvPicPr>
        <xdr:cNvPr id="16" name="图片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15"/>
        <a:stretch>
          <a:fillRect/>
        </a:stretch>
      </xdr:blipFill>
      <xdr:spPr>
        <a:xfrm>
          <a:off x="0" y="27856176"/>
          <a:ext cx="9635291" cy="3609826"/>
        </a:xfrm>
        <a:prstGeom prst="rect">
          <a:avLst/>
        </a:prstGeom>
      </xdr:spPr>
    </xdr:pic>
    <xdr:clientData/>
  </xdr:oneCellAnchor>
  <xdr:oneCellAnchor>
    <xdr:from>
      <xdr:col>0</xdr:col>
      <xdr:colOff>0</xdr:colOff>
      <xdr:row>184</xdr:row>
      <xdr:rowOff>112618</xdr:rowOff>
    </xdr:from>
    <xdr:ext cx="7658100" cy="4771932"/>
    <xdr:pic>
      <xdr:nvPicPr>
        <xdr:cNvPr id="17" name="图片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6"/>
        <a:stretch>
          <a:fillRect/>
        </a:stretch>
      </xdr:blipFill>
      <xdr:spPr>
        <a:xfrm>
          <a:off x="0" y="28840018"/>
          <a:ext cx="7658100" cy="4771932"/>
        </a:xfrm>
        <a:prstGeom prst="rect">
          <a:avLst/>
        </a:prstGeom>
      </xdr:spPr>
    </xdr:pic>
    <xdr:clientData/>
  </xdr:oneCellAnchor>
  <xdr:oneCellAnchor>
    <xdr:from>
      <xdr:col>0</xdr:col>
      <xdr:colOff>266701</xdr:colOff>
      <xdr:row>196</xdr:row>
      <xdr:rowOff>42446</xdr:rowOff>
    </xdr:from>
    <xdr:ext cx="9433560" cy="827317"/>
    <xdr:pic>
      <xdr:nvPicPr>
        <xdr:cNvPr id="18" name="图片 17">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17"/>
        <a:stretch>
          <a:fillRect/>
        </a:stretch>
      </xdr:blipFill>
      <xdr:spPr>
        <a:xfrm>
          <a:off x="266701" y="31147286"/>
          <a:ext cx="9433560" cy="827317"/>
        </a:xfrm>
        <a:prstGeom prst="rect">
          <a:avLst/>
        </a:prstGeom>
      </xdr:spPr>
    </xdr:pic>
    <xdr:clientData/>
  </xdr:oneCellAnchor>
  <xdr:oneCellAnchor>
    <xdr:from>
      <xdr:col>0</xdr:col>
      <xdr:colOff>0</xdr:colOff>
      <xdr:row>210</xdr:row>
      <xdr:rowOff>4222</xdr:rowOff>
    </xdr:from>
    <xdr:ext cx="7997391" cy="2570789"/>
    <xdr:pic>
      <xdr:nvPicPr>
        <xdr:cNvPr id="19" name="图片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8"/>
        <a:stretch>
          <a:fillRect/>
        </a:stretch>
      </xdr:blipFill>
      <xdr:spPr>
        <a:xfrm>
          <a:off x="0" y="33882742"/>
          <a:ext cx="7997391" cy="2570789"/>
        </a:xfrm>
        <a:prstGeom prst="rect">
          <a:avLst/>
        </a:prstGeom>
      </xdr:spPr>
    </xdr:pic>
    <xdr:clientData/>
  </xdr:oneCellAnchor>
  <xdr:oneCellAnchor>
    <xdr:from>
      <xdr:col>0</xdr:col>
      <xdr:colOff>0</xdr:colOff>
      <xdr:row>212</xdr:row>
      <xdr:rowOff>121714</xdr:rowOff>
    </xdr:from>
    <xdr:ext cx="6844896" cy="4254935"/>
    <xdr:pic>
      <xdr:nvPicPr>
        <xdr:cNvPr id="20" name="图片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9"/>
        <a:stretch>
          <a:fillRect/>
        </a:stretch>
      </xdr:blipFill>
      <xdr:spPr>
        <a:xfrm>
          <a:off x="0" y="34396474"/>
          <a:ext cx="6844896" cy="4254935"/>
        </a:xfrm>
        <a:prstGeom prst="rect">
          <a:avLst/>
        </a:prstGeom>
      </xdr:spPr>
    </xdr:pic>
    <xdr:clientData/>
  </xdr:oneCellAnchor>
  <xdr:oneCellAnchor>
    <xdr:from>
      <xdr:col>0</xdr:col>
      <xdr:colOff>0</xdr:colOff>
      <xdr:row>220</xdr:row>
      <xdr:rowOff>53134</xdr:rowOff>
    </xdr:from>
    <xdr:ext cx="13152381" cy="1752381"/>
    <xdr:pic>
      <xdr:nvPicPr>
        <xdr:cNvPr id="21" name="图片 20">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20"/>
        <a:stretch>
          <a:fillRect/>
        </a:stretch>
      </xdr:blipFill>
      <xdr:spPr>
        <a:xfrm>
          <a:off x="0" y="35912854"/>
          <a:ext cx="13152381" cy="1752381"/>
        </a:xfrm>
        <a:prstGeom prst="rect">
          <a:avLst/>
        </a:prstGeom>
      </xdr:spPr>
    </xdr:pic>
    <xdr:clientData/>
  </xdr:oneCellAnchor>
  <xdr:twoCellAnchor editAs="oneCell">
    <xdr:from>
      <xdr:col>10</xdr:col>
      <xdr:colOff>213361</xdr:colOff>
      <xdr:row>239</xdr:row>
      <xdr:rowOff>83614</xdr:rowOff>
    </xdr:from>
    <xdr:to>
      <xdr:col>21</xdr:col>
      <xdr:colOff>1262473</xdr:colOff>
      <xdr:row>282</xdr:row>
      <xdr:rowOff>99060</xdr:rowOff>
    </xdr:to>
    <xdr:pic>
      <xdr:nvPicPr>
        <xdr:cNvPr id="22" name="图片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21"/>
        <a:stretch>
          <a:fillRect/>
        </a:stretch>
      </xdr:blipFill>
      <xdr:spPr>
        <a:xfrm>
          <a:off x="6614161" y="38861794"/>
          <a:ext cx="7869012" cy="8153606"/>
        </a:xfrm>
        <a:prstGeom prst="rect">
          <a:avLst/>
        </a:prstGeom>
      </xdr:spPr>
    </xdr:pic>
    <xdr:clientData/>
  </xdr:twoCellAnchor>
  <xdr:twoCellAnchor editAs="oneCell">
    <xdr:from>
      <xdr:col>0</xdr:col>
      <xdr:colOff>0</xdr:colOff>
      <xdr:row>294</xdr:row>
      <xdr:rowOff>98992</xdr:rowOff>
    </xdr:from>
    <xdr:to>
      <xdr:col>13</xdr:col>
      <xdr:colOff>342851</xdr:colOff>
      <xdr:row>330</xdr:row>
      <xdr:rowOff>176973</xdr:rowOff>
    </xdr:to>
    <xdr:pic>
      <xdr:nvPicPr>
        <xdr:cNvPr id="24" name="图片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22"/>
        <a:stretch>
          <a:fillRect/>
        </a:stretch>
      </xdr:blipFill>
      <xdr:spPr>
        <a:xfrm>
          <a:off x="0" y="46733392"/>
          <a:ext cx="10675571" cy="6661661"/>
        </a:xfrm>
        <a:prstGeom prst="rect">
          <a:avLst/>
        </a:prstGeom>
      </xdr:spPr>
    </xdr:pic>
    <xdr:clientData/>
  </xdr:twoCellAnchor>
  <xdr:twoCellAnchor editAs="oneCell">
    <xdr:from>
      <xdr:col>27</xdr:col>
      <xdr:colOff>495300</xdr:colOff>
      <xdr:row>58</xdr:row>
      <xdr:rowOff>29740</xdr:rowOff>
    </xdr:from>
    <xdr:to>
      <xdr:col>35</xdr:col>
      <xdr:colOff>183927</xdr:colOff>
      <xdr:row>76</xdr:row>
      <xdr:rowOff>62240</xdr:rowOff>
    </xdr:to>
    <xdr:pic>
      <xdr:nvPicPr>
        <xdr:cNvPr id="25" name="图片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23"/>
        <a:stretch>
          <a:fillRect/>
        </a:stretch>
      </xdr:blipFill>
      <xdr:spPr>
        <a:xfrm>
          <a:off x="19583400" y="5706640"/>
          <a:ext cx="4565427" cy="3324340"/>
        </a:xfrm>
        <a:prstGeom prst="rect">
          <a:avLst/>
        </a:prstGeom>
      </xdr:spPr>
    </xdr:pic>
    <xdr:clientData/>
  </xdr:twoCellAnchor>
  <xdr:twoCellAnchor editAs="oneCell">
    <xdr:from>
      <xdr:col>0</xdr:col>
      <xdr:colOff>0</xdr:colOff>
      <xdr:row>6</xdr:row>
      <xdr:rowOff>53340</xdr:rowOff>
    </xdr:from>
    <xdr:to>
      <xdr:col>9</xdr:col>
      <xdr:colOff>586740</xdr:colOff>
      <xdr:row>26</xdr:row>
      <xdr:rowOff>132635</xdr:rowOff>
    </xdr:to>
    <xdr:pic>
      <xdr:nvPicPr>
        <xdr:cNvPr id="26" name="图片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24"/>
        <a:stretch>
          <a:fillRect/>
        </a:stretch>
      </xdr:blipFill>
      <xdr:spPr>
        <a:xfrm>
          <a:off x="0" y="1150620"/>
          <a:ext cx="8481060" cy="373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paimai.jd.com/298973434" TargetMode="External"/><Relationship Id="rId2" Type="http://schemas.openxmlformats.org/officeDocument/2006/relationships/hyperlink" Target="https://paimai.jd.com/298465187" TargetMode="External"/><Relationship Id="rId1" Type="http://schemas.openxmlformats.org/officeDocument/2006/relationships/hyperlink" Target="https://paimai.jd.com/116643037" TargetMode="External"/><Relationship Id="rId4"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北京市出让国有建设用地使用权市场价格预评估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受贵公司委托，我公司对北京市出让国有建设用地使用权市场价格进行了预评估。</v>
      </c>
      <c r="AM6" s="2202"/>
    </row>
    <row r="7" spans="1:55">
      <c r="A7" s="2182" t="s">
        <v>1939</v>
      </c>
      <c r="B7" s="2183"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2024年12月11日（评估专业人员勘察现场之日）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根据《国有土地使用证》[]，估价对象（分摊）出让国有建设用地使用权面积为659.99平方米。根据《建设工程规划许可证》[]、《出让合同》[]，估价对象规划建筑面积为941.59平方米。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19" spans="1:48">
      <c r="A19" s="2182" t="s">
        <v>1954</v>
      </c>
      <c r="B19" s="2183" t="str">
        <f>'预评函-1'!A26</f>
        <v>——</v>
      </c>
    </row>
    <row r="20" spans="1:48">
      <c r="A20" s="2182" t="s">
        <v>1955</v>
      </c>
      <c r="B20" s="2183" t="str">
        <f>'预评函-1'!A27</f>
        <v>——</v>
      </c>
    </row>
    <row r="21" spans="1:48" s="2193" customFormat="1" ht="15" thickBot="1">
      <c r="A21" s="2199" t="s">
        <v>1956</v>
      </c>
      <c r="B21" s="2200" t="str">
        <f>'预评函-1'!A28</f>
        <v>——</v>
      </c>
    </row>
    <row r="22" spans="1:48" ht="15" thickTop="1">
      <c r="A22" s="2189" t="s">
        <v>1957</v>
      </c>
      <c r="B22" s="219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估价期日：2024年12月11日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659.99</v>
      </c>
    </row>
    <row r="44" spans="1:2">
      <c r="A44" s="2182" t="s">
        <v>2022</v>
      </c>
      <c r="B44" s="2183" t="str">
        <f>'预评函-2'!O3</f>
        <v>规划建筑面积/㎡</v>
      </c>
    </row>
    <row r="45" spans="1:2">
      <c r="A45" s="2182" t="s">
        <v>2004</v>
      </c>
      <c r="B45" s="2183">
        <f>'预评函-2'!O5</f>
        <v>941.58999999999992</v>
      </c>
    </row>
    <row r="46" spans="1:2">
      <c r="A46" s="2182" t="s">
        <v>2005</v>
      </c>
      <c r="B46" s="2183">
        <f ca="1">'预评函-2'!P5</f>
        <v>53804</v>
      </c>
    </row>
    <row r="47" spans="1:2">
      <c r="A47" s="2182" t="s">
        <v>2006</v>
      </c>
      <c r="B47" s="2183">
        <f ca="1">'预评函-2'!Q5</f>
        <v>37713</v>
      </c>
    </row>
    <row r="48" spans="1:2">
      <c r="A48" s="2182" t="s">
        <v>2007</v>
      </c>
      <c r="B48" s="2183">
        <f ca="1">'预评函-2'!R5</f>
        <v>3551</v>
      </c>
    </row>
    <row r="49" spans="1:2">
      <c r="A49" s="2182" t="s">
        <v>2023</v>
      </c>
      <c r="B49" s="2183" t="str">
        <f>'预评函-2'!A6</f>
        <v>——</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6"/>
  </cols>
  <sheetData>
    <row r="1" spans="1:6">
      <c r="A1" s="3032" t="s">
        <v>2674</v>
      </c>
      <c r="B1" s="3033"/>
      <c r="C1" s="3033"/>
      <c r="D1" s="3033"/>
      <c r="E1" s="3033"/>
      <c r="F1" s="3034"/>
    </row>
    <row r="2" spans="1:6">
      <c r="A2" s="3035"/>
      <c r="B2" s="3036"/>
      <c r="C2" s="3036"/>
      <c r="D2" s="3036"/>
      <c r="E2" s="3036"/>
      <c r="F2" s="3037"/>
    </row>
    <row r="3" spans="1:6">
      <c r="A3" s="2989" t="s">
        <v>2675</v>
      </c>
      <c r="B3" s="3038">
        <f>项目基本情况!D3</f>
        <v>45637</v>
      </c>
      <c r="C3" s="3039"/>
      <c r="D3" s="3039"/>
      <c r="E3" s="3039"/>
      <c r="F3" s="3037"/>
    </row>
    <row r="4" spans="1:6">
      <c r="A4" s="2989" t="s">
        <v>2676</v>
      </c>
      <c r="B4" s="3040" t="s">
        <v>2677</v>
      </c>
      <c r="C4" s="3040" t="s">
        <v>2678</v>
      </c>
      <c r="D4" s="3040" t="s">
        <v>2679</v>
      </c>
      <c r="E4" s="3040" t="s">
        <v>2680</v>
      </c>
      <c r="F4" s="3037"/>
    </row>
    <row r="5" spans="1:6">
      <c r="A5" s="3041"/>
      <c r="B5" s="3038"/>
      <c r="C5" s="3040">
        <f>ROUNDDOWN(MIN((B5-B3)/365,A5),2)</f>
        <v>-125.03</v>
      </c>
      <c r="D5" s="3042">
        <f>IF(ISERROR(ROUND(POWER(1+E5,A5-C5)*(POWER(1+E5,C5)-1)/(POWER(1+E5,A5)-1),3)),0,ROUND(POWER(1+E5,A5-C5)*(POWER(1+E5,C5)-1)/(POWER(1+E5,A5)-1),4))</f>
        <v>0</v>
      </c>
      <c r="E5" s="3043"/>
      <c r="F5" s="3037"/>
    </row>
    <row r="6" spans="1:6">
      <c r="A6" s="3041"/>
      <c r="B6" s="3038"/>
      <c r="C6" s="3040">
        <f>ROUNDDOWN(MIN((B6-B3)/365,A6),2)</f>
        <v>-125.03</v>
      </c>
      <c r="D6" s="3042">
        <f>IF(ISERROR(ROUND(POWER(1+E6,A6-C6)*(POWER(1+E6,C6)-1)/(POWER(1+E6,A6)-1),3)),0,ROUND(POWER(1+E6,A6-C6)*(POWER(1+E6,C6)-1)/(POWER(1+E6,A6)-1),4))</f>
        <v>0</v>
      </c>
      <c r="E6" s="3043"/>
      <c r="F6" s="3037"/>
    </row>
    <row r="7" spans="1:6">
      <c r="A7" s="3041"/>
      <c r="B7" s="3038"/>
      <c r="C7" s="3040">
        <f>ROUNDDOWN(MIN((B7-B3)/365,A7),2)</f>
        <v>-125.03</v>
      </c>
      <c r="D7" s="3042">
        <f>IF(ISERROR(ROUND(POWER(1+E7,A7-C7)*(POWER(1+E7,C7)-1)/(POWER(1+E7,A7)-1),3)),0,ROUND(POWER(1+E7,A7-C7)*(POWER(1+E7,C7)-1)/(POWER(1+E7,A7)-1),4))</f>
        <v>0</v>
      </c>
      <c r="E7" s="3043"/>
      <c r="F7" s="3037"/>
    </row>
    <row r="8" spans="1:6">
      <c r="A8" s="3035"/>
      <c r="B8" s="3036"/>
      <c r="C8" s="3036"/>
      <c r="D8" s="3036"/>
      <c r="E8" s="3036"/>
      <c r="F8" s="3037"/>
    </row>
    <row r="9" spans="1:6">
      <c r="A9" s="2989" t="s">
        <v>2681</v>
      </c>
      <c r="B9" s="3040"/>
      <c r="C9" s="3040"/>
      <c r="D9" s="3040"/>
      <c r="E9" s="3040"/>
      <c r="F9" s="3044"/>
    </row>
    <row r="10" spans="1:6">
      <c r="A10" s="2989" t="s">
        <v>2682</v>
      </c>
      <c r="B10" s="3040"/>
      <c r="C10" s="3040"/>
      <c r="D10" s="3040" t="s">
        <v>2680</v>
      </c>
      <c r="E10" s="3040"/>
      <c r="F10" s="3044" t="s">
        <v>2679</v>
      </c>
    </row>
    <row r="11" spans="1:6">
      <c r="A11" s="2989" t="s">
        <v>2683</v>
      </c>
      <c r="B11" s="3045"/>
      <c r="C11" s="3040" t="s">
        <v>2684</v>
      </c>
      <c r="D11" s="3045"/>
      <c r="E11" s="3040" t="s">
        <v>2685</v>
      </c>
      <c r="F11" s="3046">
        <f>ROUND(1-(1/(POWER(1+D11,B11))),4)</f>
        <v>0</v>
      </c>
    </row>
    <row r="12" spans="1:6">
      <c r="A12" s="2989" t="s">
        <v>2686</v>
      </c>
      <c r="B12" s="3045"/>
      <c r="C12" s="3040" t="s">
        <v>2687</v>
      </c>
      <c r="D12" s="3045"/>
      <c r="E12" s="3040" t="s">
        <v>2688</v>
      </c>
      <c r="F12" s="3046">
        <f>ROUND(1-(1/(POWER(1+D12,B12))),4)</f>
        <v>0</v>
      </c>
    </row>
    <row r="13" spans="1:6">
      <c r="A13" s="2989" t="s">
        <v>2689</v>
      </c>
      <c r="B13" s="3040"/>
      <c r="C13" s="3039"/>
      <c r="D13" s="3036"/>
      <c r="E13" s="3036"/>
      <c r="F13" s="3037"/>
    </row>
    <row r="14" spans="1:6">
      <c r="A14" s="2989" t="s">
        <v>2690</v>
      </c>
      <c r="B14" s="3045"/>
      <c r="C14" s="3039"/>
      <c r="D14" s="3036"/>
      <c r="E14" s="3036"/>
      <c r="F14" s="3037"/>
    </row>
    <row r="15" spans="1:6">
      <c r="A15" s="2989" t="s">
        <v>2691</v>
      </c>
      <c r="B15" s="3040" t="e">
        <f>ROUND(B14*F12/F11,2)</f>
        <v>#DIV/0!</v>
      </c>
      <c r="C15" s="3040" t="e">
        <f>ROUND(F12/F11,4)</f>
        <v>#DIV/0!</v>
      </c>
      <c r="D15" s="3036"/>
      <c r="E15" s="3036"/>
      <c r="F15" s="3037"/>
    </row>
    <row r="16" spans="1:6">
      <c r="A16" s="2989" t="s">
        <v>2692</v>
      </c>
      <c r="B16" s="3040"/>
      <c r="C16" s="3039"/>
      <c r="D16" s="3036"/>
      <c r="E16" s="3036"/>
      <c r="F16" s="3037"/>
    </row>
    <row r="17" spans="1:7">
      <c r="A17" s="2989" t="s">
        <v>2691</v>
      </c>
      <c r="B17" s="3045"/>
      <c r="C17" s="3039"/>
      <c r="D17" s="3036"/>
      <c r="E17" s="3036"/>
      <c r="F17" s="3037"/>
    </row>
    <row r="18" spans="1:7" ht="14.25" thickBot="1">
      <c r="A18" s="3047" t="s">
        <v>2690</v>
      </c>
      <c r="B18" s="3048" t="e">
        <f>ROUND(B17*F11/F12,2)</f>
        <v>#DIV/0!</v>
      </c>
      <c r="C18" s="3048" t="e">
        <f>ROUND(F11/F12,4)</f>
        <v>#DIV/0!</v>
      </c>
      <c r="D18" s="3049"/>
      <c r="E18" s="3049"/>
      <c r="F18" s="3050"/>
    </row>
    <row r="19" spans="1:7" ht="14.25" thickBot="1"/>
    <row r="20" spans="1:7">
      <c r="A20" s="3051" t="s">
        <v>2693</v>
      </c>
      <c r="B20" s="3052"/>
      <c r="C20" s="3052"/>
      <c r="D20" s="3052"/>
      <c r="E20" s="3052"/>
      <c r="F20" s="3052"/>
      <c r="G20" s="3053"/>
    </row>
    <row r="21" spans="1:7">
      <c r="A21" s="3054"/>
      <c r="B21" s="3055" t="s">
        <v>2694</v>
      </c>
      <c r="C21" s="3055" t="s">
        <v>2695</v>
      </c>
      <c r="D21" s="3055" t="s">
        <v>2696</v>
      </c>
      <c r="E21" s="3055" t="s">
        <v>2697</v>
      </c>
      <c r="F21" s="3055" t="s">
        <v>2698</v>
      </c>
      <c r="G21" s="3056" t="s">
        <v>2699</v>
      </c>
    </row>
    <row r="22" spans="1:7">
      <c r="A22" s="3054" t="s">
        <v>2700</v>
      </c>
      <c r="B22" s="3057">
        <v>50</v>
      </c>
      <c r="C22" s="3057">
        <v>32</v>
      </c>
      <c r="D22" s="3058">
        <v>0.05</v>
      </c>
      <c r="E22" s="3055">
        <f>ROUND(POWER(1+D22,B22-C22)*(POWER(1+D22,C22)-1)/(POWER(1+D22,B22)-1),3)</f>
        <v>0.86599999999999999</v>
      </c>
      <c r="F22" s="3058">
        <v>0.6</v>
      </c>
      <c r="G22" s="3056">
        <f>ROUND(100*(1-(1-E22)*F22),1)</f>
        <v>92</v>
      </c>
    </row>
    <row r="23" spans="1:7">
      <c r="A23" s="3059" t="s">
        <v>2701</v>
      </c>
      <c r="B23" s="3057">
        <v>50</v>
      </c>
      <c r="C23" s="3057">
        <v>35</v>
      </c>
      <c r="D23" s="3058">
        <v>0.05</v>
      </c>
      <c r="E23" s="3055">
        <f>ROUND(POWER(1+D23,B23-C23)*(POWER(1+D23,C23)-1)/(POWER(1+D23,B23)-1),3)</f>
        <v>0.89700000000000002</v>
      </c>
      <c r="F23" s="3058">
        <f>F22</f>
        <v>0.6</v>
      </c>
      <c r="G23" s="3056">
        <f>ROUND(100*(1-(1-E23)*F23),1)</f>
        <v>93.8</v>
      </c>
    </row>
    <row r="24" spans="1:7">
      <c r="A24" s="3059" t="s">
        <v>2702</v>
      </c>
      <c r="B24" s="3057">
        <v>50</v>
      </c>
      <c r="C24" s="3057">
        <v>25</v>
      </c>
      <c r="D24" s="3058">
        <v>0.05</v>
      </c>
      <c r="E24" s="3055">
        <f>ROUND(POWER(1+D24,B24-C24)*(POWER(1+D24,C24)-1)/(POWER(1+D24,B24)-1),3)</f>
        <v>0.77200000000000002</v>
      </c>
      <c r="F24" s="3058">
        <f>F23</f>
        <v>0.6</v>
      </c>
      <c r="G24" s="3056">
        <f>ROUND(100*(1-(1-E24)*F24),1)</f>
        <v>86.3</v>
      </c>
    </row>
    <row r="25" spans="1:7">
      <c r="A25" s="3059" t="s">
        <v>2703</v>
      </c>
      <c r="B25" s="3057">
        <v>50</v>
      </c>
      <c r="C25" s="3057">
        <v>40</v>
      </c>
      <c r="D25" s="3058">
        <v>0.05</v>
      </c>
      <c r="E25" s="3055">
        <f>ROUND(POWER(1+D25,B25-C25)*(POWER(1+D25,C25)-1)/(POWER(1+D25,B25)-1),3)</f>
        <v>0.94</v>
      </c>
      <c r="F25" s="3058">
        <f>F24</f>
        <v>0.6</v>
      </c>
      <c r="G25" s="3056">
        <f>ROUND(100*(1-(1-E25)*F25),1)</f>
        <v>96.4</v>
      </c>
    </row>
    <row r="26" spans="1:7">
      <c r="A26" s="3060"/>
      <c r="B26" s="3061"/>
      <c r="C26" s="3061"/>
      <c r="D26" s="3061"/>
      <c r="E26" s="3061"/>
      <c r="F26" s="3061"/>
      <c r="G26" s="3062"/>
    </row>
    <row r="27" spans="1:7">
      <c r="A27" s="3063" t="s">
        <v>2704</v>
      </c>
      <c r="B27" s="3064"/>
      <c r="C27" s="3064"/>
      <c r="D27" s="3064"/>
      <c r="E27" s="3064"/>
      <c r="F27" s="3064"/>
      <c r="G27" s="3065"/>
    </row>
    <row r="28" spans="1:7">
      <c r="A28" s="3063" t="s">
        <v>2705</v>
      </c>
      <c r="B28" s="3064"/>
      <c r="C28" s="3064"/>
      <c r="D28" s="3064"/>
      <c r="E28" s="3064"/>
      <c r="F28" s="3064"/>
      <c r="G28" s="3065"/>
    </row>
    <row r="29" spans="1:7">
      <c r="A29" s="3063" t="s">
        <v>2706</v>
      </c>
      <c r="B29" s="3064"/>
      <c r="C29" s="3064"/>
      <c r="D29" s="3064"/>
      <c r="E29" s="3064"/>
      <c r="F29" s="3064"/>
      <c r="G29" s="3065"/>
    </row>
    <row r="30" spans="1:7">
      <c r="A30" s="3063" t="s">
        <v>2707</v>
      </c>
      <c r="B30" s="3064"/>
      <c r="C30" s="3064"/>
      <c r="D30" s="3064"/>
      <c r="E30" s="3064"/>
      <c r="F30" s="3064"/>
      <c r="G30" s="3065"/>
    </row>
    <row r="31" spans="1:7">
      <c r="A31" s="3063" t="s">
        <v>2708</v>
      </c>
      <c r="B31" s="3064"/>
      <c r="C31" s="3064"/>
      <c r="D31" s="3064"/>
      <c r="E31" s="3064"/>
      <c r="F31" s="3064"/>
      <c r="G31" s="3065"/>
    </row>
    <row r="32" spans="1:7">
      <c r="A32" s="3063" t="s">
        <v>2709</v>
      </c>
      <c r="B32" s="3064"/>
      <c r="C32" s="3064"/>
      <c r="D32" s="3064"/>
      <c r="E32" s="3064"/>
      <c r="F32" s="3064"/>
      <c r="G32" s="3065"/>
    </row>
    <row r="33" spans="1:7">
      <c r="A33" s="3063" t="s">
        <v>2710</v>
      </c>
      <c r="B33" s="3064"/>
      <c r="C33" s="3064"/>
      <c r="D33" s="3064"/>
      <c r="E33" s="3064"/>
      <c r="F33" s="3064"/>
      <c r="G33" s="3065"/>
    </row>
    <row r="34" spans="1:7">
      <c r="A34" s="3063" t="s">
        <v>2711</v>
      </c>
      <c r="B34" s="3064"/>
      <c r="C34" s="3064"/>
      <c r="D34" s="3064"/>
      <c r="E34" s="3064"/>
      <c r="F34" s="3064"/>
      <c r="G34" s="3065"/>
    </row>
    <row r="35" spans="1:7">
      <c r="A35" s="3063" t="s">
        <v>2712</v>
      </c>
      <c r="B35" s="3064"/>
      <c r="C35" s="3064"/>
      <c r="D35" s="3064"/>
      <c r="E35" s="3064"/>
      <c r="F35" s="3064"/>
      <c r="G35" s="3065"/>
    </row>
    <row r="36" spans="1:7">
      <c r="A36" s="3063" t="s">
        <v>2713</v>
      </c>
      <c r="B36" s="3064"/>
      <c r="C36" s="3064"/>
      <c r="D36" s="3064"/>
      <c r="E36" s="3064"/>
      <c r="F36" s="3064"/>
      <c r="G36" s="3065"/>
    </row>
    <row r="37" spans="1:7">
      <c r="A37" s="3063" t="s">
        <v>2714</v>
      </c>
      <c r="B37" s="3064"/>
      <c r="C37" s="3064"/>
      <c r="D37" s="3064"/>
      <c r="E37" s="3064"/>
      <c r="F37" s="3064"/>
      <c r="G37" s="3065"/>
    </row>
    <row r="38" spans="1:7">
      <c r="A38" s="3063" t="s">
        <v>2715</v>
      </c>
      <c r="B38" s="3064"/>
      <c r="C38" s="3064"/>
      <c r="D38" s="3064"/>
      <c r="E38" s="3064"/>
      <c r="F38" s="3064"/>
      <c r="G38" s="3065"/>
    </row>
    <row r="39" spans="1:7">
      <c r="A39" s="3063"/>
      <c r="B39" s="3064"/>
      <c r="C39" s="3064"/>
      <c r="D39" s="3064"/>
      <c r="E39" s="3064"/>
      <c r="F39" s="3064"/>
      <c r="G39" s="3065"/>
    </row>
    <row r="40" spans="1:7">
      <c r="A40" s="3066" t="s">
        <v>2716</v>
      </c>
      <c r="B40" s="3067"/>
      <c r="C40" s="3067"/>
      <c r="D40" s="3067"/>
      <c r="E40" s="3067"/>
      <c r="F40" s="3067"/>
      <c r="G40" s="3068"/>
    </row>
    <row r="41" spans="1:7">
      <c r="A41" s="3069" t="s">
        <v>2717</v>
      </c>
      <c r="B41" s="3070" t="s">
        <v>2718</v>
      </c>
      <c r="C41" s="3071" t="s">
        <v>2719</v>
      </c>
      <c r="D41" s="3071" t="s">
        <v>2720</v>
      </c>
      <c r="E41" s="3072"/>
      <c r="F41" s="3073"/>
      <c r="G41" s="3074"/>
    </row>
    <row r="42" spans="1:7">
      <c r="A42" s="3069" t="s">
        <v>2721</v>
      </c>
      <c r="B42" s="3070" t="s">
        <v>2722</v>
      </c>
      <c r="C42" s="3071" t="s">
        <v>2722</v>
      </c>
      <c r="D42" s="3075" t="s">
        <v>2723</v>
      </c>
      <c r="E42" s="3067" t="s">
        <v>2724</v>
      </c>
      <c r="F42" s="3067"/>
      <c r="G42" s="3068"/>
    </row>
    <row r="43" spans="1:7">
      <c r="A43" s="3069" t="s">
        <v>2725</v>
      </c>
      <c r="B43" s="3070" t="s">
        <v>2726</v>
      </c>
      <c r="C43" s="3071" t="s">
        <v>2727</v>
      </c>
      <c r="D43" s="3071" t="s">
        <v>2728</v>
      </c>
      <c r="E43" s="3072" t="s">
        <v>2729</v>
      </c>
      <c r="F43" s="3073"/>
      <c r="G43" s="3074"/>
    </row>
    <row r="44" spans="1:7">
      <c r="A44" s="3069" t="s">
        <v>2730</v>
      </c>
      <c r="B44" s="3070" t="s">
        <v>2731</v>
      </c>
      <c r="C44" s="3071" t="s">
        <v>2732</v>
      </c>
      <c r="D44" s="3075">
        <v>0.5</v>
      </c>
      <c r="E44" s="3072" t="s">
        <v>2733</v>
      </c>
      <c r="F44" s="3073"/>
      <c r="G44" s="3074"/>
    </row>
    <row r="45" spans="1:7" ht="14.25" thickBot="1">
      <c r="A45" s="3076" t="s">
        <v>2734</v>
      </c>
      <c r="B45" s="3077" t="s">
        <v>2722</v>
      </c>
      <c r="C45" s="3078" t="s">
        <v>2722</v>
      </c>
      <c r="D45" s="3078" t="s">
        <v>2735</v>
      </c>
      <c r="E45" s="3079" t="s">
        <v>2736</v>
      </c>
      <c r="F45" s="3079"/>
      <c r="G45" s="308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70" zoomScaleNormal="100" zoomScaleSheetLayoutView="70" workbookViewId="0">
      <selection activeCell="B8" sqref="B8"/>
    </sheetView>
  </sheetViews>
  <sheetFormatPr defaultColWidth="10" defaultRowHeight="14.25"/>
  <cols>
    <col min="1" max="1" width="15.375" style="1401" customWidth="1"/>
    <col min="2" max="2" width="16.12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83" t="str">
        <f>IF(B10="北京市","北京市",C10)&amp;F10&amp;A17&amp;"国有建设用地使用权"&amp;B9&amp;"预评估"</f>
        <v>北京市出让国有建设用地使用权市场价格预评估</v>
      </c>
      <c r="C1" s="3484"/>
      <c r="D1" s="3484"/>
      <c r="E1" s="3484"/>
      <c r="F1" s="3484"/>
      <c r="G1" s="3484"/>
      <c r="H1" s="3484"/>
      <c r="I1" s="3485"/>
      <c r="J1" s="2603"/>
      <c r="K1" s="1971" t="str">
        <f>IF(B10="北京市","北京市",C10)&amp;F10&amp;A17&amp;"国有建设用地使用权"&amp;B9</f>
        <v>北京市出让国有建设用地使用权市场价格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45637</v>
      </c>
      <c r="C3" s="2532" t="s">
        <v>1513</v>
      </c>
      <c r="D3" s="1379">
        <f>B3</f>
        <v>45637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3829</v>
      </c>
      <c r="C8" s="1388"/>
      <c r="D8" s="3489" t="s">
        <v>1464</v>
      </c>
      <c r="E8" s="1532"/>
      <c r="F8" s="1389"/>
      <c r="G8" s="2603"/>
      <c r="H8" s="2603"/>
      <c r="I8" s="2604"/>
      <c r="J8" s="2603"/>
      <c r="K8" s="2587"/>
      <c r="L8" s="2583"/>
      <c r="M8" s="2583"/>
      <c r="N8" s="2584"/>
      <c r="O8" s="2585"/>
      <c r="P8" s="2584"/>
      <c r="Q8" s="2584"/>
      <c r="R8" s="2584"/>
      <c r="S8" s="2584"/>
      <c r="T8" s="2584"/>
      <c r="U8" s="2584"/>
    </row>
    <row r="9" spans="1:21" ht="15" thickBot="1">
      <c r="A9" s="2534" t="s">
        <v>1463</v>
      </c>
      <c r="B9" s="1390" t="s">
        <v>3273</v>
      </c>
      <c r="C9" s="1391"/>
      <c r="D9" s="3490"/>
      <c r="E9" s="1390"/>
      <c r="F9" s="1447"/>
      <c r="G9" s="2606"/>
      <c r="H9" s="2606"/>
      <c r="I9" s="2607"/>
      <c r="J9" s="2603"/>
      <c r="K9" s="2587"/>
      <c r="L9" s="2583"/>
      <c r="M9" s="2583"/>
      <c r="N9" s="2584"/>
      <c r="O9" s="2585"/>
      <c r="P9" s="2584"/>
      <c r="Q9" s="2584"/>
      <c r="R9" s="2584"/>
      <c r="S9" s="2584"/>
      <c r="T9" s="2584"/>
      <c r="U9" s="2584"/>
    </row>
    <row r="10" spans="1:21" ht="15"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3274</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86"/>
      <c r="C12" s="3487"/>
      <c r="D12" s="3488"/>
      <c r="E12" s="1407" t="s">
        <v>1579</v>
      </c>
      <c r="F12" s="3504" t="s">
        <v>2163</v>
      </c>
      <c r="G12" s="3505"/>
      <c r="H12" s="3505"/>
      <c r="I12" s="3506"/>
      <c r="J12" s="2603"/>
      <c r="K12" s="2587"/>
      <c r="L12" s="2583"/>
      <c r="M12" s="2583"/>
      <c r="N12" s="2584"/>
      <c r="O12" s="2585"/>
      <c r="P12" s="2584"/>
      <c r="Q12" s="2584"/>
      <c r="R12" s="2584"/>
      <c r="S12" s="2584"/>
      <c r="T12" s="2584"/>
      <c r="U12" s="2584"/>
    </row>
    <row r="13" spans="1:21">
      <c r="A13" s="1399" t="s">
        <v>1577</v>
      </c>
      <c r="B13" s="3486"/>
      <c r="C13" s="3487"/>
      <c r="D13" s="3488"/>
      <c r="E13" s="1407" t="s">
        <v>1579</v>
      </c>
      <c r="F13" s="3504" t="s">
        <v>2164</v>
      </c>
      <c r="G13" s="3505"/>
      <c r="H13" s="3505"/>
      <c r="I13" s="3506"/>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2738</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2739</v>
      </c>
      <c r="E16" s="1428" t="s">
        <v>1212</v>
      </c>
      <c r="F16" s="1428" t="s">
        <v>2740</v>
      </c>
      <c r="G16" s="1428" t="s">
        <v>2741</v>
      </c>
      <c r="H16" s="1398" t="s">
        <v>776</v>
      </c>
      <c r="I16" s="1398" t="s">
        <v>2738</v>
      </c>
      <c r="J16" s="2603"/>
      <c r="K16" s="1398" t="str">
        <f>IF(D17="","",D16&amp;TEXT(D17,"yyyy年m月d日;;"))</f>
        <v/>
      </c>
      <c r="L16" s="1407" t="str">
        <f>IF(OR(K16="",M16=""),"","、")</f>
        <v/>
      </c>
      <c r="M16" s="1398" t="str">
        <f>IF(E17="","",E16&amp;TEXT(E17,"yyyy年m月d日;;"))</f>
        <v/>
      </c>
      <c r="N16" s="1407" t="str">
        <f>IF(OR(M16="",O16=""),"","、")</f>
        <v/>
      </c>
      <c r="O16" s="1398" t="str">
        <f>IF(F17="","",F16&amp;TEXT(F17,"yyyy年m月d日;;"))</f>
        <v>车库2051年9月20日</v>
      </c>
      <c r="P16" s="1407" t="str">
        <f>IF(OR(O16="",Q16=""),"","、")</f>
        <v>、</v>
      </c>
      <c r="Q16" s="1398" t="str">
        <f>IF(G17="","",G16&amp;TEXT(G17,"yyyy年m月d日;;"))</f>
        <v>仓储2051年9月20日</v>
      </c>
      <c r="R16" s="1407" t="str">
        <f>IF(OR(Q16="",S16=""),"","、")</f>
        <v/>
      </c>
      <c r="S16" s="1398" t="str">
        <f>IF(H17="","",H16&amp;TEXT(H17,"yyyy年m月d日;;"))</f>
        <v/>
      </c>
      <c r="T16" s="1407" t="str">
        <f>IF(OR(S16="",U16=""),"","、")</f>
        <v/>
      </c>
      <c r="U16" s="1398" t="str">
        <f>IF(I17="","",I16&amp;TEXT(I17,"yyyy年m月d日;;"))</f>
        <v/>
      </c>
    </row>
    <row r="17" spans="1:21">
      <c r="A17" s="3082" t="s">
        <v>2742</v>
      </c>
      <c r="B17" s="2538" t="s">
        <v>1473</v>
      </c>
      <c r="C17" s="3081">
        <v>62721</v>
      </c>
      <c r="D17" s="3081"/>
      <c r="E17" s="3081"/>
      <c r="F17" s="3081">
        <v>55416</v>
      </c>
      <c r="G17" s="3081">
        <v>55416</v>
      </c>
      <c r="H17" s="3081"/>
      <c r="I17" s="3081"/>
      <c r="J17" s="2603"/>
      <c r="K17" s="2582" t="str">
        <f>CONCATENATE(K16,L16,M16,N16,O16,P16,Q16,R16,S16,T16,,U16)</f>
        <v>车库2051年9月20日、仓储2051年9月20日</v>
      </c>
      <c r="L17" s="2583"/>
      <c r="M17" s="2583"/>
      <c r="N17" s="2584"/>
      <c r="O17" s="2585"/>
      <c r="P17" s="2584"/>
      <c r="Q17" s="2584"/>
      <c r="R17" s="2584"/>
      <c r="S17" s="2584"/>
      <c r="T17" s="2584"/>
      <c r="U17" s="2584"/>
    </row>
    <row r="18" spans="1:21">
      <c r="A18" s="1463"/>
      <c r="B18" s="2538" t="s">
        <v>1474</v>
      </c>
      <c r="C18" s="1396">
        <v>70</v>
      </c>
      <c r="D18" s="1396"/>
      <c r="E18" s="1396"/>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46.8</v>
      </c>
      <c r="D19" s="1458" t="str">
        <f>IF(A17="出让",IF(D17="","",ROUNDDOWN(MIN((D17-$D$3)/365,D18),2)),D18)</f>
        <v/>
      </c>
      <c r="E19" s="1397" t="str">
        <f>IF(A17="出让",IF(E17="","",ROUNDDOWN(MIN((E17-$D$3)/365,E18),2)),E18)</f>
        <v/>
      </c>
      <c r="F19" s="1397">
        <f>IF(A17="出让",IF(F17="","",ROUNDDOWN(MIN((F17-$D$3)/365,F18),2)),F18)</f>
        <v>26.79</v>
      </c>
      <c r="G19" s="1397">
        <f>IF(A17="出让",IF(G17="","",ROUNDDOWN(MIN((G17-$D$3)/365,G18),2)),G18)</f>
        <v>26.79</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501"/>
      <c r="E20" s="3502"/>
      <c r="F20" s="3502"/>
      <c r="G20" s="3502"/>
      <c r="H20" s="3502"/>
      <c r="I20" s="3503"/>
      <c r="J20" s="2603"/>
      <c r="K20" s="2587"/>
      <c r="L20" s="2583"/>
      <c r="M20" s="2583"/>
      <c r="N20" s="2584"/>
      <c r="O20" s="2585"/>
      <c r="P20" s="2584"/>
      <c r="Q20" s="2584"/>
      <c r="R20" s="2584"/>
      <c r="S20" s="2584"/>
      <c r="T20" s="2584"/>
      <c r="U20" s="2584"/>
    </row>
    <row r="21" spans="1:21">
      <c r="A21" s="1463" t="s">
        <v>1476</v>
      </c>
      <c r="B21" s="1464" t="s">
        <v>1477</v>
      </c>
      <c r="C21" s="1459">
        <f>'数据-汇总表'!E3</f>
        <v>941.58999999999992</v>
      </c>
      <c r="D21" s="1460" t="s">
        <v>1478</v>
      </c>
      <c r="E21" s="3491" t="s">
        <v>1516</v>
      </c>
      <c r="F21" s="3492"/>
      <c r="G21" s="3492"/>
      <c r="H21" s="3492"/>
      <c r="I21" s="3493"/>
      <c r="J21" s="2603"/>
      <c r="K21" s="2587"/>
      <c r="L21" s="2583"/>
      <c r="M21" s="2583"/>
      <c r="N21" s="2584"/>
      <c r="O21" s="2585"/>
      <c r="P21" s="2584"/>
      <c r="Q21" s="2584"/>
      <c r="R21" s="2584"/>
      <c r="S21" s="2584"/>
      <c r="T21" s="2584"/>
      <c r="U21" s="2584"/>
    </row>
    <row r="22" spans="1:21">
      <c r="A22" s="2366" t="s">
        <v>877</v>
      </c>
      <c r="B22" s="1378" t="s">
        <v>1479</v>
      </c>
      <c r="C22" s="1398">
        <f>'数据-汇总表'!D3</f>
        <v>659.99</v>
      </c>
      <c r="D22" s="1399" t="s">
        <v>1478</v>
      </c>
      <c r="E22" s="3491" t="s">
        <v>2165</v>
      </c>
      <c r="F22" s="3492"/>
      <c r="G22" s="3492"/>
      <c r="H22" s="3492"/>
      <c r="I22" s="3493"/>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94" t="s">
        <v>1484</v>
      </c>
      <c r="C24" s="3495"/>
      <c r="D24" s="3496" t="s">
        <v>1485</v>
      </c>
      <c r="E24" s="3497"/>
      <c r="F24" s="1414" t="s">
        <v>1486</v>
      </c>
      <c r="G24" s="2603"/>
      <c r="H24" s="2603"/>
      <c r="I24" s="2604"/>
      <c r="J24" s="2603"/>
      <c r="K24" s="3482"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8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8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68" t="s">
        <v>1519</v>
      </c>
      <c r="B31" s="1464" t="s">
        <v>1520</v>
      </c>
      <c r="C31" s="3507"/>
      <c r="D31" s="3508"/>
      <c r="E31" s="2603"/>
      <c r="F31" s="2603"/>
      <c r="G31" s="2603"/>
      <c r="H31" s="2603"/>
      <c r="I31" s="2604"/>
      <c r="J31" s="2603"/>
      <c r="K31" s="2590"/>
      <c r="L31" s="2584"/>
      <c r="M31" s="2584"/>
      <c r="N31" s="2584"/>
      <c r="O31" s="2584"/>
      <c r="P31" s="2584"/>
      <c r="Q31" s="2584"/>
      <c r="R31" s="2584"/>
      <c r="S31" s="2584"/>
      <c r="T31" s="2584"/>
      <c r="U31" s="2584"/>
    </row>
    <row r="32" spans="1:21">
      <c r="A32" s="3468"/>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68"/>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69"/>
      <c r="B34" s="1378" t="s">
        <v>1523</v>
      </c>
      <c r="C34" s="3470"/>
      <c r="D34" s="3471"/>
      <c r="E34" s="2603"/>
      <c r="F34" s="2603"/>
      <c r="G34" s="2603"/>
      <c r="H34" s="2603"/>
      <c r="I34" s="2604"/>
      <c r="J34" s="2603"/>
      <c r="K34" s="2590"/>
      <c r="L34" s="2584"/>
      <c r="M34" s="2584"/>
      <c r="N34" s="2584"/>
      <c r="O34" s="2584"/>
      <c r="P34" s="2584"/>
      <c r="Q34" s="2584"/>
      <c r="R34" s="2584"/>
      <c r="S34" s="2584"/>
      <c r="T34" s="2584"/>
      <c r="U34" s="2584"/>
    </row>
    <row r="35" spans="1:28">
      <c r="A35" s="3472" t="s">
        <v>785</v>
      </c>
      <c r="B35" s="1428"/>
      <c r="C35" s="1472" t="str">
        <f>IF(B35="场地平整","——","具体情况：")</f>
        <v>具体情况：</v>
      </c>
      <c r="D35" s="3474"/>
      <c r="E35" s="3475"/>
      <c r="F35" s="3475"/>
      <c r="G35" s="3475"/>
      <c r="H35" s="3475"/>
      <c r="I35" s="3476"/>
      <c r="J35" s="2603"/>
      <c r="K35" s="2591"/>
      <c r="L35" s="2583"/>
      <c r="M35" s="2583"/>
      <c r="N35" s="2584"/>
      <c r="O35" s="2585"/>
      <c r="P35" s="2584"/>
      <c r="Q35" s="2584"/>
      <c r="R35" s="2584"/>
      <c r="S35" s="2584"/>
      <c r="T35" s="2584"/>
      <c r="U35" s="2584"/>
    </row>
    <row r="36" spans="1:28">
      <c r="A36" s="3468"/>
      <c r="B36" s="3477" t="s">
        <v>1572</v>
      </c>
      <c r="C36" s="3478"/>
      <c r="D36" s="1487"/>
      <c r="E36" s="3479"/>
      <c r="F36" s="3479"/>
      <c r="G36" s="1399" t="str">
        <f>IF(B35="场地未平整","估价结果处理","")</f>
        <v/>
      </c>
      <c r="H36" s="3480"/>
      <c r="I36" s="3480"/>
      <c r="J36" s="2603"/>
      <c r="K36" s="2591"/>
      <c r="L36" s="2583"/>
      <c r="M36" s="2583"/>
      <c r="N36" s="2584"/>
      <c r="O36" s="2585"/>
      <c r="P36" s="2584"/>
      <c r="Q36" s="2584"/>
      <c r="R36" s="2584"/>
      <c r="S36" s="2584"/>
      <c r="T36" s="2584"/>
      <c r="U36" s="2584"/>
    </row>
    <row r="37" spans="1:28" ht="28.5">
      <c r="A37" s="3468"/>
      <c r="B37" s="3498"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68"/>
      <c r="B38" s="3499"/>
      <c r="C38" s="1386" t="s">
        <v>788</v>
      </c>
      <c r="D38" s="1486">
        <f>ROUNDDOWN(MIN(('数据-取费表'!$B$2-D37)/365,D34),1)</f>
        <v>125</v>
      </c>
      <c r="E38" s="1433" t="s">
        <v>789</v>
      </c>
      <c r="F38" s="2603"/>
      <c r="G38" s="2603"/>
      <c r="H38" s="2603"/>
      <c r="I38" s="2604"/>
      <c r="J38" s="2603"/>
      <c r="K38" s="2591"/>
      <c r="L38" s="2584"/>
      <c r="M38" s="2584"/>
      <c r="N38" s="2584"/>
      <c r="O38" s="2584"/>
      <c r="P38" s="2584"/>
      <c r="Q38" s="2584"/>
      <c r="R38" s="2584"/>
      <c r="S38" s="2584"/>
      <c r="T38" s="2584"/>
      <c r="U38" s="2584"/>
    </row>
    <row r="39" spans="1:28">
      <c r="A39" s="3469"/>
      <c r="B39" s="3500"/>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81" t="s">
        <v>1503</v>
      </c>
      <c r="T40" s="1407" t="str">
        <f>NUMBERSTRING(7-K40,1)&amp;"通"</f>
        <v>七通</v>
      </c>
      <c r="U40" s="2584"/>
    </row>
    <row r="41" spans="1:28">
      <c r="A41" s="1380"/>
      <c r="B41" s="3473" t="s">
        <v>1250</v>
      </c>
      <c r="C41" s="3473"/>
      <c r="D41" s="3473"/>
      <c r="E41" s="3473"/>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81"/>
      <c r="T41" s="1438" t="str">
        <f>IF(T40="一通",L41,IF(T40="二通",M41,IF(T40="三通",N41,IF(T40="四通",O41,IF(T40="五通",P41,IF(T40="六通",Q41,R41))))))</f>
        <v>、、、、、、</v>
      </c>
      <c r="U41" s="2584"/>
    </row>
    <row r="42" spans="1:28">
      <c r="A42" s="1440"/>
      <c r="B42" s="1466" t="s">
        <v>1422</v>
      </c>
      <c r="C42" s="1466" t="s">
        <v>1423</v>
      </c>
      <c r="D42" s="1466" t="s">
        <v>1424</v>
      </c>
      <c r="E42" s="1466" t="s">
        <v>2743</v>
      </c>
      <c r="F42" s="1466" t="s">
        <v>2744</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t="s">
        <v>1153</v>
      </c>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t="s">
        <v>1118</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659.99</v>
      </c>
      <c r="B3" s="19">
        <f>IF(C3="否",G5-AT5,G5)</f>
        <v>941.58999999999992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941.58999999999992</v>
      </c>
      <c r="H5" s="23">
        <f t="shared" ref="H5:AT5" si="0">SUM(H13:H641)</f>
        <v>941.58999999999992</v>
      </c>
      <c r="I5" s="23">
        <f t="shared" si="0"/>
        <v>604.25</v>
      </c>
      <c r="J5" s="23">
        <f t="shared" si="0"/>
        <v>0</v>
      </c>
      <c r="K5" s="23">
        <f t="shared" si="0"/>
        <v>337.34</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941.58999999999992</v>
      </c>
      <c r="BA5" s="25">
        <f t="shared" si="1"/>
        <v>941.58999999999992</v>
      </c>
      <c r="BB5" s="25">
        <f t="shared" si="1"/>
        <v>604.25</v>
      </c>
      <c r="BC5" s="25">
        <f t="shared" si="1"/>
        <v>337.34</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659.99</v>
      </c>
      <c r="F6" s="23" t="s">
        <v>0</v>
      </c>
      <c r="G6" s="23" t="s">
        <v>1</v>
      </c>
      <c r="H6" s="29">
        <f>SUMIF(I$12:AB$12,"总值",I6:AB6)</f>
        <v>659.99</v>
      </c>
      <c r="I6" s="23">
        <f t="shared" ref="I6:AB6" si="2">ROUND($A$3*I5/$B$3,2)</f>
        <v>423.54</v>
      </c>
      <c r="J6" s="23">
        <f t="shared" si="2"/>
        <v>0</v>
      </c>
      <c r="K6" s="23">
        <f t="shared" si="2"/>
        <v>236.45</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659.99</v>
      </c>
      <c r="AZ6" s="23" t="s">
        <v>2</v>
      </c>
      <c r="BA6" s="23">
        <f>ROUND($AY$6*BA5/$AZ$5,2)</f>
        <v>659.99</v>
      </c>
      <c r="BB6" s="23">
        <f>ROUND($AY$6*BB5/$AZ$5,2)</f>
        <v>423.54</v>
      </c>
      <c r="BC6" s="23">
        <f t="shared" ref="BC6:BH6" si="4">ROUND($AY$6*BC5/$AZ$5,2)</f>
        <v>236.45</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3276</v>
      </c>
      <c r="J9" s="47"/>
      <c r="K9" s="2304" t="s">
        <v>3277</v>
      </c>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851</v>
      </c>
      <c r="J10" s="47"/>
      <c r="K10" s="2306" t="s">
        <v>2741</v>
      </c>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仓储</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c r="D13" s="2301" t="s">
        <v>3275</v>
      </c>
      <c r="E13" s="23">
        <f t="shared" ref="E13:E20" si="6">IF($C$3="是",ROUND($A$3*G13/$B$3,2),ROUND($A$3*(G13-AT13)/$B$3,2))</f>
        <v>659.99</v>
      </c>
      <c r="F13" s="76"/>
      <c r="G13" s="77">
        <f t="shared" ref="G13:G20" si="7">H13+AC13+AT13</f>
        <v>941.58999999999992</v>
      </c>
      <c r="H13" s="29">
        <f t="shared" ref="H13:H20" si="8">SUMIF(I$12:AB$12,"总值",I13:AB13)</f>
        <v>941.58999999999992</v>
      </c>
      <c r="I13" s="2303">
        <v>604.25</v>
      </c>
      <c r="J13" s="2303"/>
      <c r="K13" s="2303">
        <v>337.34</v>
      </c>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09">
        <f t="shared" ref="AY13:AY20" si="11">ROUND($AY$6*AZ13/$AZ$5,2)</f>
        <v>659.99</v>
      </c>
      <c r="AZ13" s="23">
        <f t="shared" ref="AZ13:AZ20" si="12">BA13+BL13</f>
        <v>941.58999999999992</v>
      </c>
      <c r="BA13" s="23">
        <f t="shared" ref="BA13:BA20" si="13">SUM(BB13:BK13)</f>
        <v>941.58999999999992</v>
      </c>
      <c r="BB13" s="23">
        <f t="shared" ref="BB13:BB20" si="14">IF($D13="是",I13-J13,0)</f>
        <v>604.25</v>
      </c>
      <c r="BC13" s="23">
        <f t="shared" ref="BC13:BC20" si="15">IF($D13="是",K13-L13,0)</f>
        <v>337.34</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7" sqref="I17"/>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18" t="s">
        <v>169</v>
      </c>
      <c r="B2" s="3518"/>
      <c r="C2" s="3518"/>
      <c r="D2" s="1631" t="s">
        <v>170</v>
      </c>
      <c r="E2" s="97" t="s">
        <v>171</v>
      </c>
      <c r="F2" s="2610"/>
      <c r="G2" s="1041"/>
      <c r="H2" s="1042"/>
      <c r="I2" s="1043" t="s">
        <v>795</v>
      </c>
      <c r="J2" s="2610"/>
      <c r="K2" s="2610"/>
      <c r="L2" s="2610"/>
      <c r="M2" s="2610"/>
      <c r="N2" s="2610"/>
      <c r="O2" s="2610"/>
      <c r="P2" s="2610"/>
    </row>
    <row r="3" spans="1:16" ht="15.75" thickBot="1">
      <c r="A3" s="3519" t="s">
        <v>172</v>
      </c>
      <c r="B3" s="3519"/>
      <c r="C3" s="3519"/>
      <c r="D3" s="98">
        <f>'数据-基础表'!AY6</f>
        <v>659.99</v>
      </c>
      <c r="E3" s="98">
        <f>'数据-基础表'!AZ5</f>
        <v>941.58999999999992</v>
      </c>
      <c r="F3" s="2610"/>
      <c r="G3" s="106" t="s">
        <v>796</v>
      </c>
      <c r="H3" s="102" t="s">
        <v>797</v>
      </c>
      <c r="I3" s="996">
        <f>ROUND('数据-基础表'!B3/'数据-基础表'!A3,2)</f>
        <v>1.43</v>
      </c>
      <c r="J3" s="2610"/>
      <c r="K3" s="2610"/>
      <c r="L3" s="2610"/>
      <c r="M3" s="2610"/>
      <c r="N3" s="2610"/>
      <c r="O3" s="2610"/>
      <c r="P3" s="2610"/>
    </row>
    <row r="4" spans="1:16" ht="15">
      <c r="A4" s="3520"/>
      <c r="B4" s="3521"/>
      <c r="C4" s="3522"/>
      <c r="D4" s="99" t="s">
        <v>170</v>
      </c>
      <c r="E4" s="100" t="s">
        <v>171</v>
      </c>
      <c r="F4" s="2610"/>
      <c r="G4" s="119"/>
      <c r="H4" s="102" t="s">
        <v>798</v>
      </c>
      <c r="I4" s="996">
        <f>ROUND(SUMIF('数据-基础表'!I9:AS9,"地上",'数据-基础表'!I5:AS5)/'数据-基础表'!A3,2)</f>
        <v>0.92</v>
      </c>
      <c r="J4" s="2610"/>
      <c r="K4" s="2610"/>
      <c r="L4" s="2610"/>
      <c r="M4" s="2610"/>
      <c r="N4" s="2610"/>
      <c r="O4" s="2610"/>
      <c r="P4" s="2610"/>
    </row>
    <row r="5" spans="1:16">
      <c r="A5" s="101" t="s">
        <v>173</v>
      </c>
      <c r="B5" s="3523" t="s">
        <v>196</v>
      </c>
      <c r="C5" s="3523"/>
      <c r="D5" s="102">
        <f>ROUND($D$3*E5/$E$3,2)</f>
        <v>423.54</v>
      </c>
      <c r="E5" s="103">
        <f>SUMIF('数据-基础表'!$11:$11,"住宅",'数据-基础表'!$5:$5)</f>
        <v>604.25</v>
      </c>
      <c r="F5" s="2610"/>
      <c r="G5" s="106" t="s">
        <v>799</v>
      </c>
      <c r="H5" s="102" t="s">
        <v>797</v>
      </c>
      <c r="I5" s="996">
        <f>ROUND(E31/D31,2)</f>
        <v>1.43</v>
      </c>
      <c r="J5" s="2610"/>
      <c r="K5" s="2610"/>
      <c r="L5" s="2610"/>
      <c r="M5" s="2610"/>
      <c r="N5" s="2610"/>
      <c r="O5" s="2610"/>
      <c r="P5" s="2610"/>
    </row>
    <row r="6" spans="1:16" ht="15" thickBot="1">
      <c r="A6" s="104"/>
      <c r="B6" s="3523" t="s">
        <v>174</v>
      </c>
      <c r="C6" s="3523"/>
      <c r="D6" s="102">
        <f>ROUND($D$3*E6/$E$3,2)</f>
        <v>236.45</v>
      </c>
      <c r="E6" s="103">
        <f>E3-E5</f>
        <v>337.33999999999992</v>
      </c>
      <c r="F6" s="2610"/>
      <c r="G6" s="119"/>
      <c r="H6" s="102" t="s">
        <v>798</v>
      </c>
      <c r="I6" s="996">
        <f>ROUND(F31/D31,2)</f>
        <v>0.92</v>
      </c>
      <c r="J6" s="2610"/>
      <c r="K6" s="2610">
        <f>26.4*25</f>
        <v>660</v>
      </c>
      <c r="L6" s="2610"/>
      <c r="M6" s="2610"/>
      <c r="N6" s="2610"/>
      <c r="O6" s="2610"/>
      <c r="P6" s="2610"/>
    </row>
    <row r="7" spans="1:16" ht="15">
      <c r="A7" s="3515"/>
      <c r="B7" s="3516"/>
      <c r="C7" s="3517"/>
      <c r="D7" s="99" t="s">
        <v>170</v>
      </c>
      <c r="E7" s="105" t="s">
        <v>197</v>
      </c>
      <c r="F7" s="2610"/>
      <c r="G7" s="1001" t="s">
        <v>1180</v>
      </c>
      <c r="H7" s="1002"/>
      <c r="I7" s="127">
        <v>1</v>
      </c>
      <c r="J7" s="2610"/>
      <c r="K7" s="2610">
        <v>604.25</v>
      </c>
      <c r="L7" s="2610"/>
      <c r="M7" s="2610"/>
      <c r="N7" s="2610"/>
      <c r="O7" s="2610"/>
      <c r="P7" s="2610"/>
    </row>
    <row r="8" spans="1:16">
      <c r="A8" s="101" t="s">
        <v>175</v>
      </c>
      <c r="B8" s="106" t="s">
        <v>176</v>
      </c>
      <c r="C8" s="102" t="s">
        <v>177</v>
      </c>
      <c r="D8" s="102">
        <f t="shared" ref="D8:D15" si="0">ROUND($D$3*E8/$E$3,2)</f>
        <v>423.54</v>
      </c>
      <c r="E8" s="107">
        <f>SUMIF('数据-基础表'!BB10:BK10,"地上",'数据-基础表'!BB5:BK5)</f>
        <v>604.25</v>
      </c>
      <c r="F8" s="2610"/>
      <c r="G8" s="2610"/>
      <c r="H8" s="2610"/>
      <c r="I8" s="2610"/>
      <c r="J8" s="2610"/>
      <c r="K8" s="2610">
        <f>K7/K6</f>
        <v>0.91553030303030303</v>
      </c>
      <c r="L8" s="2610"/>
      <c r="M8" s="2610"/>
      <c r="N8" s="2610"/>
      <c r="O8" s="2610"/>
      <c r="P8" s="2610"/>
    </row>
    <row r="9" spans="1:16">
      <c r="A9" s="108"/>
      <c r="B9" s="109"/>
      <c r="C9" s="102" t="s">
        <v>178</v>
      </c>
      <c r="D9" s="102">
        <f t="shared" si="0"/>
        <v>0</v>
      </c>
      <c r="E9" s="110">
        <v>0</v>
      </c>
      <c r="F9" s="2610"/>
      <c r="G9" s="2610"/>
      <c r="H9" s="2610"/>
      <c r="I9" s="2610">
        <v>0.93600000000000005</v>
      </c>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236.45</v>
      </c>
      <c r="E12" s="107">
        <f>SUMPRODUCT(('数据-基础表'!BB10:BK10="地下")*('数据-基础表'!BB11:BK11="仓储")*('数据-基础表'!BB5:BK5))</f>
        <v>337.34</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659.99</v>
      </c>
      <c r="E16" s="111">
        <f>SUM(E8:E15)</f>
        <v>941.58999999999992</v>
      </c>
      <c r="F16" s="2610"/>
      <c r="G16" s="2610"/>
      <c r="H16" s="882" t="s">
        <v>185</v>
      </c>
      <c r="I16" s="883"/>
      <c r="J16" s="1633"/>
      <c r="K16" s="3509" t="s">
        <v>1849</v>
      </c>
      <c r="L16" s="3510"/>
      <c r="M16" s="3510"/>
      <c r="N16" s="3510"/>
      <c r="O16" s="3510"/>
      <c r="P16" s="3511"/>
    </row>
    <row r="17" spans="1:19" ht="15">
      <c r="A17" s="112" t="s">
        <v>182</v>
      </c>
      <c r="B17" s="113" t="s">
        <v>183</v>
      </c>
      <c r="C17" s="1886" t="s">
        <v>1670</v>
      </c>
      <c r="D17" s="99" t="s">
        <v>170</v>
      </c>
      <c r="E17" s="115" t="s">
        <v>171</v>
      </c>
      <c r="F17" s="116"/>
      <c r="G17" s="1158"/>
      <c r="H17" s="884" t="s">
        <v>184</v>
      </c>
      <c r="I17" s="885" t="s">
        <v>1669</v>
      </c>
      <c r="J17" s="1633"/>
      <c r="K17" s="3512" t="s">
        <v>1850</v>
      </c>
      <c r="L17" s="3513"/>
      <c r="M17" s="3514"/>
      <c r="N17" s="3512" t="s">
        <v>1851</v>
      </c>
      <c r="O17" s="3513"/>
      <c r="P17" s="3514"/>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3278</v>
      </c>
      <c r="D19" s="102">
        <f t="shared" ref="D19:D26" si="1">ROUND($D$3*E19/$E$3,2)</f>
        <v>659.99</v>
      </c>
      <c r="E19" s="124">
        <f t="shared" ref="E19:E26" si="2">SUM(F19:G19)</f>
        <v>941.58999999999992</v>
      </c>
      <c r="F19" s="2611">
        <f>'数据-基础表'!I13</f>
        <v>604.25</v>
      </c>
      <c r="G19" s="2612">
        <f>'数据-基础表'!K13</f>
        <v>337.34</v>
      </c>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659.99</v>
      </c>
      <c r="S19" s="124">
        <f t="shared" si="5"/>
        <v>941.58999999999992</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659.99</v>
      </c>
      <c r="E27" s="129">
        <f>IF(SUM(E19:E26)='数据-基础表'!BA5,SUM(E19:E26),IF(F27="地上面积有误","面积有误","地下面积有误"))</f>
        <v>941.58999999999992</v>
      </c>
      <c r="F27" s="124">
        <f>IF(SUM(F19:F26)=E8,SUM(F19:F26),"地上面积有误")</f>
        <v>604.25</v>
      </c>
      <c r="G27" s="103">
        <f>SUM(G19:G26)</f>
        <v>337.34</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659.99</v>
      </c>
      <c r="S27" s="102">
        <f>IF(SUM(S19:S26)=$E$3,SUM(S19:S26),SUM(S19:S26)&amp;"误差"&amp;ROUND(SUM(S19:S26)-E3,2))</f>
        <v>941.58999999999992</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659.99</v>
      </c>
      <c r="E31" s="1162">
        <f>E27+E30</f>
        <v>941.58999999999992</v>
      </c>
      <c r="F31" s="1163">
        <f>F27+F30</f>
        <v>604.25</v>
      </c>
      <c r="G31" s="1164">
        <f>G27+G30</f>
        <v>337.34</v>
      </c>
      <c r="H31" s="2610"/>
      <c r="I31" s="2610"/>
      <c r="J31" s="2610"/>
      <c r="K31" s="2610"/>
      <c r="L31" s="2610"/>
      <c r="M31" s="2610"/>
      <c r="N31" s="2610"/>
      <c r="O31" s="2610"/>
      <c r="P31" s="2610"/>
    </row>
    <row r="32" spans="1:19">
      <c r="A32" s="1633"/>
      <c r="B32" s="1929" t="s">
        <v>1678</v>
      </c>
      <c r="C32" s="2087"/>
      <c r="D32" s="119"/>
      <c r="E32" s="119">
        <f>SUMIF(C19:C26,"*住宅*",E19:E26)</f>
        <v>941.58999999999992</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O6" activePane="bottomRight" state="frozen"/>
      <selection pane="topRight" activeCell="D1" sqref="D1"/>
      <selection pane="bottomLeft" activeCell="A4" sqref="A4"/>
      <selection pane="bottomRight" activeCell="Z18" sqref="Z18"/>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45637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62721</v>
      </c>
      <c r="F6" s="158">
        <f>SUMIF(项目基本情况!C$15:I$15,C6,项目基本情况!C$19:I$19)</f>
        <v>46.8</v>
      </c>
      <c r="G6" s="159">
        <f t="shared" ref="G6:G13" si="0">IF(ISERROR(ROUND(POWER(1+H6,D6-F6)*(POWER(1+H6,F6)-1)/(POWER(1+H6,D6)-1),3)),0,ROUND(POWER(1+H6,D6-F6)*(POWER(1+H6,F6)-1)/(POWER(1+H6,D6)-1),3))</f>
        <v>0.89800000000000002</v>
      </c>
      <c r="H6" s="2311">
        <v>0.04</v>
      </c>
      <c r="I6" s="2311">
        <v>0.04</v>
      </c>
      <c r="J6" s="160">
        <v>7.4999999999999997E-2</v>
      </c>
      <c r="K6" s="163">
        <f>SUMIF('数据-汇总表'!C$19:C$33,'数据-取费表'!A6,'数据-汇总表'!E$19:E$33)</f>
        <v>941.58999999999992</v>
      </c>
      <c r="L6" s="2312">
        <v>5500</v>
      </c>
      <c r="M6" s="161">
        <f t="shared" ref="M6:M14" si="1">ROUND(K6*L6/10000,0)</f>
        <v>518</v>
      </c>
      <c r="N6" s="2313">
        <v>0</v>
      </c>
      <c r="O6" s="161">
        <f>IF($N$5="成新度","——",ROUND(M6*N6,0))</f>
        <v>0</v>
      </c>
      <c r="P6" s="162">
        <f>IF($N$5="成新度","——",M6-O6)</f>
        <v>518</v>
      </c>
      <c r="Q6" s="2314">
        <v>0.2</v>
      </c>
      <c r="R6" s="163">
        <f>SUMIF('数据-汇总表'!C$19:C$33,A6,'数据-汇总表'!R$19:R$33)</f>
        <v>659.99</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2"/>
      <c r="AN6" s="1124"/>
      <c r="AO6" s="2610"/>
      <c r="AP6" s="96">
        <f>ROUND(1-1/(1+H6)^F6,3)</f>
        <v>0.84</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0.89800000000000002</v>
      </c>
      <c r="H16" s="184">
        <f>ROUND(SUMPRODUCT(H6:H13,K6:K13)/SUMPRODUCT((H6:H13&gt;0)*(K6:K13)),3)</f>
        <v>0.04</v>
      </c>
      <c r="I16" s="185"/>
      <c r="J16" s="185"/>
      <c r="K16" s="186">
        <f>SUM(K6:K15)</f>
        <v>941.58999999999992</v>
      </c>
      <c r="L16" s="187">
        <f>ROUND(M16*10000/SUM(K6:K14),0)</f>
        <v>5501</v>
      </c>
      <c r="M16" s="187">
        <f>SUM(M6:M14)</f>
        <v>518</v>
      </c>
      <c r="N16" s="188">
        <f>ROUND(SUMPRODUCT(M6:M14,N6:N14)/M16,3)</f>
        <v>0</v>
      </c>
      <c r="O16" s="187">
        <f>SUM(O6:O14)</f>
        <v>0</v>
      </c>
      <c r="P16" s="187">
        <f>SUM(P6:P14)</f>
        <v>518</v>
      </c>
      <c r="Q16" s="189">
        <f>ROUND(SUMPRODUCT(Q6:Q13,K6:K13)/SUMPRODUCT((Q6:Q13&gt;0)*(K6:K13)),2)</f>
        <v>0.2</v>
      </c>
      <c r="R16" s="1898">
        <f>SUM(R6:R13)</f>
        <v>659.99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0.84</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2274</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160</v>
      </c>
      <c r="C27" s="2630" t="s">
        <v>2275</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300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300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0.04</v>
      </c>
      <c r="C33" s="2632" t="s">
        <v>3262</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0.03</v>
      </c>
      <c r="C34" s="2632" t="s">
        <v>2265</v>
      </c>
      <c r="D34" s="2633" t="s">
        <v>2271</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1.4999999999999999E-2</v>
      </c>
      <c r="C36" s="2632" t="s">
        <v>3263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2267</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2.5000000000000001E-2</v>
      </c>
      <c r="C38" s="2632" t="s">
        <v>2267</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3279</v>
      </c>
      <c r="B40" s="1991">
        <f ca="1">IF(A40="利息：取LPR",存贷款利率!E2,存贷款利率!E2+C40)</f>
        <v>4.7500000000000001E-2</v>
      </c>
      <c r="C40" s="2780">
        <v>1.6500000000000001E-2</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5.6000000000000001E-2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6.000000000000001E-3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7.0000000000000007E-2</v>
      </c>
      <c r="C44" s="2632" t="s">
        <v>2272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2276</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2270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2273</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24" t="s">
        <v>1198</v>
      </c>
      <c r="B1" s="3525"/>
      <c r="C1" s="3525"/>
      <c r="D1" s="3525"/>
      <c r="E1" s="3525"/>
      <c r="F1" s="3525"/>
      <c r="G1" s="3525"/>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18" sqref="E18"/>
    </sheetView>
  </sheetViews>
  <sheetFormatPr defaultColWidth="14.625" defaultRowHeight="13.5"/>
  <cols>
    <col min="1" max="1" width="24.375" style="2696" customWidth="1"/>
    <col min="2" max="16384" width="14.625" style="2696"/>
  </cols>
  <sheetData>
    <row r="1" spans="1:10" ht="16.5">
      <c r="A1" s="2695" t="s">
        <v>2118</v>
      </c>
      <c r="B1" s="2695">
        <f>SUM(B14:B23)</f>
        <v>941.58999999999992</v>
      </c>
      <c r="C1" s="2703"/>
      <c r="D1" s="2703"/>
      <c r="E1" s="2703"/>
      <c r="F1" s="2703"/>
      <c r="G1" s="2704"/>
      <c r="H1" s="2704"/>
      <c r="I1" s="2704"/>
      <c r="J1" s="2704"/>
    </row>
    <row r="2" spans="1:10" ht="16.5">
      <c r="A2" s="2695" t="s">
        <v>2119</v>
      </c>
      <c r="B2" s="2695">
        <f>SUM(C14:C23)</f>
        <v>659.99</v>
      </c>
      <c r="C2" s="2703"/>
      <c r="D2" s="2703"/>
      <c r="E2" s="2703"/>
      <c r="F2" s="2703"/>
      <c r="G2" s="2704"/>
      <c r="H2" s="2704"/>
      <c r="I2" s="2704"/>
      <c r="J2" s="2704"/>
    </row>
    <row r="3" spans="1:10" ht="16.5">
      <c r="A3" s="2695" t="s">
        <v>2120</v>
      </c>
      <c r="B3" s="2697">
        <f>项目基本情况!D3</f>
        <v>45637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3551</v>
      </c>
      <c r="C5" s="2695">
        <f ca="1">ROUND(B5*10000/$B$1,0)</f>
        <v>37713</v>
      </c>
      <c r="D5" s="2695">
        <f ca="1">ROUND(B5*10000/$B$2,0)</f>
        <v>53804</v>
      </c>
      <c r="E5" s="2703"/>
      <c r="F5" s="2703"/>
      <c r="G5" s="2704"/>
      <c r="H5" s="2704"/>
      <c r="I5" s="2704"/>
      <c r="J5" s="2704"/>
    </row>
    <row r="6" spans="1:10" ht="16.5">
      <c r="A6" s="2695" t="s">
        <v>2126</v>
      </c>
      <c r="B6" s="2695">
        <f>SUM(G14:G23)</f>
        <v>0</v>
      </c>
      <c r="C6" s="2695">
        <f>ROUND(B6*10000/$B$1,0)</f>
        <v>0</v>
      </c>
      <c r="D6" s="2695">
        <f>ROUND(B6*10000/$B$2,0)</f>
        <v>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'数据-汇总表'!E3</f>
        <v>941.58999999999992</v>
      </c>
      <c r="C14" s="2701">
        <f>'数据-汇总表'!D3</f>
        <v>659.99</v>
      </c>
      <c r="D14" s="2701">
        <f ca="1">结果表!G19</f>
        <v>3551</v>
      </c>
      <c r="E14" s="2701">
        <f ca="1">ROUND(D14*10000/B14,0)</f>
        <v>37713</v>
      </c>
      <c r="F14" s="2701">
        <f ca="1">ROUND(D14*10000/C14,0)</f>
        <v>53804</v>
      </c>
      <c r="G14" s="2701"/>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G20" sqref="G20"/>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3338</v>
      </c>
      <c r="E1" s="1499" t="s">
        <v>1575</v>
      </c>
      <c r="F1" s="1501" t="s">
        <v>3339</v>
      </c>
      <c r="G1" s="287"/>
      <c r="H1" s="287"/>
      <c r="I1" s="287"/>
      <c r="J1" s="1636"/>
      <c r="K1" s="1636"/>
      <c r="L1" s="1636"/>
      <c r="M1" s="1636"/>
      <c r="N1" s="1636"/>
      <c r="O1" s="1636"/>
      <c r="P1" s="1636"/>
      <c r="Q1" s="1636"/>
      <c r="R1" s="1636"/>
      <c r="S1" s="1636"/>
      <c r="T1" s="1636"/>
      <c r="U1" s="1636"/>
      <c r="V1" s="1636"/>
    </row>
    <row r="2" spans="1:22" ht="21.75" customHeight="1" thickBot="1">
      <c r="A2" s="3570" t="str">
        <f>项目基本情况!K2</f>
        <v>北京市出让国有建设用地使用权</v>
      </c>
      <c r="B2" s="3571"/>
      <c r="C2" s="3572"/>
      <c r="D2" s="3572"/>
      <c r="E2" s="3572"/>
      <c r="F2" s="3572"/>
      <c r="G2" s="3571"/>
      <c r="H2" s="3571"/>
      <c r="I2" s="3573"/>
      <c r="J2" s="1643"/>
      <c r="K2" s="1636"/>
      <c r="L2" s="1636"/>
      <c r="M2" s="1636"/>
      <c r="N2" s="1636"/>
      <c r="O2" s="1636"/>
      <c r="P2" s="1636"/>
      <c r="Q2" s="1636"/>
      <c r="R2" s="1636"/>
      <c r="S2" s="1636"/>
      <c r="T2" s="1636"/>
      <c r="U2" s="1636"/>
      <c r="V2" s="1636"/>
    </row>
    <row r="3" spans="1:22" ht="14.25">
      <c r="A3" s="3563" t="s">
        <v>264</v>
      </c>
      <c r="B3" s="3564"/>
      <c r="C3" s="3564"/>
      <c r="D3" s="3564"/>
      <c r="E3" s="3564"/>
      <c r="F3" s="3564"/>
      <c r="G3" s="3564"/>
      <c r="H3" s="3564"/>
      <c r="I3" s="3564"/>
      <c r="J3" s="1643"/>
      <c r="K3" s="1636"/>
      <c r="L3" s="1636"/>
      <c r="M3" s="1636"/>
      <c r="N3" s="1636"/>
      <c r="O3" s="1636"/>
      <c r="P3" s="1636"/>
      <c r="Q3" s="1636"/>
      <c r="R3" s="1636"/>
      <c r="S3" s="1636"/>
      <c r="T3" s="1636"/>
      <c r="U3" s="1636"/>
      <c r="V3" s="1636"/>
    </row>
    <row r="4" spans="1:22" ht="14.25">
      <c r="A4" s="238" t="s">
        <v>265</v>
      </c>
      <c r="B4" s="239" t="s">
        <v>266</v>
      </c>
      <c r="C4" s="240" t="s">
        <v>3340</v>
      </c>
      <c r="D4" s="240" t="s">
        <v>3341</v>
      </c>
      <c r="E4" s="3529" t="s">
        <v>267</v>
      </c>
      <c r="F4" s="3530"/>
      <c r="G4" s="3530"/>
      <c r="H4" s="3530"/>
      <c r="I4" s="3565"/>
      <c r="J4" s="1643"/>
      <c r="K4" s="1636"/>
      <c r="L4" s="1118"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28" t="s">
        <v>268</v>
      </c>
      <c r="B5" s="3557">
        <v>25</v>
      </c>
      <c r="C5" s="3555">
        <v>2</v>
      </c>
      <c r="D5" s="3559">
        <v>8</v>
      </c>
      <c r="E5" s="241" t="s">
        <v>269</v>
      </c>
      <c r="F5" s="242"/>
      <c r="G5" s="242"/>
      <c r="H5" s="242"/>
      <c r="I5" s="243"/>
      <c r="J5" s="1643"/>
      <c r="K5" s="1636"/>
      <c r="L5" s="1636"/>
      <c r="M5" s="1636"/>
      <c r="N5" s="1636"/>
      <c r="O5" s="1636"/>
      <c r="P5" s="1636"/>
      <c r="Q5" s="1636"/>
      <c r="R5" s="1636"/>
      <c r="S5" s="1636"/>
      <c r="T5" s="1636"/>
      <c r="U5" s="1636"/>
      <c r="V5" s="1636"/>
    </row>
    <row r="6" spans="1:22" ht="14.25">
      <c r="A6" s="3528"/>
      <c r="B6" s="3557"/>
      <c r="C6" s="3558"/>
      <c r="D6" s="3559"/>
      <c r="E6" s="241" t="s">
        <v>270</v>
      </c>
      <c r="F6" s="242"/>
      <c r="G6" s="242"/>
      <c r="H6" s="242"/>
      <c r="I6" s="243"/>
      <c r="J6" s="1643"/>
      <c r="K6" s="1636"/>
      <c r="L6" s="1636"/>
      <c r="M6" s="1636"/>
      <c r="N6" s="1636"/>
      <c r="O6" s="1636"/>
      <c r="P6" s="1636"/>
      <c r="Q6" s="1636"/>
      <c r="R6" s="1636"/>
      <c r="S6" s="1636"/>
      <c r="T6" s="1636"/>
      <c r="U6" s="1636"/>
      <c r="V6" s="1636"/>
    </row>
    <row r="7" spans="1:22" ht="14.25">
      <c r="A7" s="3528"/>
      <c r="B7" s="3557"/>
      <c r="C7" s="3556"/>
      <c r="D7" s="3559"/>
      <c r="E7" s="241" t="s">
        <v>271</v>
      </c>
      <c r="F7" s="242"/>
      <c r="G7" s="242"/>
      <c r="H7" s="242"/>
      <c r="I7" s="243"/>
      <c r="J7" s="1643"/>
      <c r="K7" s="1636"/>
      <c r="L7" s="1636"/>
      <c r="M7" s="1636"/>
      <c r="N7" s="1636"/>
      <c r="O7" s="1636"/>
      <c r="P7" s="1636"/>
      <c r="Q7" s="1636"/>
      <c r="R7" s="1636"/>
      <c r="S7" s="1636"/>
      <c r="T7" s="1636"/>
      <c r="U7" s="1636"/>
      <c r="V7" s="1636"/>
    </row>
    <row r="8" spans="1:22" ht="14.25">
      <c r="A8" s="3528" t="s">
        <v>272</v>
      </c>
      <c r="B8" s="3557">
        <v>15</v>
      </c>
      <c r="C8" s="3555"/>
      <c r="D8" s="3559"/>
      <c r="E8" s="241" t="s">
        <v>273</v>
      </c>
      <c r="F8" s="242"/>
      <c r="G8" s="242"/>
      <c r="H8" s="242"/>
      <c r="I8" s="243"/>
      <c r="J8" s="1643"/>
      <c r="K8" s="1636"/>
      <c r="L8" s="1636"/>
      <c r="M8" s="1636"/>
      <c r="N8" s="1636"/>
      <c r="O8" s="1636"/>
      <c r="P8" s="1636"/>
      <c r="Q8" s="1636"/>
      <c r="R8" s="1636"/>
      <c r="S8" s="1636"/>
      <c r="T8" s="1636"/>
      <c r="U8" s="1636"/>
      <c r="V8" s="1636"/>
    </row>
    <row r="9" spans="1:22" ht="14.25">
      <c r="A9" s="3528"/>
      <c r="B9" s="3557"/>
      <c r="C9" s="3556"/>
      <c r="D9" s="3559"/>
      <c r="E9" s="241" t="s">
        <v>274</v>
      </c>
      <c r="F9" s="242"/>
      <c r="G9" s="242"/>
      <c r="H9" s="242"/>
      <c r="I9" s="243"/>
      <c r="J9" s="1643"/>
      <c r="K9" s="1636"/>
      <c r="L9" s="1636"/>
      <c r="M9" s="1636"/>
      <c r="N9" s="1636"/>
      <c r="O9" s="1636"/>
      <c r="P9" s="1636"/>
      <c r="Q9" s="1636"/>
      <c r="R9" s="1636"/>
      <c r="S9" s="1636"/>
      <c r="T9" s="1636"/>
      <c r="U9" s="1636"/>
      <c r="V9" s="1636"/>
    </row>
    <row r="10" spans="1:22" ht="14.25">
      <c r="A10" s="3528" t="s">
        <v>275</v>
      </c>
      <c r="B10" s="3557">
        <v>15</v>
      </c>
      <c r="C10" s="3555"/>
      <c r="D10" s="3559"/>
      <c r="E10" s="241" t="s">
        <v>276</v>
      </c>
      <c r="F10" s="242"/>
      <c r="G10" s="242"/>
      <c r="H10" s="242"/>
      <c r="I10" s="243"/>
      <c r="J10" s="1643"/>
      <c r="K10" s="1636"/>
      <c r="L10" s="1636"/>
      <c r="M10" s="1636"/>
      <c r="N10" s="1636"/>
      <c r="O10" s="1636"/>
      <c r="P10" s="1636"/>
      <c r="Q10" s="1636"/>
      <c r="R10" s="1636"/>
      <c r="S10" s="1636"/>
      <c r="T10" s="1636"/>
      <c r="U10" s="1636"/>
      <c r="V10" s="1636"/>
    </row>
    <row r="11" spans="1:22" ht="14.25">
      <c r="A11" s="3528"/>
      <c r="B11" s="3557"/>
      <c r="C11" s="3556"/>
      <c r="D11" s="3559"/>
      <c r="E11" s="241" t="s">
        <v>277</v>
      </c>
      <c r="F11" s="242"/>
      <c r="G11" s="242"/>
      <c r="H11" s="242"/>
      <c r="I11" s="243"/>
      <c r="J11" s="1643"/>
      <c r="K11" s="1636"/>
      <c r="L11" s="1636"/>
      <c r="M11" s="1636"/>
      <c r="N11" s="1636"/>
      <c r="O11" s="1636"/>
      <c r="P11" s="1636"/>
      <c r="Q11" s="1636"/>
      <c r="R11" s="1636"/>
      <c r="S11" s="1636"/>
      <c r="T11" s="1636"/>
      <c r="U11" s="1636"/>
      <c r="V11" s="1636"/>
    </row>
    <row r="12" spans="1:22" ht="14.25">
      <c r="A12" s="3528" t="s">
        <v>278</v>
      </c>
      <c r="B12" s="3557">
        <v>15</v>
      </c>
      <c r="C12" s="3555"/>
      <c r="D12" s="3559"/>
      <c r="E12" s="241" t="s">
        <v>279</v>
      </c>
      <c r="F12" s="242"/>
      <c r="G12" s="242"/>
      <c r="H12" s="242"/>
      <c r="I12" s="243"/>
      <c r="J12" s="1643"/>
      <c r="K12" s="1636"/>
      <c r="L12" s="1636"/>
      <c r="M12" s="1636"/>
      <c r="N12" s="1636"/>
      <c r="O12" s="1636"/>
      <c r="P12" s="1636"/>
      <c r="Q12" s="1636"/>
      <c r="R12" s="1636"/>
      <c r="S12" s="1636"/>
      <c r="T12" s="1636"/>
      <c r="U12" s="1636"/>
      <c r="V12" s="1636"/>
    </row>
    <row r="13" spans="1:22" ht="14.25">
      <c r="A13" s="3528"/>
      <c r="B13" s="3557"/>
      <c r="C13" s="3556"/>
      <c r="D13" s="3559"/>
      <c r="E13" s="241" t="s">
        <v>280</v>
      </c>
      <c r="F13" s="242"/>
      <c r="G13" s="242"/>
      <c r="H13" s="242"/>
      <c r="I13" s="243"/>
      <c r="J13" s="1643"/>
      <c r="K13" s="1636"/>
      <c r="L13" s="1636"/>
      <c r="M13" s="1636"/>
      <c r="N13" s="1636"/>
      <c r="O13" s="1636"/>
      <c r="P13" s="1636"/>
      <c r="Q13" s="1636"/>
      <c r="R13" s="1636"/>
      <c r="S13" s="1636"/>
      <c r="T13" s="1636"/>
      <c r="U13" s="1636"/>
      <c r="V13" s="1636"/>
    </row>
    <row r="14" spans="1:22" ht="14.25">
      <c r="A14" s="3528" t="s">
        <v>281</v>
      </c>
      <c r="B14" s="3557">
        <v>30</v>
      </c>
      <c r="C14" s="3555"/>
      <c r="D14" s="3559"/>
      <c r="E14" s="241" t="s">
        <v>282</v>
      </c>
      <c r="F14" s="242"/>
      <c r="G14" s="242"/>
      <c r="H14" s="242"/>
      <c r="I14" s="243"/>
      <c r="J14" s="1643"/>
      <c r="K14" s="1636"/>
      <c r="L14" s="1636"/>
      <c r="M14" s="1636"/>
      <c r="N14" s="1636"/>
      <c r="O14" s="1636"/>
      <c r="P14" s="1636"/>
      <c r="Q14" s="1636"/>
      <c r="R14" s="1636"/>
      <c r="S14" s="1636"/>
      <c r="T14" s="1636"/>
      <c r="U14" s="1636"/>
      <c r="V14" s="1636"/>
    </row>
    <row r="15" spans="1:22" ht="14.25">
      <c r="A15" s="3528"/>
      <c r="B15" s="3557"/>
      <c r="C15" s="3558"/>
      <c r="D15" s="3559"/>
      <c r="E15" s="241" t="s">
        <v>283</v>
      </c>
      <c r="F15" s="242"/>
      <c r="G15" s="242"/>
      <c r="H15" s="242"/>
      <c r="I15" s="243"/>
      <c r="J15" s="1643"/>
      <c r="K15" s="1636"/>
      <c r="L15" s="1636"/>
      <c r="M15" s="1636"/>
      <c r="N15" s="1636"/>
      <c r="O15" s="1636"/>
      <c r="P15" s="1636"/>
      <c r="Q15" s="1636"/>
      <c r="R15" s="1636"/>
      <c r="S15" s="1636"/>
      <c r="T15" s="1636"/>
      <c r="U15" s="1636"/>
      <c r="V15" s="1636"/>
    </row>
    <row r="16" spans="1:22" ht="14.25">
      <c r="A16" s="3528"/>
      <c r="B16" s="3557"/>
      <c r="C16" s="3556"/>
      <c r="D16" s="3559"/>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2</v>
      </c>
      <c r="D17" s="245">
        <f>SUM(D5:D16)</f>
        <v>8</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0.2</v>
      </c>
      <c r="D18" s="247">
        <f>1-C18</f>
        <v>0.8</v>
      </c>
      <c r="E18" s="3560" t="s">
        <v>2254</v>
      </c>
      <c r="F18" s="3561"/>
      <c r="G18" s="3561"/>
      <c r="H18" s="3561"/>
      <c r="I18" s="356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1654</v>
      </c>
      <c r="D19" s="251">
        <f ca="1">SUMIF(INDIRECT("'"&amp;D4&amp;"'"&amp;"!A:A"),结果表!B19,INDIRECT("'"&amp;D4&amp;"'"&amp;"!B:B"))</f>
        <v>4025</v>
      </c>
      <c r="E19" s="248" t="s">
        <v>289</v>
      </c>
      <c r="F19" s="249" t="s">
        <v>288</v>
      </c>
      <c r="G19" s="252">
        <f ca="1">ROUND(C19*$C$18+D19*$D$18,0)</f>
        <v>3551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17566</v>
      </c>
      <c r="D20" s="256">
        <f ca="1">SUMIF(INDIRECT("'"&amp;D4&amp;"'"&amp;"!A:A"),结果表!B20,INDIRECT("'"&amp;D4&amp;"'"&amp;"!B:B"))</f>
        <v>42747</v>
      </c>
      <c r="E20" s="254"/>
      <c r="F20" s="102" t="s">
        <v>291</v>
      </c>
      <c r="G20" s="257">
        <f ca="1">ROUND(C20*$C$18+D20*$D$18,0)</f>
        <v>37711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25061</v>
      </c>
      <c r="D21" s="135">
        <f ca="1">'剩余法-待开发'!C4</f>
        <v>56632</v>
      </c>
      <c r="E21" s="254"/>
      <c r="F21" s="106" t="s">
        <v>293</v>
      </c>
      <c r="G21" s="260">
        <f ca="1">ROUND(C21*$C$18+D21*$D$18,0)</f>
        <v>50318</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1.4334945586457075</v>
      </c>
      <c r="E22" s="262"/>
      <c r="F22" s="263"/>
      <c r="G22" s="264">
        <f ca="1">ROUND(G19/('数据-汇总表'!D3/666.67),0)</f>
        <v>3587</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v>40865</v>
      </c>
      <c r="H23" s="287"/>
      <c r="I23" s="287"/>
      <c r="J23" s="1636"/>
      <c r="K23" s="1636"/>
      <c r="L23" s="1636"/>
      <c r="M23" s="1636"/>
      <c r="N23" s="1636"/>
      <c r="O23" s="1636"/>
      <c r="P23" s="1636"/>
      <c r="Q23" s="1636"/>
      <c r="R23" s="1636"/>
      <c r="S23" s="1636"/>
      <c r="T23" s="1636"/>
      <c r="U23" s="1636"/>
      <c r="V23" s="1636"/>
    </row>
    <row r="24" spans="1:22" ht="15" thickBot="1">
      <c r="A24" s="3534" t="s">
        <v>296</v>
      </c>
      <c r="B24" s="249" t="s">
        <v>288</v>
      </c>
      <c r="C24" s="266">
        <f>IF(B30=0,0,D30)</f>
        <v>0</v>
      </c>
      <c r="D24" s="267"/>
      <c r="E24" s="287"/>
      <c r="F24" s="287"/>
      <c r="G24" s="287">
        <v>54894</v>
      </c>
      <c r="H24" s="287"/>
      <c r="I24" s="287"/>
      <c r="J24" s="1636"/>
      <c r="K24" s="1636"/>
      <c r="L24" s="1636"/>
      <c r="M24" s="1636"/>
      <c r="N24" s="1636"/>
      <c r="O24" s="1636"/>
      <c r="P24" s="1636"/>
      <c r="Q24" s="1636"/>
      <c r="R24" s="1636"/>
      <c r="S24" s="1636"/>
      <c r="T24" s="1636"/>
      <c r="U24" s="1636"/>
      <c r="V24" s="1636"/>
    </row>
    <row r="25" spans="1:22" ht="18">
      <c r="A25" s="3535"/>
      <c r="B25" s="1124" t="s">
        <v>297</v>
      </c>
      <c r="C25" s="268">
        <f>IF(B30=0,0,C30)</f>
        <v>0</v>
      </c>
      <c r="D25" s="269"/>
      <c r="E25" s="287"/>
      <c r="F25" s="287"/>
      <c r="G25" s="287"/>
      <c r="H25" s="287"/>
      <c r="I25" s="287"/>
      <c r="J25" s="1636"/>
      <c r="K25" s="1061" t="str">
        <f ca="1">项目基本情况!A17&amp;"国有建设用地使用权价格："&amp;O38&amp;"万元"</f>
        <v>出让国有建设用地使用权价格：3551万元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大写金额：人民币叁仟伍佰伍拾壹万元整</v>
      </c>
      <c r="L26" s="1060"/>
      <c r="M26" s="1060"/>
      <c r="N26" s="1060"/>
      <c r="O26" s="258"/>
      <c r="P26" s="1636"/>
      <c r="Q26" s="1636"/>
      <c r="R26" s="1636"/>
      <c r="S26" s="1636"/>
      <c r="T26" s="1636"/>
      <c r="U26" s="1636"/>
      <c r="V26" s="1636"/>
    </row>
    <row r="27" spans="1:22" ht="18">
      <c r="A27" s="270"/>
      <c r="B27" s="271"/>
      <c r="C27" s="271">
        <v>40865</v>
      </c>
      <c r="D27" s="272"/>
      <c r="E27" s="287"/>
      <c r="F27" s="287"/>
      <c r="G27" s="287"/>
      <c r="H27" s="287"/>
      <c r="I27" s="287"/>
      <c r="J27" s="1636"/>
      <c r="K27" s="1064" t="str">
        <f ca="1">"单位面积地价："&amp;M38&amp;"元/平方米"</f>
        <v>单位面积地价：53804元/平方米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楼面地价：37713元/平方米</v>
      </c>
      <c r="L28" s="1060"/>
      <c r="M28" s="1060"/>
      <c r="N28" s="1060"/>
      <c r="O28" s="258"/>
      <c r="P28" s="1636"/>
      <c r="V28" s="1636"/>
    </row>
    <row r="29" spans="1:22" ht="18">
      <c r="A29" s="270"/>
      <c r="B29" s="271"/>
      <c r="C29" s="271"/>
      <c r="D29" s="272"/>
      <c r="E29" s="287"/>
      <c r="F29" s="287"/>
      <c r="G29" s="287"/>
      <c r="H29" s="287"/>
      <c r="I29" s="287"/>
      <c r="J29" s="1636"/>
      <c r="K29" s="1064" t="str">
        <f>IF(OR(项目基本情况!E8="抵押价格",项目基本情况!E8="已注销及未注销"),"抵押价格："&amp;O39&amp;"万元","——")</f>
        <v>——</v>
      </c>
      <c r="L29" s="1060"/>
      <c r="M29" s="1060"/>
      <c r="N29" s="1060"/>
      <c r="O29" s="258"/>
      <c r="P29" s="1636"/>
      <c r="V29" s="1636"/>
    </row>
    <row r="30" spans="1:22" ht="18.75" thickBot="1">
      <c r="A30" s="2365" t="s">
        <v>302</v>
      </c>
      <c r="B30" s="285"/>
      <c r="C30" s="285"/>
      <c r="D30" s="286"/>
      <c r="E30" s="2539" t="s">
        <v>2255</v>
      </c>
      <c r="F30" s="287"/>
      <c r="G30" s="287"/>
      <c r="H30" s="287"/>
      <c r="I30" s="287"/>
      <c r="J30" s="1636"/>
      <c r="K30" s="1064" t="str">
        <f>IF(K29="——","——","大写金额：人民币"&amp;NUMBERSTRING(INT(O39*10000),2)&amp;"元整")</f>
        <v>——</v>
      </c>
      <c r="L30" s="1060"/>
      <c r="M30" s="1060"/>
      <c r="N30" s="1060"/>
      <c r="O30" s="258"/>
      <c r="P30" s="1636"/>
      <c r="V30" s="1636"/>
    </row>
    <row r="31" spans="1:22" ht="24" customHeight="1" thickBot="1">
      <c r="A31" s="3562" t="s">
        <v>2256</v>
      </c>
      <c r="B31" s="3562"/>
      <c r="C31" s="3562"/>
      <c r="D31" s="3562"/>
      <c r="E31" s="3562"/>
      <c r="F31" s="3562"/>
      <c r="G31" s="3562"/>
      <c r="H31" s="3562"/>
      <c r="I31" s="3562"/>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40" t="s">
        <v>1221</v>
      </c>
      <c r="C32" s="246">
        <f ca="1">G19-C24</f>
        <v>3551</v>
      </c>
      <c r="D32" s="2541"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37713</v>
      </c>
      <c r="D33" s="1173" t="s">
        <v>1224</v>
      </c>
      <c r="E33" s="3534" t="s">
        <v>304</v>
      </c>
      <c r="F33" s="273" t="s">
        <v>305</v>
      </c>
      <c r="G33" s="274"/>
      <c r="H33" s="894"/>
      <c r="I33" s="1065"/>
      <c r="J33" s="1636"/>
      <c r="K33" s="1064" t="str">
        <f>IF(项目基本情况!E9="——","——","抵押净值："&amp;C46&amp;"万元")</f>
        <v>抵押净值：——万元</v>
      </c>
      <c r="L33" s="1060"/>
      <c r="M33" s="1060"/>
      <c r="N33" s="1060"/>
      <c r="O33" s="258"/>
      <c r="P33" s="1636"/>
      <c r="V33" s="1636"/>
    </row>
    <row r="34" spans="1:22" ht="18.75" thickBot="1">
      <c r="A34" s="277"/>
      <c r="B34" s="98" t="s">
        <v>1225</v>
      </c>
      <c r="C34" s="244">
        <f ca="1">ROUND(C32*10000/'数据-汇总表'!D3,0)</f>
        <v>53804</v>
      </c>
      <c r="D34" s="1173" t="s">
        <v>1224</v>
      </c>
      <c r="E34" s="3578"/>
      <c r="F34" s="118" t="s">
        <v>307</v>
      </c>
      <c r="G34" s="276"/>
      <c r="H34" s="96"/>
      <c r="I34" s="287"/>
      <c r="J34" s="1636"/>
      <c r="K34" s="1067" t="e">
        <f>IF(K33="——","——","大写金额：人民币"&amp;NUMBERSTRING(INT(O41*10000),2)&amp;"元整")</f>
        <v>#VALUE!</v>
      </c>
      <c r="L34" s="1068"/>
      <c r="M34" s="1068"/>
      <c r="N34" s="1068"/>
      <c r="O34" s="1069"/>
      <c r="P34" s="1636"/>
      <c r="V34" s="1636"/>
    </row>
    <row r="35" spans="1:22" ht="15.75" thickBot="1">
      <c r="A35" s="262"/>
      <c r="B35" s="1174"/>
      <c r="C35" s="1175">
        <f ca="1">ROUND(C32/('数据-汇总表'!D3/666.67),0)</f>
        <v>3587</v>
      </c>
      <c r="D35" s="1176" t="s">
        <v>1226</v>
      </c>
      <c r="E35" s="3579"/>
      <c r="F35" s="278" t="s">
        <v>308</v>
      </c>
      <c r="G35" s="896"/>
      <c r="H35" s="895" t="s">
        <v>309</v>
      </c>
      <c r="I35" s="287"/>
      <c r="J35" s="1636"/>
      <c r="K35" s="3552" t="s">
        <v>316</v>
      </c>
      <c r="L35" s="3552" t="s">
        <v>317</v>
      </c>
      <c r="M35" s="1070" t="s">
        <v>318</v>
      </c>
      <c r="N35" s="3552" t="s">
        <v>319</v>
      </c>
      <c r="O35" s="3552" t="s">
        <v>320</v>
      </c>
      <c r="P35" s="1636"/>
      <c r="V35" s="1636"/>
    </row>
    <row r="36" spans="1:22" ht="16.5" customHeight="1">
      <c r="A36" s="280" t="s">
        <v>310</v>
      </c>
      <c r="B36" s="281" t="s">
        <v>299</v>
      </c>
      <c r="C36" s="282" t="s">
        <v>311</v>
      </c>
      <c r="D36" s="282" t="s">
        <v>312</v>
      </c>
      <c r="E36" s="283" t="s">
        <v>313</v>
      </c>
      <c r="F36" s="287"/>
      <c r="G36" s="287"/>
      <c r="H36" s="287"/>
      <c r="I36" s="287"/>
      <c r="J36" s="1644"/>
      <c r="K36" s="3553"/>
      <c r="L36" s="3553"/>
      <c r="M36" s="1072" t="s">
        <v>321</v>
      </c>
      <c r="N36" s="3553"/>
      <c r="O36" s="3553"/>
      <c r="P36" s="1636"/>
      <c r="V36" s="1636"/>
    </row>
    <row r="37" spans="1:22" ht="16.5" customHeight="1" thickBot="1">
      <c r="A37" s="1066" t="s">
        <v>314</v>
      </c>
      <c r="B37" s="270"/>
      <c r="C37" s="271"/>
      <c r="D37" s="271"/>
      <c r="E37" s="272"/>
      <c r="F37" s="287"/>
      <c r="G37" s="287"/>
      <c r="H37" s="287"/>
      <c r="I37" s="287"/>
      <c r="J37" s="1644"/>
      <c r="K37" s="3554"/>
      <c r="L37" s="3554"/>
      <c r="M37" s="1073"/>
      <c r="N37" s="3554"/>
      <c r="O37" s="3554"/>
      <c r="P37" s="1636"/>
      <c r="V37" s="1636"/>
    </row>
    <row r="38" spans="1:22" ht="16.5" customHeight="1" thickBot="1">
      <c r="A38" s="1066" t="s">
        <v>315</v>
      </c>
      <c r="B38" s="270"/>
      <c r="C38" s="271"/>
      <c r="D38" s="271"/>
      <c r="E38" s="272"/>
      <c r="F38" s="287"/>
      <c r="G38" s="287"/>
      <c r="H38" s="287"/>
      <c r="I38" s="287"/>
      <c r="J38" s="1644"/>
      <c r="K38" s="1074">
        <f>'数据-汇总表'!D3</f>
        <v>659.99</v>
      </c>
      <c r="L38" s="1075">
        <f>'数据-汇总表'!E3</f>
        <v>941.58999999999992</v>
      </c>
      <c r="M38" s="1075">
        <f ca="1">C34</f>
        <v>53804</v>
      </c>
      <c r="N38" s="1075">
        <f ca="1">C33</f>
        <v>37713</v>
      </c>
      <c r="O38" s="1076">
        <f ca="1">C32</f>
        <v>3551</v>
      </c>
      <c r="P38" s="1636"/>
      <c r="V38" s="1636"/>
    </row>
    <row r="39" spans="1:22" ht="16.5" customHeight="1" thickBot="1">
      <c r="A39" s="1071"/>
      <c r="B39" s="284"/>
      <c r="C39" s="285"/>
      <c r="D39" s="285"/>
      <c r="E39" s="286"/>
      <c r="F39" s="287"/>
      <c r="G39" s="287"/>
      <c r="H39" s="287"/>
      <c r="I39" s="287"/>
      <c r="J39" s="1644"/>
      <c r="K39" s="3592" t="str">
        <f>MID(A44,3,LEN(A44)-2)</f>
        <v/>
      </c>
      <c r="L39" s="3593"/>
      <c r="M39" s="3593"/>
      <c r="N39" s="3594"/>
      <c r="O39" s="1178" t="str">
        <f>C44</f>
        <v>——</v>
      </c>
      <c r="P39" s="1636"/>
      <c r="V39" s="1636"/>
    </row>
    <row r="40" spans="1:22" ht="19.5" thickBot="1">
      <c r="A40" s="95" t="s">
        <v>810</v>
      </c>
      <c r="B40" s="287"/>
      <c r="C40" s="287"/>
      <c r="D40" s="287"/>
      <c r="E40" s="287"/>
      <c r="F40" s="287"/>
      <c r="G40" s="287"/>
      <c r="H40" s="287"/>
      <c r="I40" s="287"/>
      <c r="J40" s="1644"/>
      <c r="K40" s="3592" t="str">
        <f>MID(A45,3,LEN(A45)-2)</f>
        <v/>
      </c>
      <c r="L40" s="3593"/>
      <c r="M40" s="3593"/>
      <c r="N40" s="3594"/>
      <c r="O40" s="1178" t="str">
        <f>C45</f>
        <v>——</v>
      </c>
      <c r="P40" s="1636"/>
      <c r="V40" s="1636"/>
    </row>
    <row r="41" spans="1:22" ht="16.5" thickBot="1">
      <c r="A41" s="288" t="s">
        <v>322</v>
      </c>
      <c r="B41" s="289"/>
      <c r="C41" s="290" t="s">
        <v>323</v>
      </c>
      <c r="D41" s="291" t="s">
        <v>324</v>
      </c>
      <c r="E41" s="291" t="s">
        <v>325</v>
      </c>
      <c r="F41" s="292" t="s">
        <v>326</v>
      </c>
      <c r="G41" s="287"/>
      <c r="H41" s="287"/>
      <c r="I41" s="287"/>
      <c r="J41" s="1644"/>
      <c r="K41" s="3592" t="str">
        <f>MID(A46,3,LEN(A46)-2)</f>
        <v/>
      </c>
      <c r="L41" s="3593"/>
      <c r="M41" s="3593"/>
      <c r="N41" s="3594"/>
      <c r="O41" s="1178" t="str">
        <f>C46</f>
        <v>——</v>
      </c>
      <c r="P41" s="1636"/>
      <c r="V41" s="1636"/>
    </row>
    <row r="42" spans="1:22" ht="29.25">
      <c r="A42" s="3536" t="s">
        <v>1585</v>
      </c>
      <c r="B42" s="3537"/>
      <c r="C42" s="244">
        <f ca="1">C32</f>
        <v>3551</v>
      </c>
      <c r="D42" s="293">
        <f ca="1">C33</f>
        <v>37713</v>
      </c>
      <c r="E42" s="293">
        <f ca="1">C34</f>
        <v>53804</v>
      </c>
      <c r="F42" s="294">
        <f ca="1">C35</f>
        <v>3587</v>
      </c>
      <c r="G42" s="287"/>
      <c r="H42" s="287"/>
      <c r="I42" s="295"/>
      <c r="J42" s="1644"/>
      <c r="K42" s="1077" t="s">
        <v>327</v>
      </c>
      <c r="L42" s="1660" t="s">
        <v>328</v>
      </c>
      <c r="M42" s="1078" t="s">
        <v>329</v>
      </c>
      <c r="N42" s="1661" t="s">
        <v>330</v>
      </c>
      <c r="O42" s="1662" t="s">
        <v>331</v>
      </c>
      <c r="P42" s="1636"/>
      <c r="V42" s="1636"/>
    </row>
    <row r="43" spans="1:22" ht="18">
      <c r="A43" s="3547" t="s">
        <v>2012</v>
      </c>
      <c r="B43" s="3548"/>
      <c r="C43" s="244">
        <f>IF(H33="正常操作",G33+G34+G35,G34+G35)</f>
        <v>0</v>
      </c>
      <c r="D43" s="293" t="s">
        <v>17</v>
      </c>
      <c r="E43" s="293" t="s">
        <v>18</v>
      </c>
      <c r="F43" s="294" t="s">
        <v>18</v>
      </c>
      <c r="G43" s="2171" t="s">
        <v>877</v>
      </c>
      <c r="H43" s="287"/>
      <c r="I43" s="295"/>
      <c r="J43" s="1644"/>
      <c r="K43" s="1079" t="str">
        <f>C4</f>
        <v>基准地价</v>
      </c>
      <c r="L43" s="1080">
        <f ca="1">IF(L42="估价结果/万元",C19,C20)</f>
        <v>1654</v>
      </c>
      <c r="M43" s="1081">
        <f>C18</f>
        <v>0.2</v>
      </c>
      <c r="N43" s="1082">
        <f ca="1">IF(N42="测算结果/万元",G19,G20)</f>
        <v>3551</v>
      </c>
      <c r="O43" s="1083">
        <f ca="1">IF(O42="最终结果/万元",C32,C33)</f>
        <v>3551</v>
      </c>
      <c r="P43" s="1636"/>
      <c r="V43" s="1636"/>
    </row>
    <row r="44" spans="1:22" ht="30.75" thickBot="1">
      <c r="A44" s="3536" t="str">
        <f>IF(OR(项目基本情况!E8="抵押价格",项目基本情况!E8="已注销及未注销"),"3.抵押价格","——")</f>
        <v>——</v>
      </c>
      <c r="B44" s="3537"/>
      <c r="C44" s="244" t="str">
        <f>IF(A44="——","——",C42-C43)</f>
        <v>——</v>
      </c>
      <c r="D44" s="293" t="e">
        <f>ROUND(C44*10000/'数据-汇总表'!E3,0)</f>
        <v>#VALUE!</v>
      </c>
      <c r="E44" s="293" t="e">
        <f>ROUND(C44*10000/'数据-汇总表'!D3,0)</f>
        <v>#VALUE!</v>
      </c>
      <c r="F44" s="294" t="e">
        <f>ROUND(C44/('数据-汇总表'!D3/666.67),0)</f>
        <v>#VALUE!</v>
      </c>
      <c r="G44" s="287"/>
      <c r="H44" s="287"/>
      <c r="I44" s="295"/>
      <c r="J44" s="1644"/>
      <c r="K44" s="1084" t="str">
        <f>D4</f>
        <v>剩余法-待开发</v>
      </c>
      <c r="L44" s="1085">
        <f ca="1">IF(L42="估价结果/万元",D19,D20)</f>
        <v>4025</v>
      </c>
      <c r="M44" s="1086">
        <f>D18</f>
        <v>0.8</v>
      </c>
      <c r="N44" s="1087"/>
      <c r="O44" s="1088"/>
      <c r="P44" s="1636"/>
      <c r="V44" s="1636"/>
    </row>
    <row r="45" spans="1:22" ht="15">
      <c r="A45" s="3542" t="str">
        <f>IF(项目基本情况!E8="已注销及未注销","4.抵押担保权已注销时的抵押价格",IF(项目基本情况!E8="已注销","3.抵押担保权已注销时的抵押价格","——"))</f>
        <v>——</v>
      </c>
      <c r="B45" s="354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38" t="str">
        <f>IF(项目基本情况!E9="抵押净值",IF(A45="——","4.抵押净值","5.抵押净值"),"——")</f>
        <v>——</v>
      </c>
      <c r="B46" s="3539"/>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86" t="s">
        <v>340</v>
      </c>
      <c r="B63" s="3587"/>
      <c r="C63" s="3588"/>
      <c r="D63" s="315">
        <f ca="1">ROUND(C42*F63,0)</f>
        <v>3551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44" t="s">
        <v>344</v>
      </c>
      <c r="B64" s="3545"/>
      <c r="C64" s="3545"/>
      <c r="D64" s="3545"/>
      <c r="E64" s="3545"/>
      <c r="F64" s="3545"/>
      <c r="G64" s="3546"/>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40" t="s">
        <v>352</v>
      </c>
      <c r="B66" s="3541"/>
      <c r="C66" s="3541"/>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601" t="s">
        <v>351</v>
      </c>
      <c r="M66" s="3602"/>
      <c r="N66" s="1973"/>
      <c r="O66" s="1974"/>
      <c r="P66" s="1975"/>
      <c r="Q66" s="1636"/>
      <c r="R66" s="1636"/>
      <c r="S66" s="1636"/>
      <c r="T66" s="1636"/>
      <c r="U66" s="1636"/>
      <c r="V66" s="1636"/>
    </row>
    <row r="67" spans="1:22" ht="25.5" customHeight="1">
      <c r="A67" s="326" t="s">
        <v>355</v>
      </c>
      <c r="B67" s="3531" t="s">
        <v>356</v>
      </c>
      <c r="C67" s="3531"/>
      <c r="D67" s="327">
        <v>0</v>
      </c>
      <c r="E67" s="37" t="s">
        <v>357</v>
      </c>
      <c r="F67" s="58" t="s">
        <v>15</v>
      </c>
      <c r="G67" s="3589"/>
      <c r="H67" s="2542" t="s">
        <v>2257</v>
      </c>
      <c r="I67" s="2544"/>
      <c r="J67" s="1649"/>
      <c r="K67" s="1632">
        <v>2</v>
      </c>
      <c r="L67" s="3595" t="s">
        <v>354</v>
      </c>
      <c r="M67" s="3595"/>
      <c r="N67" s="1128">
        <f>'数据-取费表'!B2</f>
        <v>45637</v>
      </c>
      <c r="O67" s="1128"/>
      <c r="P67" s="1128"/>
      <c r="Q67" s="1636"/>
      <c r="R67" s="1636"/>
      <c r="S67" s="1636"/>
      <c r="T67" s="1636"/>
      <c r="U67" s="1636"/>
      <c r="V67" s="1636"/>
    </row>
    <row r="68" spans="1:22" ht="25.5" customHeight="1">
      <c r="A68" s="328"/>
      <c r="B68" s="3531" t="s">
        <v>359</v>
      </c>
      <c r="C68" s="3531"/>
      <c r="D68" s="329"/>
      <c r="E68" s="73"/>
      <c r="F68" s="330"/>
      <c r="G68" s="3590"/>
      <c r="H68" s="2543" t="s">
        <v>2258</v>
      </c>
      <c r="I68" s="2544"/>
      <c r="J68" s="1649"/>
      <c r="K68" s="1632">
        <v>3</v>
      </c>
      <c r="L68" s="3595" t="s">
        <v>358</v>
      </c>
      <c r="M68" s="3595"/>
      <c r="N68" s="1098">
        <f ca="1">C42</f>
        <v>3551</v>
      </c>
      <c r="O68" s="1098"/>
      <c r="P68" s="1098"/>
      <c r="Q68" s="1636"/>
      <c r="R68" s="1636"/>
      <c r="S68" s="1636"/>
      <c r="T68" s="1636"/>
      <c r="U68" s="1636"/>
      <c r="V68" s="1636"/>
    </row>
    <row r="69" spans="1:22" ht="23.45" customHeight="1">
      <c r="A69" s="331"/>
      <c r="B69" s="3531" t="s">
        <v>360</v>
      </c>
      <c r="C69" s="3531"/>
      <c r="D69" s="332"/>
      <c r="E69" s="69"/>
      <c r="F69" s="330"/>
      <c r="G69" s="3591"/>
      <c r="H69" s="2543" t="s">
        <v>2259</v>
      </c>
      <c r="I69" s="2544"/>
      <c r="J69" s="1649"/>
      <c r="K69" s="1099">
        <v>4</v>
      </c>
      <c r="L69" s="3605" t="s">
        <v>2157</v>
      </c>
      <c r="M69" s="3606"/>
      <c r="N69" s="1100" t="str">
        <f>C44</f>
        <v>——</v>
      </c>
      <c r="O69" s="1100"/>
      <c r="P69" s="1100"/>
      <c r="Q69" s="1636"/>
      <c r="R69" s="1636"/>
      <c r="S69" s="1636"/>
      <c r="T69" s="1636"/>
      <c r="U69" s="1636"/>
      <c r="V69" s="1636"/>
    </row>
    <row r="70" spans="1:22" ht="24" customHeight="1">
      <c r="A70" s="333" t="s">
        <v>361</v>
      </c>
      <c r="B70" s="3531" t="s">
        <v>362</v>
      </c>
      <c r="C70" s="3531"/>
      <c r="D70" s="332">
        <f ca="1">ROUND(D63*'数据-取费表'!B41/(1+'数据-取费表'!C42),0)</f>
        <v>189</v>
      </c>
      <c r="E70" s="14" t="s">
        <v>363</v>
      </c>
      <c r="F70" s="334">
        <f>'数据-取费表'!B41</f>
        <v>5.6000000000000001E-2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32" t="s">
        <v>2284</v>
      </c>
      <c r="C71" s="3533"/>
      <c r="D71" s="332">
        <f ca="1">ROUND(D63*'数据-取费表'!B41/(1+'数据-取费表'!C42),0)</f>
        <v>189</v>
      </c>
      <c r="E71" s="14" t="s">
        <v>363</v>
      </c>
      <c r="F71" s="334">
        <f>'数据-取费表'!B41</f>
        <v>5.6000000000000001E-2</v>
      </c>
      <c r="G71" s="335"/>
      <c r="H71" s="287"/>
      <c r="I71" s="1097"/>
      <c r="J71" s="1649"/>
      <c r="K71" s="2332" t="s">
        <v>364</v>
      </c>
      <c r="L71" s="3607" t="s">
        <v>365</v>
      </c>
      <c r="M71" s="3607"/>
      <c r="N71" s="2332" t="s">
        <v>366</v>
      </c>
      <c r="O71" s="2332" t="s">
        <v>367</v>
      </c>
      <c r="P71" s="2332" t="s">
        <v>368</v>
      </c>
      <c r="Q71" s="1636"/>
      <c r="R71" s="1636"/>
      <c r="S71" s="1636"/>
      <c r="T71" s="1636"/>
      <c r="U71" s="1636"/>
      <c r="V71" s="1636"/>
    </row>
    <row r="72" spans="1:22" ht="12" customHeight="1">
      <c r="A72" s="333" t="s">
        <v>371</v>
      </c>
      <c r="B72" s="3532" t="s">
        <v>2285</v>
      </c>
      <c r="C72" s="3533"/>
      <c r="D72" s="332">
        <f ca="1">C86</f>
        <v>189</v>
      </c>
      <c r="E72" s="69" t="s">
        <v>372</v>
      </c>
      <c r="F72" s="334">
        <f>'数据-取费表'!B41</f>
        <v>5.6000000000000001E-2</v>
      </c>
      <c r="G72" s="335"/>
      <c r="H72" s="1103"/>
      <c r="I72" s="1097"/>
      <c r="J72" s="1649"/>
      <c r="K72" s="1632">
        <v>1</v>
      </c>
      <c r="L72" s="3582" t="s">
        <v>370</v>
      </c>
      <c r="M72" s="3582"/>
      <c r="N72" s="1101" t="b">
        <f>D66</f>
        <v>0</v>
      </c>
      <c r="O72" s="1539" t="str">
        <f>E66</f>
        <v>销售额×税（费）率</v>
      </c>
      <c r="P72" s="1102">
        <f>F66</f>
        <v>5.6000000000000001E-2</v>
      </c>
      <c r="Q72" s="1636"/>
      <c r="R72" s="1636"/>
      <c r="S72" s="1636"/>
      <c r="T72" s="1636"/>
      <c r="U72" s="1636"/>
      <c r="V72" s="1636"/>
    </row>
    <row r="73" spans="1:22" ht="24" customHeight="1">
      <c r="A73" s="3577" t="s">
        <v>374</v>
      </c>
      <c r="B73" s="3541"/>
      <c r="C73" s="3541"/>
      <c r="D73" s="336">
        <f ca="1">IF(H73="个人住宅",0,ROUND(D63*I73,0))</f>
        <v>2</v>
      </c>
      <c r="E73" s="14" t="s">
        <v>375</v>
      </c>
      <c r="F73" s="334" t="str">
        <f>IF(H73="正常",I73,"免征")</f>
        <v>免征</v>
      </c>
      <c r="G73" s="335"/>
      <c r="H73" s="174"/>
      <c r="I73" s="334">
        <f>'数据-取费表'!B49</f>
        <v>5.0000000000000001E-4</v>
      </c>
      <c r="J73" s="1649"/>
      <c r="K73" s="1632">
        <v>2</v>
      </c>
      <c r="L73" s="3582" t="s">
        <v>373</v>
      </c>
      <c r="M73" s="3582"/>
      <c r="N73" s="1101">
        <f t="shared" ref="N73:P74" ca="1" si="0">D73</f>
        <v>2</v>
      </c>
      <c r="O73" s="1539" t="str">
        <f t="shared" si="0"/>
        <v>销售额×税（费）率</v>
      </c>
      <c r="P73" s="1102" t="str">
        <f t="shared" si="0"/>
        <v>免征</v>
      </c>
      <c r="Q73" s="1636"/>
      <c r="R73" s="1636"/>
      <c r="S73" s="1636"/>
      <c r="T73" s="1636"/>
      <c r="U73" s="1636"/>
      <c r="V73" s="1636"/>
    </row>
    <row r="74" spans="1:22" ht="24.75">
      <c r="A74" s="3577" t="s">
        <v>377</v>
      </c>
      <c r="B74" s="3541"/>
      <c r="C74" s="3541"/>
      <c r="D74" s="336">
        <f ca="1">IF(H74="个人住宅",D75,D76)</f>
        <v>2010</v>
      </c>
      <c r="E74" s="14" t="s">
        <v>378</v>
      </c>
      <c r="F74" s="334" t="str">
        <f>IF(H74="正常",F76,"免征")</f>
        <v>免征</v>
      </c>
      <c r="G74" s="897" t="s">
        <v>379</v>
      </c>
      <c r="H74" s="337"/>
      <c r="I74" s="38"/>
      <c r="J74" s="1649"/>
      <c r="K74" s="1632">
        <v>3</v>
      </c>
      <c r="L74" s="3582" t="s">
        <v>376</v>
      </c>
      <c r="M74" s="3582"/>
      <c r="N74" s="1101">
        <f t="shared" ca="1" si="0"/>
        <v>2010</v>
      </c>
      <c r="O74" s="1539" t="str">
        <f t="shared" si="0"/>
        <v>增值额×税（费）率</v>
      </c>
      <c r="P74" s="1104" t="str">
        <f t="shared" si="0"/>
        <v>免征</v>
      </c>
      <c r="Q74" s="1636"/>
      <c r="R74" s="1636"/>
      <c r="S74" s="1636"/>
      <c r="T74" s="1636"/>
      <c r="U74" s="1636"/>
      <c r="V74" s="1636"/>
    </row>
    <row r="75" spans="1:22" ht="12.75">
      <c r="A75" s="333" t="s">
        <v>380</v>
      </c>
      <c r="B75" s="3529" t="s">
        <v>381</v>
      </c>
      <c r="C75" s="3565"/>
      <c r="D75" s="338">
        <v>0</v>
      </c>
      <c r="E75" s="37" t="s">
        <v>382</v>
      </c>
      <c r="F75" s="339"/>
      <c r="G75" s="335"/>
      <c r="H75" s="38"/>
      <c r="I75" s="38"/>
      <c r="J75" s="1649"/>
      <c r="K75" s="1632">
        <f>IF(H77="非个人房产","",4)</f>
        <v>4</v>
      </c>
      <c r="L75" s="3582" t="str">
        <f>IF(H77="非个人房产","——","个人所得税")</f>
        <v>个人所得税</v>
      </c>
      <c r="M75" s="3582"/>
      <c r="N75" s="1105">
        <f>D77</f>
        <v>0</v>
      </c>
      <c r="O75" s="1540" t="str">
        <f>E77</f>
        <v>差额计税</v>
      </c>
      <c r="P75" s="1106">
        <f>F77</f>
        <v>0.01</v>
      </c>
      <c r="Q75" s="1636"/>
      <c r="R75" s="1636"/>
      <c r="S75" s="1636"/>
      <c r="T75" s="1636"/>
      <c r="U75" s="1636"/>
      <c r="V75" s="1636"/>
    </row>
    <row r="76" spans="1:22" ht="24.75">
      <c r="A76" s="333" t="s">
        <v>361</v>
      </c>
      <c r="B76" s="3529" t="s">
        <v>384</v>
      </c>
      <c r="C76" s="3530"/>
      <c r="D76" s="336">
        <f ca="1">IF(H76="转让取得",C99,C115)</f>
        <v>2010</v>
      </c>
      <c r="E76" s="14" t="s">
        <v>385</v>
      </c>
      <c r="F76" s="49" t="s">
        <v>15</v>
      </c>
      <c r="G76" s="335"/>
      <c r="H76" s="337"/>
      <c r="I76" s="38"/>
      <c r="J76" s="1649"/>
      <c r="K76" s="1632" t="str">
        <f>IF(项目基本情况!K6="上海银行",IF(K75="",4,K75+1),"")</f>
        <v/>
      </c>
      <c r="L76" s="3597" t="str">
        <f>IF(项目基本情况!K6="上海银行","其他处置费用","")</f>
        <v/>
      </c>
      <c r="M76" s="3598"/>
      <c r="N76" s="1101" t="str">
        <f>IF(项目基本情况!K6="上海银行",N89,"")</f>
        <v/>
      </c>
      <c r="O76" s="3599" t="str">
        <f>IF(项目基本情况!K6="上海银行","包含处置中涉及的律师、诉讼、拍卖、评估等费用","")</f>
        <v/>
      </c>
      <c r="P76" s="3600"/>
      <c r="Q76" s="1636"/>
      <c r="R76" s="1636"/>
      <c r="S76" s="1636"/>
      <c r="T76" s="1636"/>
      <c r="U76" s="1636"/>
      <c r="V76" s="1636"/>
    </row>
    <row r="77" spans="1:22" ht="24.75" thickBot="1">
      <c r="A77" s="3584" t="s">
        <v>387</v>
      </c>
      <c r="B77" s="3585"/>
      <c r="C77" s="3585"/>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2260</v>
      </c>
      <c r="J77" s="1649"/>
      <c r="K77" s="3583">
        <f>IF(AND(K75="",K76=""),4,IF(项目基本情况!K6="上海银行",K76+1,K75+1))</f>
        <v>5</v>
      </c>
      <c r="L77" s="3582" t="s">
        <v>2158</v>
      </c>
      <c r="M77" s="2331" t="s">
        <v>383</v>
      </c>
      <c r="N77" s="1107"/>
      <c r="O77" s="1108">
        <f ca="1">SUMIF(N72:N76,"&lt;9e307")</f>
        <v>2012</v>
      </c>
      <c r="P77" s="1109"/>
      <c r="Q77" s="2329" t="e">
        <f ca="1">O77/N69</f>
        <v>#VALUE!</v>
      </c>
      <c r="R77" s="1636"/>
      <c r="S77" s="1636"/>
      <c r="T77" s="1636"/>
      <c r="U77" s="1636"/>
      <c r="V77" s="1636"/>
    </row>
    <row r="78" spans="1:22" ht="12" customHeight="1">
      <c r="A78" s="1110"/>
      <c r="B78" s="287"/>
      <c r="C78" s="287"/>
      <c r="D78" s="287"/>
      <c r="E78" s="38"/>
      <c r="F78" s="38"/>
      <c r="G78" s="38"/>
      <c r="H78" s="866"/>
      <c r="I78" s="287"/>
      <c r="J78" s="1649"/>
      <c r="K78" s="3583"/>
      <c r="L78" s="3582"/>
      <c r="M78" s="2331" t="s">
        <v>386</v>
      </c>
      <c r="N78" s="1107"/>
      <c r="O78" s="1108" t="str">
        <f ca="1">NUMBERSTRING(INT(O77*10000),2)&amp;"元整"</f>
        <v>贰仟零壹拾贰万元整</v>
      </c>
      <c r="P78" s="1109"/>
      <c r="Q78" s="1636"/>
      <c r="R78" s="1636"/>
      <c r="S78" s="1636"/>
      <c r="T78" s="1636"/>
      <c r="U78" s="1636"/>
      <c r="V78" s="1636"/>
    </row>
    <row r="79" spans="1:22" ht="13.5" thickBot="1">
      <c r="A79" s="3549" t="s">
        <v>388</v>
      </c>
      <c r="B79" s="3549"/>
      <c r="C79" s="3549"/>
      <c r="D79" s="3549"/>
      <c r="E79" s="3549"/>
      <c r="F79" s="38"/>
      <c r="G79" s="38"/>
      <c r="H79" s="866"/>
      <c r="I79" s="287"/>
      <c r="J79" s="1649"/>
      <c r="K79" s="3603">
        <f>K77+1</f>
        <v>6</v>
      </c>
      <c r="L79" s="3582" t="s">
        <v>2159</v>
      </c>
      <c r="M79" s="2331" t="s">
        <v>383</v>
      </c>
      <c r="N79" s="1107"/>
      <c r="O79" s="1108" t="e">
        <f ca="1">N69-O77</f>
        <v>#VALUE!</v>
      </c>
      <c r="P79" s="1109"/>
      <c r="Q79" s="1636"/>
      <c r="R79" s="1636"/>
      <c r="S79" s="1636"/>
      <c r="T79" s="1636"/>
      <c r="U79" s="1636"/>
      <c r="V79" s="1636"/>
    </row>
    <row r="80" spans="1:22" ht="12.75">
      <c r="A80" s="3550" t="s">
        <v>389</v>
      </c>
      <c r="B80" s="3551"/>
      <c r="C80" s="907"/>
      <c r="D80" s="907" t="s">
        <v>390</v>
      </c>
      <c r="E80" s="340" t="s">
        <v>391</v>
      </c>
      <c r="F80" s="38"/>
      <c r="G80" s="38"/>
      <c r="H80" s="866"/>
      <c r="I80" s="287"/>
      <c r="J80" s="1636"/>
      <c r="K80" s="3604"/>
      <c r="L80" s="3582"/>
      <c r="M80" s="2331" t="s">
        <v>386</v>
      </c>
      <c r="N80" s="1107"/>
      <c r="O80" s="1108" t="e">
        <f ca="1">NUMBERSTRING(INT(O79*10000),2)&amp;"元整"</f>
        <v>#VALUE!</v>
      </c>
      <c r="P80" s="1109"/>
      <c r="Q80" s="1636"/>
      <c r="R80" s="1636"/>
      <c r="S80" s="1636"/>
      <c r="T80" s="1636"/>
      <c r="U80" s="1636"/>
      <c r="V80" s="1636"/>
    </row>
    <row r="81" spans="1:26" ht="13.5" thickBot="1">
      <c r="A81" s="351" t="s">
        <v>1352</v>
      </c>
      <c r="B81" s="341" t="s">
        <v>392</v>
      </c>
      <c r="C81" s="342">
        <f ca="1">ROUND((C82+C83)/(1+'数据-取费表'!C42),0)</f>
        <v>3382</v>
      </c>
      <c r="D81" s="343"/>
      <c r="E81" s="344"/>
      <c r="F81" s="38"/>
      <c r="G81" s="38"/>
      <c r="H81" s="866"/>
      <c r="I81" s="287"/>
      <c r="J81" s="1636"/>
      <c r="K81" s="1632">
        <f>K79+1</f>
        <v>7</v>
      </c>
      <c r="L81" s="3580" t="s">
        <v>2160</v>
      </c>
      <c r="M81" s="3581"/>
      <c r="N81" s="1111"/>
      <c r="O81" s="1112" t="e">
        <f ca="1">ROUND(O79*10000/'数据-汇总表'!E3,0)</f>
        <v>#VALUE!</v>
      </c>
      <c r="P81" s="1113"/>
      <c r="Q81" s="1636"/>
      <c r="R81" s="1636"/>
      <c r="S81" s="1636"/>
      <c r="T81" s="1636"/>
      <c r="U81" s="1636"/>
      <c r="V81" s="1636"/>
    </row>
    <row r="82" spans="1:26" ht="13.5" thickTop="1">
      <c r="A82" s="345" t="s">
        <v>1353</v>
      </c>
      <c r="B82" s="346" t="s">
        <v>393</v>
      </c>
      <c r="C82" s="347">
        <f ca="1">D63</f>
        <v>3551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96" t="s">
        <v>2148</v>
      </c>
      <c r="L83" s="2337" t="s">
        <v>2149</v>
      </c>
      <c r="M83" s="2327" t="e">
        <f>IF(N69&gt;10000,N69*0.5%,IF(AND(N69&gt;1000,N69&lt;=10000),N69*1%,IF(AND(N69&gt;100,N69&lt;=1000),N69*3%,IF(AND(N69&gt;10,N69&lt;=100),N69*5%,N69*8%))))</f>
        <v>#VALUE!</v>
      </c>
      <c r="N83" s="49" t="e">
        <f>ROUND(M83,1)</f>
        <v>#VALUE!</v>
      </c>
      <c r="O83" s="2330"/>
      <c r="P83" s="1636"/>
      <c r="Q83" s="1636"/>
      <c r="R83" s="1636"/>
      <c r="S83" s="1636"/>
      <c r="T83" s="1636"/>
      <c r="U83" s="1636"/>
      <c r="V83" s="1636"/>
    </row>
    <row r="84" spans="1:26" ht="12.75">
      <c r="A84" s="351" t="s">
        <v>1355</v>
      </c>
      <c r="B84" s="352" t="s">
        <v>395</v>
      </c>
      <c r="C84" s="353"/>
      <c r="D84" s="354" t="s">
        <v>13</v>
      </c>
      <c r="E84" s="2352" t="s">
        <v>2203</v>
      </c>
      <c r="F84" s="38"/>
      <c r="G84" s="38"/>
      <c r="H84" s="866"/>
      <c r="I84" s="287"/>
      <c r="J84" s="1636"/>
      <c r="K84" s="3596"/>
      <c r="L84" s="2337" t="s">
        <v>2150</v>
      </c>
      <c r="M84" s="2327"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3382</v>
      </c>
      <c r="D85" s="348" t="s">
        <v>13</v>
      </c>
      <c r="E85" s="349"/>
      <c r="F85" s="38"/>
      <c r="G85" s="38"/>
      <c r="H85" s="866"/>
      <c r="I85" s="287"/>
      <c r="J85" s="1636"/>
      <c r="K85" s="3596"/>
      <c r="L85" s="2337" t="s">
        <v>2152</v>
      </c>
      <c r="M85" s="2327"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189</v>
      </c>
      <c r="D86" s="359">
        <f>'数据-取费表'!B41</f>
        <v>5.6000000000000001E-2</v>
      </c>
      <c r="E86" s="360"/>
      <c r="F86" s="38"/>
      <c r="G86" s="38"/>
      <c r="H86" s="866"/>
      <c r="I86" s="287"/>
      <c r="J86" s="1636"/>
      <c r="K86" s="3596"/>
      <c r="L86" s="2337" t="s">
        <v>2153</v>
      </c>
      <c r="M86" s="2327" t="e">
        <f>N69*0.5%</f>
        <v>#VALUE!</v>
      </c>
      <c r="N86" s="49" t="e">
        <f>IF(M86&gt;0.5,0.5,ROUND(M86,0))</f>
        <v>#VALUE!</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96"/>
      <c r="L87" s="2337" t="s">
        <v>2155</v>
      </c>
      <c r="M87" s="2327"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0"/>
      <c r="P87" s="1636"/>
      <c r="Q87" s="1636"/>
      <c r="R87" s="1636"/>
      <c r="S87" s="1636"/>
      <c r="T87" s="1636"/>
      <c r="U87" s="1636"/>
      <c r="V87" s="1636"/>
    </row>
    <row r="88" spans="1:26" s="1007" customFormat="1" ht="15" thickBot="1">
      <c r="A88" s="3575" t="s">
        <v>398</v>
      </c>
      <c r="B88" s="3576"/>
      <c r="C88" s="3576"/>
      <c r="D88" s="3576"/>
      <c r="E88" s="3576"/>
      <c r="F88" s="3576"/>
      <c r="G88" s="3576"/>
      <c r="H88" s="3576"/>
      <c r="I88" s="1119"/>
      <c r="J88" s="1650"/>
      <c r="K88" s="3596"/>
      <c r="L88" s="2337" t="s">
        <v>2156</v>
      </c>
      <c r="M88" s="2327" t="e">
        <f>IF(N69&gt;10000,N69*0.5%,IF(AND(N69&gt;5000,N69&lt;=10000),N69*1%,IF(AND(N69&gt;1000,N69&lt;=5000),N69*2%,IF(AND(N69&gt;200,N69&lt;=1000),N69*3%,N69*5%))))</f>
        <v>#VALUE!</v>
      </c>
      <c r="N88" s="49" t="e">
        <f>ROUND(M88,1)</f>
        <v>#VALUE!</v>
      </c>
      <c r="O88" s="2330"/>
      <c r="P88" s="1647"/>
      <c r="Q88" s="1647"/>
      <c r="R88" s="1647"/>
      <c r="S88" s="1647"/>
      <c r="T88" s="1647"/>
      <c r="U88" s="1647"/>
      <c r="V88" s="1647"/>
      <c r="W88" s="1651"/>
      <c r="X88" s="1651"/>
      <c r="Y88" s="1651"/>
      <c r="Z88" s="1651"/>
    </row>
    <row r="89" spans="1:26" s="1007" customFormat="1" ht="14.25">
      <c r="A89" s="3550" t="s">
        <v>389</v>
      </c>
      <c r="B89" s="3551"/>
      <c r="C89" s="907"/>
      <c r="D89" s="907" t="s">
        <v>390</v>
      </c>
      <c r="E89" s="361" t="s">
        <v>399</v>
      </c>
      <c r="F89" s="362"/>
      <c r="G89" s="362"/>
      <c r="H89" s="363"/>
      <c r="I89" s="1120"/>
      <c r="J89" s="1652"/>
      <c r="K89" s="3596"/>
      <c r="L89" s="2337" t="s">
        <v>16</v>
      </c>
      <c r="M89" s="2328"/>
      <c r="N89" s="49" t="e">
        <f>ROUND(SUM(N83:N88),0)</f>
        <v>#VALUE!</v>
      </c>
      <c r="O89" s="2338" t="e">
        <f>N89/N69</f>
        <v>#VALUE!</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3382</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20</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32" t="s">
        <v>407</v>
      </c>
      <c r="F94" s="3531"/>
      <c r="G94" s="3531"/>
      <c r="H94" s="3574"/>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20</v>
      </c>
      <c r="D96" s="376">
        <f>'数据-取费表'!B43</f>
        <v>6.000000000000001E-3</v>
      </c>
      <c r="E96" s="3566" t="s">
        <v>1780</v>
      </c>
      <c r="F96" s="3567"/>
      <c r="G96" s="3567"/>
      <c r="H96" s="356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3362</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168.1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2010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75" t="s">
        <v>414</v>
      </c>
      <c r="B101" s="3576"/>
      <c r="C101" s="3576"/>
      <c r="D101" s="3576"/>
      <c r="E101" s="3576"/>
      <c r="F101" s="3576"/>
      <c r="G101" s="3576"/>
      <c r="H101" s="3576"/>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50" t="s">
        <v>389</v>
      </c>
      <c r="B102" s="3551"/>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3382</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20</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2278</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26" t="s">
        <v>2252</v>
      </c>
      <c r="H108" s="3527"/>
      <c r="I108" s="2417"/>
      <c r="J108" s="1647"/>
      <c r="K108" s="2745" t="s">
        <v>2279</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69" t="s">
        <v>422</v>
      </c>
      <c r="F109" s="3567"/>
      <c r="G109" s="356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69" t="s">
        <v>424</v>
      </c>
      <c r="F110" s="3567"/>
      <c r="G110" s="3567"/>
      <c r="H110" s="3568"/>
      <c r="I110" s="9"/>
      <c r="J110" s="1647"/>
      <c r="K110" s="2746" t="s">
        <v>2280</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20</v>
      </c>
      <c r="D111" s="376">
        <f>'数据-取费表'!B43</f>
        <v>6.000000000000001E-3</v>
      </c>
      <c r="E111" s="3566" t="s">
        <v>1780</v>
      </c>
      <c r="F111" s="3567"/>
      <c r="G111" s="3567"/>
      <c r="H111" s="356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69" t="s">
        <v>1799</v>
      </c>
      <c r="F112" s="3567"/>
      <c r="G112" s="3567"/>
      <c r="H112" s="356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3362</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168.1</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2010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22" zoomScale="80" zoomScaleNormal="60" zoomScaleSheetLayoutView="80" workbookViewId="0">
      <selection activeCell="E33" activeCellId="1" sqref="E41 E3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'数据-汇总表'!E3</f>
        <v>941.58999999999992</v>
      </c>
      <c r="E1" s="1190" t="s">
        <v>1779</v>
      </c>
      <c r="F1" s="1252">
        <f>'数据-汇总表'!D3</f>
        <v>659.99</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f>C30</f>
        <v>1654</v>
      </c>
      <c r="C2" s="1191" t="s">
        <v>849</v>
      </c>
      <c r="D2" s="1192" t="s">
        <v>850</v>
      </c>
      <c r="E2" s="1193" t="s">
        <v>851</v>
      </c>
      <c r="F2" s="1192" t="s">
        <v>852</v>
      </c>
      <c r="G2" s="1372" t="str">
        <f>IF(E2="商业",项目基本情况!B43,IF(E2="办公",项目基本情况!C43,IF(E2="住宅",项目基本情况!D43,IF(E2="工业",项目基本情况!E43,项目基本情况!F43))))</f>
        <v>六级</v>
      </c>
      <c r="H2" s="1192" t="s">
        <v>854</v>
      </c>
      <c r="I2" s="945" t="str">
        <f>IF(E2="商业",项目基本情况!B44,IF(E2="办公",项目基本情况!C44,IF(E2="住宅",项目基本情况!D44,IF(E2="工业",项目基本情况!E44,项目基本情况!F44))))</f>
        <v>Ⅵ-20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28751</v>
      </c>
      <c r="U2" s="2223"/>
      <c r="V2" s="2233">
        <f>ROUND(T2*U2/10000,0)</f>
        <v>0</v>
      </c>
      <c r="W2" s="1789"/>
      <c r="X2" s="1789"/>
      <c r="Y2" s="1789"/>
      <c r="Z2" s="1789"/>
      <c r="AA2" s="1789"/>
      <c r="AB2" s="1789"/>
      <c r="AC2" s="1790"/>
    </row>
    <row r="3" spans="1:39" ht="15.75">
      <c r="A3" s="1194" t="s">
        <v>1220</v>
      </c>
      <c r="B3" s="940">
        <f>ROUND(B2*10000/D1,0)</f>
        <v>17566</v>
      </c>
      <c r="C3" s="1191" t="s">
        <v>855</v>
      </c>
      <c r="D3" s="1192" t="s">
        <v>856</v>
      </c>
      <c r="E3" s="1195" t="s">
        <v>3280</v>
      </c>
      <c r="F3" s="1196" t="s">
        <v>3828</v>
      </c>
      <c r="G3" s="941">
        <v>1</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22662</v>
      </c>
      <c r="U3" s="2223"/>
      <c r="V3" s="2233">
        <f t="shared" ref="V3:V16" si="1">ROUND(T3*U3/10000,0)</f>
        <v>0</v>
      </c>
      <c r="W3" s="1789"/>
      <c r="X3" s="1789"/>
      <c r="Y3" s="1789"/>
      <c r="Z3" s="1789"/>
      <c r="AA3" s="1789"/>
      <c r="AB3" s="1789"/>
      <c r="AC3" s="1790"/>
    </row>
    <row r="4" spans="1:39" ht="28.5">
      <c r="A4" s="1550" t="s">
        <v>1638</v>
      </c>
      <c r="B4" s="1970">
        <f>ROUND(B2*10000/F1,0)</f>
        <v>25061</v>
      </c>
      <c r="C4" s="1553" t="s">
        <v>1613</v>
      </c>
      <c r="D4" s="1553">
        <f>ROUND(B2/(F1/666.67),0)</f>
        <v>1671</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1.0004999999999999</v>
      </c>
      <c r="T4" s="2233">
        <f t="shared" si="0"/>
        <v>19153</v>
      </c>
      <c r="U4" s="2223"/>
      <c r="V4" s="2233">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18558</v>
      </c>
      <c r="D5" s="2358">
        <f>ROUND(C6*C17+C20,0)</f>
        <v>14670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0.88239999999999996</v>
      </c>
      <c r="T5" s="2233">
        <f t="shared" si="0"/>
        <v>16892</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14670</v>
      </c>
      <c r="D6" s="3253" t="s">
        <v>1228</v>
      </c>
      <c r="E6" s="1204"/>
      <c r="F6" s="1204"/>
      <c r="G6" s="3254"/>
      <c r="H6" s="3254"/>
      <c r="I6" s="3254"/>
      <c r="J6" s="3255"/>
      <c r="K6" s="1789"/>
      <c r="L6" s="1544" t="s">
        <v>1602</v>
      </c>
      <c r="M6" s="1545">
        <f>SUMPRODUCT((区片价!B127:B189=I2)*(区片价!C3:G3=E2)*(区片价!C127:G189))</f>
        <v>14670</v>
      </c>
      <c r="N6" s="1546">
        <f>SUMPRODUCT((因素修正幅度!B127:B189=I2)*(因素修正幅度!C3:G3=E2)*(因素修正幅度!C127:G189))</f>
        <v>0.12</v>
      </c>
      <c r="O6" s="1789"/>
      <c r="P6" s="2743"/>
      <c r="Q6" s="1789"/>
      <c r="R6" s="2233">
        <v>5</v>
      </c>
      <c r="S6" s="2233">
        <f>ROUND(SUMPRODUCT((B107:B111=R6)*(C106:N106=G2)*(C107:N111)),4)</f>
        <v>0.84799999999999998</v>
      </c>
      <c r="T6" s="2233">
        <f t="shared" si="0"/>
        <v>16233</v>
      </c>
      <c r="U6" s="2223"/>
      <c r="V6" s="2233">
        <f t="shared" si="1"/>
        <v>0</v>
      </c>
      <c r="W6" s="1789"/>
      <c r="X6" s="1789"/>
      <c r="Y6" s="1789"/>
      <c r="Z6" s="1789"/>
      <c r="AA6" s="1789"/>
      <c r="AB6" s="1789"/>
      <c r="AC6" s="1791"/>
      <c r="AD6" s="1201"/>
      <c r="AE6" s="1201"/>
      <c r="AF6" s="1201"/>
      <c r="AG6" s="1201"/>
      <c r="AH6" s="1201"/>
      <c r="AI6" s="1201"/>
      <c r="AJ6" s="1202"/>
    </row>
    <row r="7" spans="1:39" ht="24.75" thickBot="1">
      <c r="A7" s="3256" t="s">
        <v>3192</v>
      </c>
      <c r="B7" s="1205" t="s">
        <v>860</v>
      </c>
      <c r="C7" s="3257">
        <f>IF(C8="不临65条商业街",1,ROUND(1+(1.6*E8+1.2*E9+0.8*E10+0.4*E11)*C9,4))</f>
        <v>1</v>
      </c>
      <c r="D7" s="3258" t="s">
        <v>861</v>
      </c>
      <c r="E7" s="3259">
        <v>6</v>
      </c>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f t="shared" si="0"/>
        <v>0</v>
      </c>
      <c r="U7" s="2223"/>
      <c r="V7" s="2233">
        <f t="shared" si="1"/>
        <v>0</v>
      </c>
      <c r="W7" s="2231" t="s">
        <v>2046</v>
      </c>
      <c r="X7" s="2224" t="str">
        <f>G2</f>
        <v>六级</v>
      </c>
      <c r="Y7" s="2224" t="s">
        <v>2047</v>
      </c>
      <c r="Z7" s="2225">
        <f>G3</f>
        <v>1</v>
      </c>
      <c r="AA7" s="1792"/>
      <c r="AB7" s="1792"/>
      <c r="AC7" s="1793"/>
      <c r="AD7" s="2226"/>
      <c r="AE7" s="2226"/>
      <c r="AF7" s="2226"/>
      <c r="AG7" s="2226"/>
      <c r="AH7" s="2226"/>
      <c r="AI7" s="2226"/>
      <c r="AJ7" s="2227"/>
    </row>
    <row r="8" spans="1:39" ht="15">
      <c r="A8" s="3262"/>
      <c r="B8" s="1192" t="s">
        <v>862</v>
      </c>
      <c r="C8" s="3263"/>
      <c r="D8" s="3264" t="s">
        <v>863</v>
      </c>
      <c r="E8" s="3265">
        <f>ROUND(C11/E7,4)</f>
        <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09" t="s">
        <v>2060</v>
      </c>
      <c r="X8" s="3610"/>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f>ROUND(C11/E7,4)</f>
        <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08"/>
      <c r="X9" s="2228" t="s">
        <v>3215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f>ROUND(C11/E7,4)</f>
        <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0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f>ROUND(C11/E7,4)</f>
        <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6" t="s">
        <v>3193</v>
      </c>
      <c r="B12" s="3238" t="s">
        <v>3194</v>
      </c>
      <c r="C12" s="3244">
        <v>1.02</v>
      </c>
      <c r="D12" s="3239" t="s">
        <v>3195</v>
      </c>
      <c r="E12" s="3240" t="s">
        <v>3196</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6" t="s">
        <v>3197</v>
      </c>
      <c r="B13" s="1210" t="s">
        <v>874</v>
      </c>
      <c r="C13" s="3257">
        <f>ROUND(C16*D16*E16*F16*G16*H16*I16*J16,4)</f>
        <v>1.2649999999999999</v>
      </c>
      <c r="D13" s="3275" t="s">
        <v>3198</v>
      </c>
      <c r="E13" s="3276"/>
      <c r="F13" s="3276"/>
      <c r="G13" s="3276"/>
      <c r="H13" s="3276"/>
      <c r="I13" s="3276"/>
      <c r="J13" s="3277"/>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8"/>
      <c r="B14" s="1214" t="s">
        <v>1229</v>
      </c>
      <c r="C14" s="3194" t="s">
        <v>1230</v>
      </c>
      <c r="D14" s="1216" t="s">
        <v>1231</v>
      </c>
      <c r="E14" s="750" t="s">
        <v>3199</v>
      </c>
      <c r="F14" s="3279" t="s">
        <v>1178</v>
      </c>
      <c r="G14" s="3279" t="s">
        <v>1178</v>
      </c>
      <c r="H14" s="3280" t="s">
        <v>1178</v>
      </c>
      <c r="I14" s="3280" t="s">
        <v>1178</v>
      </c>
      <c r="J14" s="3280" t="s">
        <v>1178</v>
      </c>
      <c r="K14" s="2741"/>
      <c r="L14" s="2741"/>
      <c r="M14" s="2741"/>
      <c r="N14" s="2741"/>
      <c r="O14" s="2741"/>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8"/>
      <c r="B15" s="1216"/>
      <c r="C15" s="3281" t="s">
        <v>3281</v>
      </c>
      <c r="D15" s="3282" t="s">
        <v>3281</v>
      </c>
      <c r="E15" s="3283" t="s">
        <v>3282</v>
      </c>
      <c r="F15" s="3283"/>
      <c r="G15" s="1037" t="s">
        <v>3200</v>
      </c>
      <c r="H15" s="3247"/>
      <c r="I15" s="3248"/>
      <c r="J15" s="3249"/>
      <c r="K15" s="3250"/>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8"/>
      <c r="B16" s="2406" t="s">
        <v>1232</v>
      </c>
      <c r="C16" s="3245">
        <v>1.1499999999999999</v>
      </c>
      <c r="D16" s="3245">
        <v>1.1000000000000001</v>
      </c>
      <c r="E16" s="3245">
        <v>1</v>
      </c>
      <c r="F16" s="3245">
        <v>1</v>
      </c>
      <c r="G16" s="3245">
        <v>1</v>
      </c>
      <c r="H16" s="3245">
        <v>1</v>
      </c>
      <c r="I16" s="3245">
        <v>1</v>
      </c>
      <c r="J16" s="3246">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5" t="s">
        <v>3201</v>
      </c>
      <c r="B17" s="3286" t="s">
        <v>3202</v>
      </c>
      <c r="C17" s="3294">
        <f>ROUND(IF(OR(E2="工业",E2="公共服务"),1,IF(AND(E18=0,E19=0),1,IF(AND(E18=J24,E19=G19),0.8,IF(E19=0,1+E17*(-0.2),1+E17*G17*(-0.2))))),4)</f>
        <v>1</v>
      </c>
      <c r="D17" s="3287" t="s">
        <v>3203</v>
      </c>
      <c r="E17" s="3294">
        <f>ROUND(G18/I18,2)</f>
        <v>0</v>
      </c>
      <c r="F17" s="3287" t="s">
        <v>3206</v>
      </c>
      <c r="G17" s="3294" t="e">
        <f>ROUND(E19/G19,2)</f>
        <v>#DIV/0!</v>
      </c>
      <c r="H17" s="3294"/>
      <c r="I17" s="3294"/>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3204</v>
      </c>
      <c r="E18" s="3293"/>
      <c r="F18" s="3290" t="s">
        <v>3207</v>
      </c>
      <c r="G18" s="3292">
        <f>ROUND(1-(1/(POWER(1+G24,E18))),4)</f>
        <v>0</v>
      </c>
      <c r="H18" s="3290" t="s">
        <v>3209</v>
      </c>
      <c r="I18" s="3292">
        <f>ROUND(1-(1/(POWER(1+G24,J24))),4)</f>
        <v>0.96709999999999996</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3205</v>
      </c>
      <c r="E19" s="3295"/>
      <c r="F19" s="3291" t="s">
        <v>3208</v>
      </c>
      <c r="G19" s="3295"/>
      <c r="H19" s="3289"/>
      <c r="I19" s="3289"/>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19" t="s">
        <v>1370</v>
      </c>
      <c r="B20" s="1205" t="s">
        <v>875</v>
      </c>
      <c r="C20" s="947">
        <f>ROUND(IF(F21="与级别开发程度一致",0,(G21-E21)/C21),0)</f>
        <v>0</v>
      </c>
      <c r="D20" s="3614" t="s">
        <v>879</v>
      </c>
      <c r="E20" s="3615"/>
      <c r="F20" s="3614" t="s">
        <v>876</v>
      </c>
      <c r="G20" s="3615"/>
      <c r="H20" s="1217" t="s">
        <v>2766</v>
      </c>
      <c r="I20" s="1217" t="s">
        <v>2767</v>
      </c>
      <c r="J20" s="1217" t="s">
        <v>2768</v>
      </c>
      <c r="K20" s="1217" t="s">
        <v>2769</v>
      </c>
      <c r="L20" s="1217" t="s">
        <v>2770</v>
      </c>
      <c r="M20" s="1217" t="s">
        <v>2771</v>
      </c>
      <c r="N20" s="1217" t="s">
        <v>2772</v>
      </c>
      <c r="O20" s="2411" t="s">
        <v>2773</v>
      </c>
      <c r="P20" s="1789"/>
      <c r="Q20" s="1792"/>
      <c r="R20" s="1795"/>
      <c r="S20" s="1795"/>
      <c r="T20" s="1795"/>
      <c r="U20" s="1795"/>
      <c r="V20" s="1795"/>
      <c r="W20" s="1795"/>
      <c r="X20" s="1795"/>
      <c r="Y20" s="1221"/>
      <c r="Z20" s="1221"/>
      <c r="AA20" s="1221"/>
      <c r="AB20" s="1221"/>
      <c r="AC20" s="1221"/>
      <c r="AD20" s="1221"/>
    </row>
    <row r="21" spans="1:40" s="1203" customFormat="1" ht="15" thickBot="1">
      <c r="A21" s="3620"/>
      <c r="B21" s="2412" t="s">
        <v>878</v>
      </c>
      <c r="C21" s="2413">
        <f>IF(E3="M4科研用地",SUMPRODUCT((修正!A2:A7=E3)*(修正!B1:M1=G2)*(修正!B2:M7)),SUMPRODUCT((修正!A2:A7=E2)*(修正!B1:M1=G2)*(修正!B2:M7)))</f>
        <v>2.5</v>
      </c>
      <c r="D21" s="2414" t="str">
        <f>IF(OR(G2="八级",G2="九级",G2="十级",G2="十一级",G2="十二级"),"五通一平","七通一平")</f>
        <v>七通一平</v>
      </c>
      <c r="E21" s="2404">
        <f>SUMPRODUCT((修正!B1:M1=G2)*(修正!B17:M17))</f>
        <v>315</v>
      </c>
      <c r="F21" s="2405"/>
      <c r="G21" s="2404">
        <f>SUM(H21:O21)</f>
        <v>315</v>
      </c>
      <c r="H21" s="946">
        <f>SUMPRODUCT((七通一平=H20)*(修正!B1:M1=G2)*(修正!B8:M16))</f>
        <v>70</v>
      </c>
      <c r="I21" s="946">
        <f>SUMPRODUCT((七通一平=I20)*(修正!B1:M1=G2)*(修正!B8:M16))</f>
        <v>60</v>
      </c>
      <c r="J21" s="946">
        <f>SUMPRODUCT((七通一平=J20)*(修正!B1:M1=G2)*(修正!B8:M16))</f>
        <v>15</v>
      </c>
      <c r="K21" s="946">
        <f>SUMPRODUCT((七通一平=K20)*(修正!B1:M1=G2)*(修正!B8:M16))</f>
        <v>25</v>
      </c>
      <c r="L21" s="946">
        <f>SUMPRODUCT((七通一平=L20)*(修正!B1:M1=G2)*(修正!B8:M16))</f>
        <v>40</v>
      </c>
      <c r="M21" s="946">
        <f>SUMPRODUCT((七通一平=M20)*(修正!B1:M1=G2)*(修正!B8:M16))</f>
        <v>50</v>
      </c>
      <c r="N21" s="946">
        <f>SUMPRODUCT((七通一平=N20)*(修正!B1:M1=G2)*(修正!B8:M16))</f>
        <v>40</v>
      </c>
      <c r="O21" s="2415">
        <f>SUMPRODUCT((七通一平=O20)*(修正!B1:M1=G2)*(修正!B8:M16))</f>
        <v>15</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1</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1.0672999999999999</v>
      </c>
      <c r="D23" s="1223" t="s">
        <v>882</v>
      </c>
      <c r="E23" s="949">
        <v>44197</v>
      </c>
      <c r="F23" s="1223" t="s">
        <v>883</v>
      </c>
      <c r="G23" s="950">
        <f>'数据-取费表'!B2</f>
        <v>45637</v>
      </c>
      <c r="H23" s="1224" t="s">
        <v>2247</v>
      </c>
      <c r="I23" s="2101" t="str">
        <f>IF(H23="季度增幅（自定义）",SUMIF(N25:N28,E2,O25:O28),"")</f>
        <v/>
      </c>
      <c r="J23" s="3296" t="s">
        <v>3259</v>
      </c>
      <c r="K23" s="2740"/>
      <c r="L23" s="2323" t="s">
        <v>2116</v>
      </c>
      <c r="M23" s="2324">
        <f>ROUND(SUMIF(地价!B2:F2,E2,地价!B41:F41),0)</f>
        <v>423</v>
      </c>
      <c r="N23" s="2103" t="s">
        <v>1211</v>
      </c>
      <c r="O23" s="2102">
        <f>ROUNDDOWN(DATEDIF(E23,G23,"M")/3,0)</f>
        <v>15</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f>ROUND(POWER(1+G24,J24-I24)*(POWER(1+G24,I24)-1)/(POWER(1+G24,J24)-1),4)</f>
        <v>0.92859999999999998</v>
      </c>
      <c r="D24" s="2098" t="s">
        <v>897</v>
      </c>
      <c r="E24" s="2350">
        <f>存贷款利率!E27/100</f>
        <v>4.3499999999999997E-2</v>
      </c>
      <c r="F24" s="2098" t="s">
        <v>898</v>
      </c>
      <c r="G24" s="2099">
        <f>SUMIF(M30:Q30,E2,M33:Q33)</f>
        <v>0.05</v>
      </c>
      <c r="H24" s="2098" t="s">
        <v>899</v>
      </c>
      <c r="I24" s="2094">
        <f>SUMIF('数据-取费表'!C6:C15,E2,'数据-取费表'!F6:F15)/COUNTIF('数据-取费表'!C6:C15,E2)</f>
        <v>46.8</v>
      </c>
      <c r="J24" s="2100">
        <f>IF(E2="住宅",70,IF(E2="商业",40,50))</f>
        <v>70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2277</v>
      </c>
      <c r="C25" s="1003">
        <f>IF(B25="容积率修正",IF(G3&lt;10,D26,J26),C27)</f>
        <v>1.222</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3210</v>
      </c>
      <c r="D26" s="951">
        <f>IF(E26=G26,F26,IF(G3&lt;10,ROUND(F26+(H26-F26)*(G3-E26)/(G26-E26),4),"——"))</f>
        <v>1.222</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297" t="s">
        <v>3211</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1.0407999999999999</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f>IF(B25="容积率修正",E33+SUM(E37:E42),SUM(V2:V16)+SUM(E37:E42))</f>
        <v>1654</v>
      </c>
      <c r="D30" s="1238"/>
      <c r="E30" s="1185"/>
      <c r="F30" s="1239"/>
      <c r="G30" s="1185"/>
      <c r="H30" s="1185"/>
      <c r="I30" s="1185"/>
      <c r="J30" s="1240"/>
      <c r="K30" s="1789"/>
      <c r="L30" s="1326" t="s">
        <v>833</v>
      </c>
      <c r="M30" s="1206" t="s">
        <v>907</v>
      </c>
      <c r="N30" s="1206" t="s">
        <v>908</v>
      </c>
      <c r="O30" s="1206" t="s">
        <v>835</v>
      </c>
      <c r="P30" s="1225" t="s">
        <v>909</v>
      </c>
      <c r="Q30" s="1225" t="s">
        <v>3237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27</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23393</v>
      </c>
      <c r="D33" s="1252">
        <f>'数据-汇总表'!D19</f>
        <v>659.99</v>
      </c>
      <c r="E33" s="1538">
        <f>ROUND(C33*D33/10000,0)</f>
        <v>1544</v>
      </c>
      <c r="F33" s="3298" t="s">
        <v>3212</v>
      </c>
      <c r="G33" s="1253"/>
      <c r="H33" s="1253"/>
      <c r="I33" s="1253"/>
      <c r="J33" s="1254"/>
      <c r="K33" s="2744"/>
      <c r="L33" s="3365" t="s">
        <v>3238</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5848</v>
      </c>
      <c r="D34" s="1257"/>
      <c r="E34" s="1538">
        <f>ROUND(IF(B25="楼层修正",SUM(V2:V16)*#REF!,C34*D34/10000),0)</f>
        <v>0</v>
      </c>
      <c r="F34" s="3299" t="s">
        <v>3213</v>
      </c>
      <c r="G34" s="1258"/>
      <c r="H34" s="1258"/>
      <c r="I34" s="1258"/>
      <c r="J34" s="1259"/>
      <c r="K34" s="1789"/>
      <c r="L34" s="3365" t="s">
        <v>3239</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3240</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16"/>
      <c r="B37" s="1270" t="s">
        <v>923</v>
      </c>
      <c r="C37" s="954">
        <f>ROUND(D5*C22*C23*C24*C28*F37,0)</f>
        <v>9080</v>
      </c>
      <c r="D37" s="1282"/>
      <c r="E37" s="945">
        <f>ROUND(C37*D37/10000,0)</f>
        <v>0</v>
      </c>
      <c r="F37" s="945">
        <f>SUMIF(修正!A57:A68,G2,修正!B57:B68)</f>
        <v>0.6</v>
      </c>
      <c r="G37" s="945">
        <f>ROUND(IF(E2="工业",C37*$M$42,C37*$M$41),0)</f>
        <v>2270</v>
      </c>
      <c r="H37" s="945">
        <f>D37</f>
        <v>0</v>
      </c>
      <c r="I37" s="945">
        <f>ROUND(G37*H37/10000,0)</f>
        <v>0</v>
      </c>
      <c r="J37" s="3616"/>
      <c r="K37" s="3368" t="s">
        <v>3241</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90"/>
      <c r="S37" s="1790"/>
      <c r="T37" s="1790"/>
      <c r="U37" s="1790"/>
      <c r="V37" s="1790"/>
      <c r="W37" s="1789"/>
      <c r="X37" s="1789"/>
      <c r="Y37" s="1789"/>
      <c r="Z37" s="1789"/>
      <c r="AA37" s="1789"/>
      <c r="AB37" s="1789"/>
      <c r="AC37" s="1790"/>
    </row>
    <row r="38" spans="1:44" ht="12.75">
      <c r="A38" s="3617"/>
      <c r="B38" s="1215" t="s">
        <v>924</v>
      </c>
      <c r="C38" s="954">
        <f>ROUND(D5*C22*C23*C24*C28*F38,0)</f>
        <v>4540</v>
      </c>
      <c r="D38" s="1282"/>
      <c r="E38" s="945">
        <f t="shared" ref="E38:E42" si="4">ROUND(C38*D38/10000,0)</f>
        <v>0</v>
      </c>
      <c r="F38" s="945">
        <f>SUMIF(修正!A57:A68,G2,修正!C57:C68)</f>
        <v>0.3</v>
      </c>
      <c r="G38" s="945">
        <f>ROUND(IF(E2="工业",C38*$M$42,C38*$M$41),0)</f>
        <v>1135</v>
      </c>
      <c r="H38" s="945">
        <f t="shared" ref="H38:H42" si="5">D38</f>
        <v>0</v>
      </c>
      <c r="I38" s="945">
        <f t="shared" ref="I38:I42" si="6">ROUND(G38*H38/10000,0)</f>
        <v>0</v>
      </c>
      <c r="J38" s="3617"/>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17"/>
      <c r="B39" s="3300" t="s">
        <v>3214</v>
      </c>
      <c r="C39" s="954">
        <f>ROUND(D5*C22*C23*C24*C28*F39,0)</f>
        <v>3783</v>
      </c>
      <c r="D39" s="1282"/>
      <c r="E39" s="945">
        <f t="shared" si="4"/>
        <v>0</v>
      </c>
      <c r="F39" s="945">
        <f>SUMIF(修正!A57:A68,G2,修正!D57:D68)</f>
        <v>0.25</v>
      </c>
      <c r="G39" s="945">
        <f>ROUND(IF(E2="工业",C39*$M$42,C39*$M$41),0)</f>
        <v>946</v>
      </c>
      <c r="H39" s="945">
        <f t="shared" si="5"/>
        <v>0</v>
      </c>
      <c r="I39" s="945">
        <f t="shared" si="6"/>
        <v>0</v>
      </c>
      <c r="J39" s="361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3783</v>
      </c>
      <c r="D40" s="1282"/>
      <c r="E40" s="945">
        <f t="shared" si="4"/>
        <v>0</v>
      </c>
      <c r="F40" s="954">
        <f>SUMIF(修正!A57:A68,G2,修正!E57:E68)</f>
        <v>0.25</v>
      </c>
      <c r="G40" s="945">
        <f>ROUND(IF(E2="工业",C40*$M$42,C40*$M$41),0)</f>
        <v>946</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3256</v>
      </c>
      <c r="D41" s="1282">
        <f>'数据-汇总表'!G19</f>
        <v>337.34</v>
      </c>
      <c r="E41" s="945">
        <f t="shared" si="4"/>
        <v>110</v>
      </c>
      <c r="F41" s="954">
        <f>SUMIF(修正!A57:A68,G2,修正!F57:F68)</f>
        <v>0.25</v>
      </c>
      <c r="G41" s="945">
        <f>ROUND(IF(E2="工业",C41*$M$42,C41*$M$41),0)</f>
        <v>814</v>
      </c>
      <c r="H41" s="945">
        <f t="shared" si="5"/>
        <v>337.34</v>
      </c>
      <c r="I41" s="945">
        <f t="shared" si="6"/>
        <v>27</v>
      </c>
      <c r="J41" s="1271"/>
      <c r="K41" s="1789"/>
      <c r="L41" s="3371" t="s">
        <v>3242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1953</v>
      </c>
      <c r="D42" s="1283"/>
      <c r="E42" s="946">
        <f t="shared" si="4"/>
        <v>0</v>
      </c>
      <c r="F42" s="956">
        <f>SUMIF(修正!A57:A68,G2,修正!G57:G68)</f>
        <v>0.15</v>
      </c>
      <c r="G42" s="946">
        <f>ROUND(IF(E2="工业",C42*$M$42,C42*$M$41),0)</f>
        <v>488</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3">
        <f>ROUND(POWER(1+E44,H44-G44)*(POWER(1+E44,G44)-1)/(POWER(1+E44,H44)-1),4)</f>
        <v>0.79910000000000003</v>
      </c>
      <c r="D44" s="348" t="s">
        <v>2241</v>
      </c>
      <c r="E44" s="2395">
        <f>G24</f>
        <v>0.05</v>
      </c>
      <c r="F44" s="348" t="s">
        <v>2242</v>
      </c>
      <c r="G44" s="366">
        <f>项目基本情况!G19</f>
        <v>26.79</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5">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36">
      <c r="A50" s="3318" t="s">
        <v>942</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36">
      <c r="A51" s="3318" t="s">
        <v>943</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3216</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2200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2199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5">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36">
      <c r="A61" s="3318" t="s">
        <v>952</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36">
      <c r="A62" s="3318" t="s">
        <v>943</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3216</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2201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2199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5">
        <f>1+E72</f>
        <v>1.0407999999999999</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48">
      <c r="A72" s="3318" t="s">
        <v>954</v>
      </c>
      <c r="B72" s="3319" t="str">
        <f>估价对象房地状况!C15</f>
        <v>估价对象周边居住用地比例、居住小区规模和社区发展完善程度，综合评价居住社区成熟度一般</v>
      </c>
      <c r="C72" s="3390" t="s">
        <v>3283</v>
      </c>
      <c r="D72" s="3327">
        <f t="shared" ref="D72:D80" si="17">SUMIF($J$71:$N$71,C72,J72:N72)</f>
        <v>1.2E-2</v>
      </c>
      <c r="E72" s="3328">
        <f>ROUND(SUM(D72:D80),4)</f>
        <v>4.0800000000000003E-2</v>
      </c>
      <c r="F72" s="3329">
        <f>IF(E2="住宅",SUMIF(L1:L12,G2,N1:N12),"——")</f>
        <v>0.12</v>
      </c>
      <c r="G72" s="3343">
        <f>H72</f>
        <v>1.2E-2</v>
      </c>
      <c r="H72" s="3344">
        <f t="shared" ref="H72:H80" si="18">IFERROR(ROUNDDOWN($F$72*I72/2,4),"——")</f>
        <v>1.2E-2</v>
      </c>
      <c r="I72" s="3306">
        <v>0.2</v>
      </c>
      <c r="J72" s="3332">
        <f t="shared" ref="J72:J80" si="19">K72+$G72</f>
        <v>2.4E-2</v>
      </c>
      <c r="K72" s="3332">
        <f t="shared" ref="K72:K80" si="20">$L72+$G72</f>
        <v>1.2E-2</v>
      </c>
      <c r="L72" s="3332">
        <v>0</v>
      </c>
      <c r="M72" s="3332">
        <f t="shared" ref="M72:N80" si="21">L72-$G72</f>
        <v>-1.2E-2</v>
      </c>
      <c r="N72" s="3332">
        <f t="shared" si="21"/>
        <v>-2.4E-2</v>
      </c>
      <c r="P72" s="1798"/>
      <c r="Q72" s="1798"/>
      <c r="R72" s="1798"/>
      <c r="S72" s="1798"/>
      <c r="T72" s="1798"/>
      <c r="U72" s="1798"/>
      <c r="V72" s="1798"/>
      <c r="W72" s="1798"/>
      <c r="X72" s="1798"/>
      <c r="Y72" s="1798"/>
      <c r="Z72" s="1798"/>
      <c r="AA72" s="1798"/>
      <c r="AB72" s="1798"/>
      <c r="AC72" s="1798"/>
      <c r="AD72" s="1798"/>
    </row>
    <row r="73" spans="1:36" s="3313" customFormat="1" ht="36">
      <c r="A73" s="3318" t="s">
        <v>955</v>
      </c>
      <c r="B73" s="3319" t="str">
        <f>估价对象房地状况!C18</f>
        <v>估价对象周边道路状况、公共交通通达情况、停车便捷程度，综合评价交通便捷度较好</v>
      </c>
      <c r="C73" s="3390" t="s">
        <v>3284</v>
      </c>
      <c r="D73" s="3327">
        <f t="shared" si="17"/>
        <v>0</v>
      </c>
      <c r="E73" s="3333"/>
      <c r="F73" s="3329"/>
      <c r="G73" s="3343">
        <f t="shared" ref="G73:G80" si="22">H73</f>
        <v>1.5599999999999999E-2</v>
      </c>
      <c r="H73" s="3344">
        <f t="shared" si="18"/>
        <v>1.5599999999999999E-2</v>
      </c>
      <c r="I73" s="3306">
        <v>0.26</v>
      </c>
      <c r="J73" s="3332">
        <f t="shared" si="19"/>
        <v>3.1199999999999999E-2</v>
      </c>
      <c r="K73" s="3332">
        <f t="shared" si="20"/>
        <v>1.5599999999999999E-2</v>
      </c>
      <c r="L73" s="3332">
        <v>0</v>
      </c>
      <c r="M73" s="3332">
        <f t="shared" si="21"/>
        <v>-1.5599999999999999E-2</v>
      </c>
      <c r="N73" s="3332">
        <f t="shared" si="21"/>
        <v>-3.1199999999999999E-2</v>
      </c>
      <c r="P73" s="1798"/>
      <c r="Q73" s="1798"/>
      <c r="R73" s="1798"/>
      <c r="S73" s="1798"/>
      <c r="T73" s="1798"/>
      <c r="U73" s="1798"/>
      <c r="V73" s="1798"/>
      <c r="W73" s="1798"/>
      <c r="X73" s="1798"/>
      <c r="Y73" s="1798"/>
      <c r="Z73" s="1798"/>
      <c r="AA73" s="1798"/>
      <c r="AB73" s="1798"/>
      <c r="AC73" s="1798"/>
      <c r="AD73" s="1798"/>
    </row>
    <row r="74" spans="1:36" s="3313" customFormat="1" ht="36">
      <c r="A74" s="3301" t="s">
        <v>3216</v>
      </c>
      <c r="B74" s="3319">
        <f>估价对象房地状况!C19</f>
        <v>0</v>
      </c>
      <c r="C74" s="3390" t="s">
        <v>3283</v>
      </c>
      <c r="D74" s="3327">
        <f t="shared" si="17"/>
        <v>6.0000000000000001E-3</v>
      </c>
      <c r="E74" s="3333"/>
      <c r="F74" s="3329"/>
      <c r="G74" s="3343">
        <f t="shared" si="22"/>
        <v>6.0000000000000001E-3</v>
      </c>
      <c r="H74" s="3344">
        <f t="shared" si="18"/>
        <v>6.0000000000000001E-3</v>
      </c>
      <c r="I74" s="3306">
        <v>0.1</v>
      </c>
      <c r="J74" s="3332">
        <f t="shared" si="19"/>
        <v>1.2E-2</v>
      </c>
      <c r="K74" s="3332">
        <f t="shared" si="20"/>
        <v>6.0000000000000001E-3</v>
      </c>
      <c r="L74" s="3332">
        <v>0</v>
      </c>
      <c r="M74" s="3332">
        <f t="shared" si="21"/>
        <v>-6.0000000000000001E-3</v>
      </c>
      <c r="N74" s="3332">
        <f t="shared" si="21"/>
        <v>-1.2E-2</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90" t="s">
        <v>3285</v>
      </c>
      <c r="D75" s="3327">
        <f t="shared" si="17"/>
        <v>-3.0000000000000001E-3</v>
      </c>
      <c r="E75" s="3333"/>
      <c r="F75" s="3329"/>
      <c r="G75" s="3343">
        <f t="shared" si="22"/>
        <v>3.0000000000000001E-3</v>
      </c>
      <c r="H75" s="3344">
        <f t="shared" si="18"/>
        <v>3.0000000000000001E-3</v>
      </c>
      <c r="I75" s="3306">
        <v>0.05</v>
      </c>
      <c r="J75" s="3332">
        <f t="shared" si="19"/>
        <v>6.0000000000000001E-3</v>
      </c>
      <c r="K75" s="3332">
        <f t="shared" si="20"/>
        <v>3.0000000000000001E-3</v>
      </c>
      <c r="L75" s="3332">
        <v>0</v>
      </c>
      <c r="M75" s="3332">
        <f t="shared" si="21"/>
        <v>-3.0000000000000001E-3</v>
      </c>
      <c r="N75" s="3332">
        <f t="shared" si="21"/>
        <v>-6.0000000000000001E-3</v>
      </c>
      <c r="O75" s="3313"/>
      <c r="P75" s="1798"/>
      <c r="Q75" s="1798"/>
      <c r="R75" s="3345"/>
      <c r="S75" s="3345"/>
      <c r="T75" s="3345"/>
      <c r="U75" s="3345"/>
      <c r="V75" s="3345"/>
      <c r="W75" s="3345"/>
      <c r="X75" s="3345"/>
      <c r="Y75" s="3345"/>
      <c r="Z75" s="3345"/>
      <c r="AA75" s="3345"/>
      <c r="AB75" s="3345"/>
      <c r="AC75" s="3345"/>
      <c r="AD75" s="3345"/>
      <c r="AE75" s="3313"/>
      <c r="AF75" s="3313"/>
      <c r="AG75" s="3313"/>
      <c r="AH75" s="3313"/>
      <c r="AI75" s="3313"/>
      <c r="AJ75" s="3313"/>
    </row>
    <row r="76" spans="1:36" s="1274" customFormat="1" ht="24">
      <c r="A76" s="3318" t="s">
        <v>948</v>
      </c>
      <c r="B76" s="3337" t="str">
        <f>估价对象房地状况!C21</f>
        <v>估价对象所在区域公共配套设施齐备情况</v>
      </c>
      <c r="C76" s="3390" t="s">
        <v>3283</v>
      </c>
      <c r="D76" s="3327">
        <f t="shared" si="17"/>
        <v>4.7999999999999996E-3</v>
      </c>
      <c r="E76" s="3333"/>
      <c r="F76" s="3329"/>
      <c r="G76" s="3343">
        <f t="shared" si="22"/>
        <v>4.7999999999999996E-3</v>
      </c>
      <c r="H76" s="3344">
        <f t="shared" si="18"/>
        <v>4.7999999999999996E-3</v>
      </c>
      <c r="I76" s="3306">
        <v>0.08</v>
      </c>
      <c r="J76" s="3332">
        <f t="shared" si="19"/>
        <v>9.5999999999999992E-3</v>
      </c>
      <c r="K76" s="3332">
        <f t="shared" si="20"/>
        <v>4.7999999999999996E-3</v>
      </c>
      <c r="L76" s="3332">
        <v>0</v>
      </c>
      <c r="M76" s="3332">
        <f t="shared" si="21"/>
        <v>-4.7999999999999996E-3</v>
      </c>
      <c r="N76" s="3332">
        <f t="shared" si="21"/>
        <v>-9.5999999999999992E-3</v>
      </c>
      <c r="O76" s="3313"/>
      <c r="P76" s="1798"/>
      <c r="Q76" s="1798"/>
      <c r="AE76" s="3313"/>
      <c r="AF76" s="3313"/>
      <c r="AG76" s="3313"/>
      <c r="AH76" s="3313"/>
      <c r="AI76" s="3313"/>
      <c r="AJ76" s="3313"/>
    </row>
    <row r="77" spans="1:36" s="1274" customFormat="1" ht="24">
      <c r="A77" s="3318" t="s">
        <v>949</v>
      </c>
      <c r="B77" s="3337" t="str">
        <f>估价对象房地状况!C22</f>
        <v>估价对象所在区域基础设施水平</v>
      </c>
      <c r="C77" s="3390" t="s">
        <v>3286</v>
      </c>
      <c r="D77" s="3327">
        <f t="shared" si="17"/>
        <v>1.0800000000000001E-2</v>
      </c>
      <c r="E77" s="3333"/>
      <c r="F77" s="3329"/>
      <c r="G77" s="3343">
        <f t="shared" si="22"/>
        <v>5.4000000000000003E-3</v>
      </c>
      <c r="H77" s="3344">
        <f t="shared" si="18"/>
        <v>5.4000000000000003E-3</v>
      </c>
      <c r="I77" s="3306">
        <v>0.09</v>
      </c>
      <c r="J77" s="3332">
        <f t="shared" si="19"/>
        <v>1.0800000000000001E-2</v>
      </c>
      <c r="K77" s="3332">
        <f t="shared" si="20"/>
        <v>5.4000000000000003E-3</v>
      </c>
      <c r="L77" s="3332">
        <v>0</v>
      </c>
      <c r="M77" s="3332">
        <f t="shared" si="21"/>
        <v>-5.4000000000000003E-3</v>
      </c>
      <c r="N77" s="3332">
        <f t="shared" si="21"/>
        <v>-1.0800000000000001E-2</v>
      </c>
      <c r="O77" s="3313"/>
      <c r="P77" s="1798"/>
      <c r="Q77" s="1798"/>
      <c r="AE77" s="3313"/>
      <c r="AF77" s="3313"/>
      <c r="AG77" s="3313"/>
      <c r="AH77" s="3313"/>
      <c r="AI77" s="3313"/>
      <c r="AJ77" s="3313"/>
    </row>
    <row r="78" spans="1:36" s="1274" customFormat="1" ht="24">
      <c r="A78" s="3318" t="s">
        <v>947</v>
      </c>
      <c r="B78" s="3335" t="s">
        <v>2199</v>
      </c>
      <c r="C78" s="3390" t="s">
        <v>3286</v>
      </c>
      <c r="D78" s="3327">
        <f t="shared" si="17"/>
        <v>6.0000000000000001E-3</v>
      </c>
      <c r="E78" s="3333"/>
      <c r="F78" s="3329"/>
      <c r="G78" s="3343">
        <f t="shared" si="22"/>
        <v>3.0000000000000001E-3</v>
      </c>
      <c r="H78" s="3344">
        <f t="shared" si="18"/>
        <v>3.0000000000000001E-3</v>
      </c>
      <c r="I78" s="3306">
        <v>0.05</v>
      </c>
      <c r="J78" s="3332">
        <f t="shared" si="19"/>
        <v>6.0000000000000001E-3</v>
      </c>
      <c r="K78" s="3332">
        <f t="shared" si="20"/>
        <v>3.0000000000000001E-3</v>
      </c>
      <c r="L78" s="3332">
        <v>0</v>
      </c>
      <c r="M78" s="3332">
        <f t="shared" si="21"/>
        <v>-3.0000000000000001E-3</v>
      </c>
      <c r="N78" s="3332">
        <f t="shared" si="21"/>
        <v>-6.0000000000000001E-3</v>
      </c>
      <c r="O78" s="3313"/>
      <c r="P78" s="1798"/>
      <c r="Q78" s="1798"/>
      <c r="AE78" s="3313"/>
      <c r="AF78" s="3313"/>
      <c r="AG78" s="3313"/>
      <c r="AH78" s="3313"/>
      <c r="AI78" s="3313"/>
      <c r="AJ78" s="3313"/>
    </row>
    <row r="79" spans="1:36" s="1274" customFormat="1" ht="24">
      <c r="A79" s="3318" t="s">
        <v>950</v>
      </c>
      <c r="B79" s="3325" t="str">
        <f>估价对象房地状况!C20</f>
        <v>区域自然环境：；人文环境；综合评价环境状况一般</v>
      </c>
      <c r="C79" s="3390" t="s">
        <v>3283</v>
      </c>
      <c r="D79" s="3327">
        <f t="shared" si="17"/>
        <v>7.1999999999999998E-3</v>
      </c>
      <c r="E79" s="3333"/>
      <c r="F79" s="3329"/>
      <c r="G79" s="3343">
        <f t="shared" si="22"/>
        <v>7.1999999999999998E-3</v>
      </c>
      <c r="H79" s="3344">
        <f t="shared" si="18"/>
        <v>7.1999999999999998E-3</v>
      </c>
      <c r="I79" s="3306">
        <v>0.12</v>
      </c>
      <c r="J79" s="3332">
        <f t="shared" si="19"/>
        <v>1.44E-2</v>
      </c>
      <c r="K79" s="3332">
        <f t="shared" si="20"/>
        <v>7.1999999999999998E-3</v>
      </c>
      <c r="L79" s="3332">
        <v>0</v>
      </c>
      <c r="M79" s="3332">
        <f t="shared" si="21"/>
        <v>-7.1999999999999998E-3</v>
      </c>
      <c r="N79" s="3332">
        <f t="shared" si="21"/>
        <v>-1.44E-2</v>
      </c>
      <c r="P79" s="3345"/>
      <c r="Q79" s="3345"/>
      <c r="AE79" s="3313"/>
      <c r="AF79" s="3313"/>
      <c r="AG79" s="3313"/>
      <c r="AH79" s="3313"/>
      <c r="AI79" s="3313"/>
      <c r="AJ79" s="3313"/>
    </row>
    <row r="80" spans="1:36" s="1274" customFormat="1" ht="24.75" thickBot="1">
      <c r="A80" s="3338" t="s">
        <v>957</v>
      </c>
      <c r="B80" s="3346"/>
      <c r="C80" s="3390" t="s">
        <v>3285</v>
      </c>
      <c r="D80" s="3327">
        <f t="shared" si="17"/>
        <v>-3.0000000000000001E-3</v>
      </c>
      <c r="E80" s="3340"/>
      <c r="F80" s="3329"/>
      <c r="G80" s="3343">
        <f t="shared" si="22"/>
        <v>3.0000000000000001E-3</v>
      </c>
      <c r="H80" s="3344">
        <f t="shared" si="18"/>
        <v>3.0000000000000001E-3</v>
      </c>
      <c r="I80" s="3308">
        <v>0.05</v>
      </c>
      <c r="J80" s="3332">
        <f t="shared" si="19"/>
        <v>6.0000000000000001E-3</v>
      </c>
      <c r="K80" s="3332">
        <f t="shared" si="20"/>
        <v>3.0000000000000001E-3</v>
      </c>
      <c r="L80" s="3332">
        <v>0</v>
      </c>
      <c r="M80" s="3332">
        <f t="shared" si="21"/>
        <v>-3.0000000000000001E-3</v>
      </c>
      <c r="N80" s="3332">
        <f t="shared" si="21"/>
        <v>-6.0000000000000001E-3</v>
      </c>
      <c r="AE80" s="3313"/>
      <c r="AF80" s="3313"/>
      <c r="AG80" s="3313"/>
      <c r="AH80" s="3313"/>
      <c r="AI80" s="3313"/>
      <c r="AJ80" s="3313"/>
    </row>
    <row r="81" spans="1:36" s="1274" customFormat="1" ht="15">
      <c r="A81" s="3314" t="s">
        <v>958</v>
      </c>
      <c r="B81" s="3375">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t="str">
        <f>估价对象房地状况!G15</f>
        <v>估价对象位于XX开发区，园区建设成熟度XX，产业集聚程度XX</v>
      </c>
      <c r="C83" s="3326"/>
      <c r="D83" s="3327">
        <f t="shared" ref="D83:D90" si="23">SUMIF($J$82:$N$82,C83,J83:N83)</f>
        <v>0</v>
      </c>
      <c r="E83" s="3328">
        <f>ROUND(SUM(D83:D90),4)</f>
        <v>0</v>
      </c>
      <c r="F83" s="3329" t="str">
        <f>IF(E2="工业",SUMIF(L1:L12,G2,N1:N12),"——")</f>
        <v>——</v>
      </c>
      <c r="G83" s="3330"/>
      <c r="H83" s="3331" t="str">
        <f t="shared" ref="H83:H90" si="24">IFERROR(ROUNDDOWN($F$83*I83/2,4),"——")</f>
        <v>——</v>
      </c>
      <c r="I83" s="3306">
        <v>0.26</v>
      </c>
      <c r="J83" s="3332">
        <f t="shared" ref="J83:J90" si="25">K83+$G83</f>
        <v>0</v>
      </c>
      <c r="K83" s="3332">
        <f t="shared" ref="K83:K90" si="26">$L83+$G83</f>
        <v>0</v>
      </c>
      <c r="L83" s="3332">
        <v>0</v>
      </c>
      <c r="M83" s="3332">
        <f t="shared" ref="M83:N90" si="27">L83-$G83</f>
        <v>0</v>
      </c>
      <c r="N83" s="3332">
        <f t="shared" si="27"/>
        <v>0</v>
      </c>
      <c r="AE83" s="3313"/>
      <c r="AF83" s="3313"/>
      <c r="AG83" s="3313"/>
      <c r="AH83" s="3313"/>
      <c r="AI83" s="3313"/>
      <c r="AJ83" s="3313"/>
    </row>
    <row r="84" spans="1:36" s="1274" customFormat="1" ht="36">
      <c r="A84" s="3318" t="s">
        <v>955</v>
      </c>
      <c r="B84" s="3319" t="str">
        <f>估价对象房地状况!G16</f>
        <v>估价对象周边道路状况、公共交通通达情况、停车便捷程度，综合评价交通便捷度较好</v>
      </c>
      <c r="C84" s="3326"/>
      <c r="D84" s="3327">
        <f t="shared" si="23"/>
        <v>0</v>
      </c>
      <c r="E84" s="3333"/>
      <c r="F84" s="3329"/>
      <c r="G84" s="3330"/>
      <c r="H84" s="3331" t="str">
        <f t="shared" si="24"/>
        <v>——</v>
      </c>
      <c r="I84" s="3306">
        <v>0.3</v>
      </c>
      <c r="J84" s="3332">
        <f t="shared" si="25"/>
        <v>0</v>
      </c>
      <c r="K84" s="3332">
        <f t="shared" si="26"/>
        <v>0</v>
      </c>
      <c r="L84" s="3332">
        <v>0</v>
      </c>
      <c r="M84" s="3332">
        <f t="shared" si="27"/>
        <v>0</v>
      </c>
      <c r="N84" s="3332">
        <f t="shared" si="27"/>
        <v>0</v>
      </c>
      <c r="AE84" s="3313"/>
      <c r="AF84" s="3313"/>
      <c r="AG84" s="3313"/>
      <c r="AH84" s="3313"/>
      <c r="AI84" s="3313"/>
      <c r="AJ84" s="3313"/>
    </row>
    <row r="85" spans="1:36" s="1274" customFormat="1" ht="24">
      <c r="A85" s="3318" t="s">
        <v>944</v>
      </c>
      <c r="B85" s="3319">
        <f>估价对象房地状况!G17</f>
        <v>0</v>
      </c>
      <c r="C85" s="3326"/>
      <c r="D85" s="3327">
        <f t="shared" si="23"/>
        <v>0</v>
      </c>
      <c r="E85" s="3333"/>
      <c r="F85" s="3329"/>
      <c r="G85" s="3330"/>
      <c r="H85" s="3331" t="str">
        <f t="shared" si="24"/>
        <v>——</v>
      </c>
      <c r="I85" s="3306">
        <v>0.1</v>
      </c>
      <c r="J85" s="3332">
        <f t="shared" si="25"/>
        <v>0</v>
      </c>
      <c r="K85" s="3332">
        <f t="shared" si="26"/>
        <v>0</v>
      </c>
      <c r="L85" s="3332">
        <v>0</v>
      </c>
      <c r="M85" s="3332">
        <f t="shared" si="27"/>
        <v>0</v>
      </c>
      <c r="N85" s="3332">
        <f t="shared" si="27"/>
        <v>0</v>
      </c>
      <c r="AE85" s="3313"/>
      <c r="AF85" s="3313"/>
      <c r="AG85" s="3313"/>
      <c r="AH85" s="3313"/>
      <c r="AI85" s="3313"/>
      <c r="AJ85" s="3313"/>
    </row>
    <row r="86" spans="1:36" s="1274" customFormat="1" ht="14.25">
      <c r="A86" s="3318" t="s">
        <v>956</v>
      </c>
      <c r="B86" s="3319">
        <f>估价对象房地状况!G22</f>
        <v>0</v>
      </c>
      <c r="C86" s="3326"/>
      <c r="D86" s="3327">
        <f t="shared" si="23"/>
        <v>0</v>
      </c>
      <c r="E86" s="3333"/>
      <c r="F86" s="3329"/>
      <c r="G86" s="3330"/>
      <c r="H86" s="3331" t="str">
        <f t="shared" si="24"/>
        <v>——</v>
      </c>
      <c r="I86" s="3306">
        <v>0.05</v>
      </c>
      <c r="J86" s="3332">
        <f t="shared" si="25"/>
        <v>0</v>
      </c>
      <c r="K86" s="3332">
        <f t="shared" si="26"/>
        <v>0</v>
      </c>
      <c r="L86" s="3332">
        <v>0</v>
      </c>
      <c r="M86" s="3332">
        <f t="shared" si="27"/>
        <v>0</v>
      </c>
      <c r="N86" s="3332">
        <f t="shared" si="27"/>
        <v>0</v>
      </c>
      <c r="AE86" s="3313"/>
      <c r="AF86" s="3313"/>
      <c r="AG86" s="3313"/>
      <c r="AH86" s="3313"/>
      <c r="AI86" s="3313"/>
      <c r="AJ86" s="3313"/>
    </row>
    <row r="87" spans="1:36" s="1274" customFormat="1" ht="24">
      <c r="A87" s="3318" t="s">
        <v>948</v>
      </c>
      <c r="B87" s="3337" t="str">
        <f>估价对象房地状况!G19</f>
        <v>估价对象所在区域公共配套设施齐备情况</v>
      </c>
      <c r="C87" s="3326"/>
      <c r="D87" s="3327">
        <f t="shared" si="23"/>
        <v>0</v>
      </c>
      <c r="E87" s="3333"/>
      <c r="F87" s="3329"/>
      <c r="G87" s="3330"/>
      <c r="H87" s="3331" t="str">
        <f t="shared" si="24"/>
        <v>——</v>
      </c>
      <c r="I87" s="3306">
        <v>0.06</v>
      </c>
      <c r="J87" s="3332">
        <f t="shared" si="25"/>
        <v>0</v>
      </c>
      <c r="K87" s="3332">
        <f t="shared" si="26"/>
        <v>0</v>
      </c>
      <c r="L87" s="3332">
        <v>0</v>
      </c>
      <c r="M87" s="3332">
        <f t="shared" si="27"/>
        <v>0</v>
      </c>
      <c r="N87" s="3332">
        <f t="shared" si="27"/>
        <v>0</v>
      </c>
      <c r="AE87" s="3313"/>
      <c r="AF87" s="3313"/>
      <c r="AG87" s="3313"/>
      <c r="AH87" s="3313"/>
      <c r="AI87" s="3313"/>
      <c r="AJ87" s="3313"/>
    </row>
    <row r="88" spans="1:36" s="1274" customFormat="1" ht="24">
      <c r="A88" s="3318" t="s">
        <v>949</v>
      </c>
      <c r="B88" s="3337" t="str">
        <f>估价对象房地状况!G20</f>
        <v>估价对象所在区域基础设施水平</v>
      </c>
      <c r="C88" s="3326"/>
      <c r="D88" s="3327">
        <f t="shared" si="23"/>
        <v>0</v>
      </c>
      <c r="E88" s="3333"/>
      <c r="F88" s="3329"/>
      <c r="G88" s="3330"/>
      <c r="H88" s="3331" t="str">
        <f t="shared" si="24"/>
        <v>——</v>
      </c>
      <c r="I88" s="3306">
        <v>0.12</v>
      </c>
      <c r="J88" s="3332">
        <f t="shared" si="25"/>
        <v>0</v>
      </c>
      <c r="K88" s="3332">
        <f t="shared" si="26"/>
        <v>0</v>
      </c>
      <c r="L88" s="3332">
        <v>0</v>
      </c>
      <c r="M88" s="3332">
        <f t="shared" si="27"/>
        <v>0</v>
      </c>
      <c r="N88" s="3332">
        <f t="shared" si="27"/>
        <v>0</v>
      </c>
      <c r="AE88" s="3313"/>
      <c r="AF88" s="3313"/>
      <c r="AG88" s="3313"/>
      <c r="AH88" s="3313"/>
      <c r="AI88" s="3313"/>
      <c r="AJ88" s="3313"/>
    </row>
    <row r="89" spans="1:36" s="1274" customFormat="1" ht="24">
      <c r="A89" s="3318" t="s">
        <v>947</v>
      </c>
      <c r="B89" s="3335" t="s">
        <v>2199</v>
      </c>
      <c r="C89" s="3326"/>
      <c r="D89" s="3327">
        <f t="shared" si="23"/>
        <v>0</v>
      </c>
      <c r="E89" s="3333"/>
      <c r="F89" s="3329"/>
      <c r="G89" s="3330"/>
      <c r="H89" s="3331" t="str">
        <f t="shared" si="24"/>
        <v>——</v>
      </c>
      <c r="I89" s="3306">
        <v>0.06</v>
      </c>
      <c r="J89" s="3332">
        <f t="shared" si="25"/>
        <v>0</v>
      </c>
      <c r="K89" s="3332">
        <f t="shared" si="26"/>
        <v>0</v>
      </c>
      <c r="L89" s="3332">
        <v>0</v>
      </c>
      <c r="M89" s="3332">
        <f t="shared" si="27"/>
        <v>0</v>
      </c>
      <c r="N89" s="3332">
        <f t="shared" si="27"/>
        <v>0</v>
      </c>
      <c r="AE89" s="3313"/>
      <c r="AF89" s="3313"/>
      <c r="AG89" s="3313"/>
      <c r="AH89" s="3313"/>
      <c r="AI89" s="3313"/>
      <c r="AJ89" s="3313"/>
    </row>
    <row r="90" spans="1:36" s="1274" customFormat="1" ht="36.75" thickBot="1">
      <c r="A90" s="3338" t="s">
        <v>960</v>
      </c>
      <c r="B90" s="3347" t="str">
        <f>估价对象房地状况!G18</f>
        <v>该园区内是否有污染型企业，绿化情况，卫生条件，整体环境状况判断</v>
      </c>
      <c r="C90" s="3326"/>
      <c r="D90" s="3327">
        <f t="shared" si="23"/>
        <v>0</v>
      </c>
      <c r="E90" s="3340"/>
      <c r="F90" s="3329"/>
      <c r="G90" s="3330"/>
      <c r="H90" s="3331" t="str">
        <f t="shared" si="24"/>
        <v>——</v>
      </c>
      <c r="I90" s="3308">
        <v>0.05</v>
      </c>
      <c r="J90" s="3332">
        <f t="shared" si="25"/>
        <v>0</v>
      </c>
      <c r="K90" s="3332">
        <f t="shared" si="26"/>
        <v>0</v>
      </c>
      <c r="L90" s="3332">
        <v>0</v>
      </c>
      <c r="M90" s="3332">
        <f t="shared" si="27"/>
        <v>0</v>
      </c>
      <c r="N90" s="3332">
        <f t="shared" si="27"/>
        <v>0</v>
      </c>
      <c r="AE90" s="3313"/>
      <c r="AF90" s="3313"/>
      <c r="AG90" s="3313"/>
      <c r="AH90" s="3313"/>
      <c r="AI90" s="3313"/>
      <c r="AJ90" s="3313"/>
    </row>
    <row r="91" spans="1:36" s="1274" customFormat="1" ht="15">
      <c r="A91" s="3302" t="s">
        <v>3225</v>
      </c>
      <c r="B91" s="3375">
        <f>1+E93</f>
        <v>1</v>
      </c>
      <c r="C91" s="3349"/>
      <c r="D91" s="3349"/>
      <c r="E91" s="3350"/>
      <c r="F91" s="3329"/>
      <c r="G91" s="3351"/>
      <c r="H91" s="3352"/>
      <c r="I91" s="3353"/>
      <c r="J91" s="3354"/>
      <c r="K91" s="3354"/>
      <c r="L91" s="3354"/>
      <c r="M91" s="3354"/>
      <c r="N91" s="3354"/>
      <c r="AE91" s="3313"/>
      <c r="AF91" s="3313"/>
      <c r="AG91" s="3313"/>
      <c r="AH91" s="3313"/>
      <c r="AI91" s="3313"/>
      <c r="AJ91" s="3313"/>
    </row>
    <row r="92" spans="1:36" s="1274" customFormat="1" ht="24">
      <c r="A92" s="3303" t="s">
        <v>3226</v>
      </c>
      <c r="B92" s="3303"/>
      <c r="C92" s="3303" t="s">
        <v>3231</v>
      </c>
      <c r="D92" s="3303" t="s">
        <v>3218</v>
      </c>
      <c r="E92" s="346" t="s">
        <v>3219</v>
      </c>
      <c r="F92" s="3357"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6" t="s">
        <v>3227</v>
      </c>
      <c r="B93" s="3305"/>
      <c r="C93" s="3326"/>
      <c r="D93" s="3327">
        <f>SUMIF($J$92:$N$92,C93,J93:N93)</f>
        <v>0</v>
      </c>
      <c r="E93" s="3358">
        <f>ROUND(SUM(D93:D101),4)</f>
        <v>0</v>
      </c>
      <c r="F93" s="3329" t="str">
        <f>IF(E2="公共服务",SUMIF(L1:L12,G2,N1:N12),"——")</f>
        <v>——</v>
      </c>
      <c r="G93" s="3343"/>
      <c r="H93" s="3331" t="str">
        <f>IFERROR(ROUNDDOWN($F$93*I93/2,4),"——")</f>
        <v>——</v>
      </c>
      <c r="I93" s="3306">
        <v>0.25</v>
      </c>
      <c r="J93" s="3355">
        <f>K93+$G93</f>
        <v>0</v>
      </c>
      <c r="K93" s="3355">
        <f t="shared" ref="K93:K101" si="28">$L93+$G93</f>
        <v>0</v>
      </c>
      <c r="L93" s="3355">
        <v>0</v>
      </c>
      <c r="M93" s="3355">
        <f t="shared" ref="M93:N93" si="29">L93-$G93</f>
        <v>0</v>
      </c>
      <c r="N93" s="3355">
        <f t="shared" si="29"/>
        <v>0</v>
      </c>
      <c r="AE93" s="3313"/>
      <c r="AF93" s="3313"/>
      <c r="AG93" s="3313"/>
      <c r="AH93" s="3313"/>
      <c r="AI93" s="3313"/>
      <c r="AJ93" s="3313"/>
    </row>
    <row r="94" spans="1:36" s="1274" customFormat="1" ht="36">
      <c r="A94" s="3303" t="s">
        <v>3228</v>
      </c>
      <c r="B94" s="3319" t="str">
        <f>估价对象房地状况!G16</f>
        <v>估价对象周边道路状况、公共交通通达情况、停车便捷程度，综合评价交通便捷度较好</v>
      </c>
      <c r="C94" s="3326"/>
      <c r="D94" s="3327">
        <f t="shared" ref="D94:D101" si="30">SUMIF($J$92:$N$92,C94,J94:N94)</f>
        <v>0</v>
      </c>
      <c r="E94" s="3350"/>
      <c r="F94" s="3329"/>
      <c r="G94" s="3343"/>
      <c r="H94" s="3331" t="str">
        <f t="shared" ref="H94:H101" si="31">IFERROR(ROUNDDOWN($F$93*I94/2,4),"——")</f>
        <v>——</v>
      </c>
      <c r="I94" s="3306">
        <v>0.26</v>
      </c>
      <c r="J94" s="3355">
        <f>K94+$G94</f>
        <v>0</v>
      </c>
      <c r="K94" s="3355">
        <f t="shared" si="28"/>
        <v>0</v>
      </c>
      <c r="L94" s="3355">
        <v>0</v>
      </c>
      <c r="M94" s="3355">
        <f t="shared" ref="M94:M101" si="32">L94-$G94</f>
        <v>0</v>
      </c>
      <c r="N94" s="3355">
        <f t="shared" ref="N94:N101" si="33">M94-$G94</f>
        <v>0</v>
      </c>
      <c r="AE94" s="3313"/>
      <c r="AF94" s="3313"/>
      <c r="AG94" s="3313"/>
      <c r="AH94" s="3313"/>
      <c r="AI94" s="3313"/>
      <c r="AJ94" s="3313"/>
    </row>
    <row r="95" spans="1:36" s="1274" customFormat="1" ht="36">
      <c r="A95" s="3356" t="s">
        <v>3216</v>
      </c>
      <c r="B95" s="3319">
        <f>估价对象房地状况!G17</f>
        <v>0</v>
      </c>
      <c r="C95" s="3326"/>
      <c r="D95" s="3327">
        <f t="shared" si="30"/>
        <v>0</v>
      </c>
      <c r="E95" s="3350"/>
      <c r="F95" s="3329"/>
      <c r="G95" s="3343"/>
      <c r="H95" s="3331" t="str">
        <f t="shared" si="31"/>
        <v>——</v>
      </c>
      <c r="I95" s="3306">
        <v>0.11</v>
      </c>
      <c r="J95" s="3355">
        <f t="shared" ref="J95:J101" si="34">K95+$G95</f>
        <v>0</v>
      </c>
      <c r="K95" s="3355">
        <f t="shared" si="28"/>
        <v>0</v>
      </c>
      <c r="L95" s="3355">
        <v>0</v>
      </c>
      <c r="M95" s="3355">
        <f t="shared" si="32"/>
        <v>0</v>
      </c>
      <c r="N95" s="3355">
        <f t="shared" si="33"/>
        <v>0</v>
      </c>
      <c r="AE95" s="3313"/>
      <c r="AF95" s="3313"/>
      <c r="AG95" s="3313"/>
      <c r="AH95" s="3313"/>
      <c r="AI95" s="3313"/>
      <c r="AJ95" s="3313"/>
    </row>
    <row r="96" spans="1:36" s="1274" customFormat="1" ht="36.75">
      <c r="A96" s="3303" t="s">
        <v>3220</v>
      </c>
      <c r="B96" s="3307" t="s">
        <v>3221</v>
      </c>
      <c r="C96" s="3326"/>
      <c r="D96" s="3327">
        <f t="shared" si="30"/>
        <v>0</v>
      </c>
      <c r="E96" s="3350"/>
      <c r="F96" s="3329"/>
      <c r="G96" s="3343"/>
      <c r="H96" s="3331" t="str">
        <f t="shared" si="31"/>
        <v>——</v>
      </c>
      <c r="I96" s="3306">
        <v>0.05</v>
      </c>
      <c r="J96" s="3355">
        <f t="shared" si="34"/>
        <v>0</v>
      </c>
      <c r="K96" s="3355">
        <f t="shared" si="28"/>
        <v>0</v>
      </c>
      <c r="L96" s="3355">
        <v>0</v>
      </c>
      <c r="M96" s="3355">
        <f>L96-$G96</f>
        <v>0</v>
      </c>
      <c r="N96" s="3355">
        <f t="shared" si="33"/>
        <v>0</v>
      </c>
      <c r="AE96" s="3313"/>
      <c r="AF96" s="3313"/>
      <c r="AG96" s="3313"/>
      <c r="AH96" s="3313"/>
      <c r="AI96" s="3313"/>
      <c r="AJ96" s="3313"/>
    </row>
    <row r="97" spans="1:36" s="1274" customFormat="1" ht="24">
      <c r="A97" s="3303" t="s">
        <v>3222</v>
      </c>
      <c r="B97" s="3319">
        <f>估价对象房地状况!G22</f>
        <v>0</v>
      </c>
      <c r="C97" s="3326"/>
      <c r="D97" s="3327">
        <f t="shared" si="30"/>
        <v>0</v>
      </c>
      <c r="E97" s="3350"/>
      <c r="F97" s="3329"/>
      <c r="G97" s="3343"/>
      <c r="H97" s="3331" t="str">
        <f t="shared" si="31"/>
        <v>——</v>
      </c>
      <c r="I97" s="3306">
        <v>0.05</v>
      </c>
      <c r="J97" s="3355">
        <f t="shared" si="34"/>
        <v>0</v>
      </c>
      <c r="K97" s="3355">
        <f t="shared" si="28"/>
        <v>0</v>
      </c>
      <c r="L97" s="3355">
        <v>0</v>
      </c>
      <c r="M97" s="3355">
        <f t="shared" si="32"/>
        <v>0</v>
      </c>
      <c r="N97" s="3355">
        <f t="shared" si="33"/>
        <v>0</v>
      </c>
      <c r="AE97" s="3313"/>
      <c r="AF97" s="3313"/>
      <c r="AG97" s="3313"/>
      <c r="AH97" s="3313"/>
      <c r="AI97" s="3313"/>
      <c r="AJ97" s="3313"/>
    </row>
    <row r="98" spans="1:36" s="1274" customFormat="1" ht="24">
      <c r="A98" s="3303" t="s">
        <v>3229</v>
      </c>
      <c r="B98" s="3334" t="s">
        <v>2199</v>
      </c>
      <c r="C98" s="3326"/>
      <c r="D98" s="3327">
        <f t="shared" si="30"/>
        <v>0</v>
      </c>
      <c r="E98" s="3350"/>
      <c r="F98" s="3329"/>
      <c r="G98" s="3343"/>
      <c r="H98" s="3331" t="str">
        <f t="shared" si="31"/>
        <v>——</v>
      </c>
      <c r="I98" s="3306">
        <v>0.06</v>
      </c>
      <c r="J98" s="3355">
        <f t="shared" si="34"/>
        <v>0</v>
      </c>
      <c r="K98" s="3355">
        <f t="shared" si="28"/>
        <v>0</v>
      </c>
      <c r="L98" s="3355">
        <v>0</v>
      </c>
      <c r="M98" s="3355">
        <f t="shared" si="32"/>
        <v>0</v>
      </c>
      <c r="N98" s="3355">
        <f t="shared" si="33"/>
        <v>0</v>
      </c>
      <c r="AE98" s="3313"/>
      <c r="AF98" s="3313"/>
      <c r="AG98" s="3313"/>
      <c r="AH98" s="3313"/>
      <c r="AI98" s="3313"/>
      <c r="AJ98" s="3313"/>
    </row>
    <row r="99" spans="1:36" s="1274" customFormat="1" ht="24">
      <c r="A99" s="3303" t="s">
        <v>3230</v>
      </c>
      <c r="B99" s="3319" t="str">
        <f>估价对象房地状况!C21</f>
        <v>估价对象所在区域公共配套设施齐备情况</v>
      </c>
      <c r="C99" s="3326"/>
      <c r="D99" s="3327">
        <f t="shared" si="30"/>
        <v>0</v>
      </c>
      <c r="E99" s="3350"/>
      <c r="F99" s="3329"/>
      <c r="G99" s="3343"/>
      <c r="H99" s="3331" t="str">
        <f t="shared" si="31"/>
        <v>——</v>
      </c>
      <c r="I99" s="3306">
        <v>0.06</v>
      </c>
      <c r="J99" s="3355">
        <f t="shared" si="34"/>
        <v>0</v>
      </c>
      <c r="K99" s="3355">
        <f t="shared" si="28"/>
        <v>0</v>
      </c>
      <c r="L99" s="3355">
        <v>0</v>
      </c>
      <c r="M99" s="3355">
        <f t="shared" si="32"/>
        <v>0</v>
      </c>
      <c r="N99" s="3355">
        <f t="shared" si="33"/>
        <v>0</v>
      </c>
      <c r="AE99" s="3313"/>
      <c r="AF99" s="3313"/>
      <c r="AG99" s="3313"/>
      <c r="AH99" s="3313"/>
      <c r="AI99" s="3313"/>
      <c r="AJ99" s="3313"/>
    </row>
    <row r="100" spans="1:36" s="1274" customFormat="1" ht="24">
      <c r="A100" s="3303" t="s">
        <v>3223</v>
      </c>
      <c r="B100" s="3319" t="str">
        <f>估价对象房地状况!C22</f>
        <v>估价对象所在区域基础设施水平</v>
      </c>
      <c r="C100" s="3326"/>
      <c r="D100" s="3327">
        <f t="shared" si="30"/>
        <v>0</v>
      </c>
      <c r="E100" s="3350"/>
      <c r="F100" s="3329"/>
      <c r="G100" s="3343"/>
      <c r="H100" s="3331" t="str">
        <f t="shared" si="31"/>
        <v>——</v>
      </c>
      <c r="I100" s="3306">
        <v>0.09</v>
      </c>
      <c r="J100" s="3355">
        <f t="shared" si="34"/>
        <v>0</v>
      </c>
      <c r="K100" s="3355">
        <f t="shared" si="28"/>
        <v>0</v>
      </c>
      <c r="L100" s="3355">
        <v>0</v>
      </c>
      <c r="M100" s="3355">
        <f t="shared" si="32"/>
        <v>0</v>
      </c>
      <c r="N100" s="3355">
        <f t="shared" si="33"/>
        <v>0</v>
      </c>
      <c r="AE100" s="3313"/>
      <c r="AF100" s="3313"/>
      <c r="AG100" s="3313"/>
      <c r="AH100" s="3313"/>
      <c r="AI100" s="3313"/>
      <c r="AJ100" s="3313"/>
    </row>
    <row r="101" spans="1:36" s="1274" customFormat="1" ht="24.75" thickBot="1">
      <c r="A101" s="3303" t="s">
        <v>3224</v>
      </c>
      <c r="B101" s="3325" t="str">
        <f>估价对象房地状况!C20</f>
        <v>区域自然环境：；人文环境；综合评价环境状况一般</v>
      </c>
      <c r="C101" s="3326"/>
      <c r="D101" s="3327">
        <f t="shared" si="30"/>
        <v>0</v>
      </c>
      <c r="E101" s="3350"/>
      <c r="F101" s="3329"/>
      <c r="G101" s="3343"/>
      <c r="H101" s="3331" t="str">
        <f t="shared" si="31"/>
        <v>——</v>
      </c>
      <c r="I101" s="3308">
        <v>7.0000000000000007E-2</v>
      </c>
      <c r="J101" s="3355">
        <f t="shared" si="34"/>
        <v>0</v>
      </c>
      <c r="K101" s="3355">
        <f t="shared" si="28"/>
        <v>0</v>
      </c>
      <c r="L101" s="3355">
        <v>0</v>
      </c>
      <c r="M101" s="3355">
        <f t="shared" si="32"/>
        <v>0</v>
      </c>
      <c r="N101" s="3355">
        <f t="shared" si="33"/>
        <v>0</v>
      </c>
      <c r="AE101" s="3313"/>
      <c r="AF101" s="3313"/>
      <c r="AG101" s="3313"/>
      <c r="AH101" s="3313"/>
      <c r="AI101" s="3313"/>
      <c r="AJ101" s="3313"/>
    </row>
    <row r="102" spans="1:36" s="1274" customFormat="1" ht="14.25">
      <c r="A102" s="3376"/>
      <c r="B102" s="3377"/>
      <c r="C102" s="3348"/>
      <c r="D102" s="3349"/>
      <c r="E102" s="3350"/>
      <c r="F102" s="3329"/>
      <c r="G102" s="3378"/>
      <c r="H102" s="3352"/>
      <c r="I102" s="3379"/>
      <c r="J102" s="3380"/>
      <c r="K102" s="3380"/>
      <c r="L102" s="3380"/>
      <c r="M102" s="3380"/>
      <c r="N102" s="3380"/>
      <c r="AE102" s="3313"/>
      <c r="AF102" s="3313"/>
      <c r="AG102" s="3313"/>
      <c r="AH102" s="3313"/>
      <c r="AI102" s="3313"/>
      <c r="AJ102" s="3313"/>
    </row>
    <row r="103" spans="1:36" s="1274" customFormat="1">
      <c r="K103" s="3313"/>
      <c r="AD103" s="3313"/>
      <c r="AE103" s="3313"/>
      <c r="AF103" s="3313"/>
      <c r="AG103" s="3313"/>
      <c r="AH103" s="3313"/>
      <c r="AI103" s="3313"/>
    </row>
    <row r="104" spans="1:36">
      <c r="A104" s="3621" t="s">
        <v>1172</v>
      </c>
      <c r="B104" s="3621"/>
      <c r="C104" s="3621"/>
      <c r="D104" s="3621"/>
      <c r="E104" s="3621"/>
      <c r="F104" s="3621"/>
      <c r="G104" s="3621"/>
      <c r="H104" s="3621"/>
      <c r="I104" s="3621"/>
      <c r="J104" s="3621"/>
      <c r="K104" s="1000"/>
      <c r="L104" s="1000"/>
      <c r="M104" s="1000"/>
      <c r="N104" s="1000"/>
    </row>
    <row r="105" spans="1:36">
      <c r="A105" s="3622" t="s">
        <v>1161</v>
      </c>
      <c r="B105" s="3622" t="s">
        <v>1173</v>
      </c>
      <c r="C105" s="988" t="s">
        <v>1174</v>
      </c>
      <c r="D105" s="989"/>
      <c r="E105" s="989"/>
      <c r="F105" s="989"/>
      <c r="G105" s="989"/>
      <c r="H105" s="989"/>
      <c r="I105" s="989"/>
      <c r="J105" s="990"/>
      <c r="K105" s="983"/>
      <c r="L105" s="983"/>
      <c r="M105" s="983"/>
      <c r="N105" s="983"/>
    </row>
    <row r="106" spans="1:36">
      <c r="A106" s="3622"/>
      <c r="B106" s="3622"/>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11"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12"/>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12"/>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12"/>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12"/>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12"/>
      <c r="B112" s="991" t="s">
        <v>3232</v>
      </c>
      <c r="C112" s="993">
        <f>$I$3</f>
        <v>0</v>
      </c>
      <c r="D112" s="993">
        <f t="shared" ref="D112:N112" si="35">$I$3</f>
        <v>0</v>
      </c>
      <c r="E112" s="993">
        <f t="shared" si="35"/>
        <v>0</v>
      </c>
      <c r="F112" s="993">
        <f t="shared" si="35"/>
        <v>0</v>
      </c>
      <c r="G112" s="993">
        <f t="shared" si="35"/>
        <v>0</v>
      </c>
      <c r="H112" s="993">
        <f t="shared" si="35"/>
        <v>0</v>
      </c>
      <c r="I112" s="993">
        <f t="shared" si="35"/>
        <v>0</v>
      </c>
      <c r="J112" s="993">
        <f t="shared" si="35"/>
        <v>0</v>
      </c>
      <c r="K112" s="993">
        <f t="shared" si="35"/>
        <v>0</v>
      </c>
      <c r="L112" s="993">
        <f t="shared" si="35"/>
        <v>0</v>
      </c>
      <c r="M112" s="993">
        <f t="shared" si="35"/>
        <v>0</v>
      </c>
      <c r="N112" s="993">
        <f t="shared" si="35"/>
        <v>0</v>
      </c>
    </row>
    <row r="113" spans="1:14">
      <c r="A113" s="3613"/>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18" t="s">
        <v>1175</v>
      </c>
      <c r="B114" s="3618"/>
      <c r="C114" s="3618"/>
      <c r="D114" s="3618"/>
      <c r="E114" s="3618"/>
      <c r="F114" s="3618"/>
      <c r="G114" s="3618"/>
      <c r="H114" s="3618"/>
      <c r="I114" s="3618"/>
      <c r="J114" s="3618"/>
      <c r="K114" s="1968"/>
      <c r="L114" s="1968"/>
      <c r="M114" s="1968"/>
      <c r="N114" s="1968"/>
    </row>
    <row r="116" spans="1:14" ht="12.75" thickBot="1"/>
    <row r="117" spans="1:14" ht="25.5" thickBot="1">
      <c r="A117" s="926" t="s">
        <v>831</v>
      </c>
      <c r="B117" s="1969">
        <f>G3</f>
        <v>1</v>
      </c>
      <c r="C117" s="927" t="s">
        <v>832</v>
      </c>
      <c r="D117" s="928" t="e">
        <f>SUMPRODUCT((A118:A122=F116)*(B117:M117=H116)*B118:M122)</f>
        <v>#VALUE!</v>
      </c>
      <c r="E117" s="929" t="s">
        <v>833</v>
      </c>
      <c r="F117" s="930" t="str">
        <f>E2</f>
        <v>住宅</v>
      </c>
      <c r="G117" s="929" t="s">
        <v>834</v>
      </c>
      <c r="H117" s="930" t="str">
        <f>G2</f>
        <v>六级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9" t="s">
        <v>3233</v>
      </c>
      <c r="B119" s="3304">
        <f>ROUND(0.9968-0.011*B117,4)</f>
        <v>0.98580000000000001</v>
      </c>
      <c r="C119" s="3304">
        <f>B119</f>
        <v>0.98580000000000001</v>
      </c>
      <c r="D119" s="3304">
        <f>ROUND(0.949-0.014*B117,4)</f>
        <v>0.93500000000000005</v>
      </c>
      <c r="E119" s="3304">
        <f>D119</f>
        <v>0.93500000000000005</v>
      </c>
      <c r="F119" s="3304">
        <f>E119</f>
        <v>0.93500000000000005</v>
      </c>
      <c r="G119" s="3304">
        <f>F119</f>
        <v>0.93500000000000005</v>
      </c>
      <c r="H119" s="3304">
        <f>G119</f>
        <v>0.93500000000000005</v>
      </c>
      <c r="I119" s="3304">
        <f>ROUND(0.8486-0.018*B117,4)</f>
        <v>0.8306</v>
      </c>
      <c r="J119" s="3304">
        <f t="shared" ref="J119:M123" si="36">I119</f>
        <v>0.8306</v>
      </c>
      <c r="K119" s="3304">
        <f t="shared" si="36"/>
        <v>0.8306</v>
      </c>
      <c r="L119" s="3304">
        <f t="shared" si="36"/>
        <v>0.8306</v>
      </c>
      <c r="M119" s="3362">
        <f t="shared" si="36"/>
        <v>0.8306</v>
      </c>
    </row>
    <row r="120" spans="1:14" ht="12.75">
      <c r="A120" s="3359" t="s">
        <v>3234</v>
      </c>
      <c r="B120" s="3304">
        <f>ROUND(0.993-0.0112*B117,4)</f>
        <v>0.98180000000000001</v>
      </c>
      <c r="C120" s="3304">
        <f>B120</f>
        <v>0.98180000000000001</v>
      </c>
      <c r="D120" s="3304">
        <f>ROUND(0.9415-0.0142*B117,4)</f>
        <v>0.92730000000000001</v>
      </c>
      <c r="E120" s="3304">
        <f t="shared" ref="E120:H121" si="37">D120</f>
        <v>0.92730000000000001</v>
      </c>
      <c r="F120" s="3304">
        <f t="shared" si="37"/>
        <v>0.92730000000000001</v>
      </c>
      <c r="G120" s="3304">
        <f t="shared" si="37"/>
        <v>0.92730000000000001</v>
      </c>
      <c r="H120" s="3304">
        <f t="shared" si="37"/>
        <v>0.92730000000000001</v>
      </c>
      <c r="I120" s="3304">
        <f>ROUND(0.838-0.0182*B117,4)</f>
        <v>0.81979999999999997</v>
      </c>
      <c r="J120" s="3304">
        <f t="shared" si="36"/>
        <v>0.81979999999999997</v>
      </c>
      <c r="K120" s="3304">
        <f t="shared" si="36"/>
        <v>0.81979999999999997</v>
      </c>
      <c r="L120" s="3304">
        <f t="shared" si="36"/>
        <v>0.81979999999999997</v>
      </c>
      <c r="M120" s="3362">
        <f t="shared" si="36"/>
        <v>0.81979999999999997</v>
      </c>
    </row>
    <row r="121" spans="1:14" ht="12.75">
      <c r="A121" s="3359" t="s">
        <v>3235</v>
      </c>
      <c r="B121" s="3304">
        <f>ROUND(0.9448-0.0115*B117,4)</f>
        <v>0.93330000000000002</v>
      </c>
      <c r="C121" s="3304">
        <f>B121</f>
        <v>0.93330000000000002</v>
      </c>
      <c r="D121" s="3304">
        <f>ROUND(0.937-0.0145*B117,4)</f>
        <v>0.92249999999999999</v>
      </c>
      <c r="E121" s="3304">
        <f t="shared" si="37"/>
        <v>0.92249999999999999</v>
      </c>
      <c r="F121" s="3304">
        <f t="shared" si="37"/>
        <v>0.92249999999999999</v>
      </c>
      <c r="G121" s="3304">
        <f t="shared" si="37"/>
        <v>0.92249999999999999</v>
      </c>
      <c r="H121" s="3304">
        <f t="shared" si="37"/>
        <v>0.92249999999999999</v>
      </c>
      <c r="I121" s="3304">
        <f>ROUND(0.7965-0.0185*B117,4)</f>
        <v>0.77800000000000002</v>
      </c>
      <c r="J121" s="3304">
        <f t="shared" si="36"/>
        <v>0.77800000000000002</v>
      </c>
      <c r="K121" s="3304">
        <f t="shared" si="36"/>
        <v>0.77800000000000002</v>
      </c>
      <c r="L121" s="3304">
        <f t="shared" si="36"/>
        <v>0.77800000000000002</v>
      </c>
      <c r="M121" s="3362">
        <f t="shared" si="36"/>
        <v>0.77800000000000002</v>
      </c>
    </row>
    <row r="122" spans="1:14" ht="13.5" thickBot="1">
      <c r="A122" s="3360" t="s">
        <v>3236</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3217</v>
      </c>
      <c r="B123" s="3304">
        <f>ROUND(0.9404-0.0106*B117,4)</f>
        <v>0.92979999999999996</v>
      </c>
      <c r="C123" s="3304">
        <f>B123</f>
        <v>0.92979999999999996</v>
      </c>
      <c r="D123" s="3304">
        <f>ROUND(0.8955-0.0135*B117,4)</f>
        <v>0.88200000000000001</v>
      </c>
      <c r="E123" s="3304">
        <f t="shared" ref="E123:H123" si="38">D123</f>
        <v>0.88200000000000001</v>
      </c>
      <c r="F123" s="3304">
        <f t="shared" si="38"/>
        <v>0.88200000000000001</v>
      </c>
      <c r="G123" s="3304">
        <f t="shared" si="38"/>
        <v>0.88200000000000001</v>
      </c>
      <c r="H123" s="3304">
        <f t="shared" si="38"/>
        <v>0.88200000000000001</v>
      </c>
      <c r="I123" s="3304">
        <f>ROUND(0.7632-0.0166*B117,4)</f>
        <v>0.74660000000000004</v>
      </c>
      <c r="J123" s="3304">
        <f t="shared" si="36"/>
        <v>0.74660000000000004</v>
      </c>
      <c r="K123" s="3304">
        <f t="shared" si="36"/>
        <v>0.74660000000000004</v>
      </c>
      <c r="L123" s="3304">
        <f t="shared" si="36"/>
        <v>0.74660000000000004</v>
      </c>
      <c r="M123" s="3362">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10" zoomScale="80" zoomScaleNormal="80" zoomScaleSheetLayoutView="80" workbookViewId="0">
      <selection activeCell="F25" sqref="F25"/>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851</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f ca="1">C36</f>
        <v>4025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42747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60986</v>
      </c>
      <c r="C4" s="398">
        <f ca="1">ROUND(B4*基准地价!C24,0)</f>
        <v>56632</v>
      </c>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4066</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6698.5549000000001</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941.58999999999992</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3415">
        <f>'不动产比较法-住宅'!E50/10000</f>
        <v>6698.5549000000001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518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21</v>
      </c>
      <c r="D14" s="2150"/>
      <c r="E14" s="339"/>
      <c r="F14" s="2154">
        <f>'数据-取费表'!B33</f>
        <v>0.04</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16</v>
      </c>
      <c r="D15" s="2150"/>
      <c r="E15" s="339"/>
      <c r="F15" s="2154">
        <f>'数据-取费表'!B34</f>
        <v>0.03</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19</v>
      </c>
      <c r="D16" s="2150">
        <f ca="1">IF(B1="",'数据-汇总表'!E3,INDIRECT("'数据-取费表'!K"&amp;$K$1)+INDIRECT("'数据-取费表'!S"&amp;$K$1))</f>
        <v>941.58999999999992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8</v>
      </c>
      <c r="D17" s="444"/>
      <c r="E17" s="2153"/>
      <c r="F17" s="2154">
        <f>'数据-取费表'!B36</f>
        <v>1.4999999999999999E-2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582</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941.58999999999992</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15</v>
      </c>
      <c r="D20" s="2159"/>
      <c r="E20" s="1631"/>
      <c r="F20" s="2160"/>
      <c r="G20" s="2344" t="s">
        <v>3337</v>
      </c>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15</v>
      </c>
      <c r="D21" s="2150">
        <f ca="1">IF(B1="",'数据-汇总表'!E5,IF(INDIRECT("'数据-取费表'!c"&amp;$K$1)="住宅",INDIRECT("'数据-取费表'!k"&amp;$K$1),0))</f>
        <v>941.58999999999992</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12</v>
      </c>
      <c r="D23" s="437"/>
      <c r="E23" s="437"/>
      <c r="F23" s="2161">
        <f>'数据-取费表'!B37</f>
        <v>0.02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167</v>
      </c>
      <c r="D24" s="444"/>
      <c r="E24" s="442"/>
      <c r="F24" s="2161">
        <f>'数据-取费表'!B38</f>
        <v>2.5000000000000001E-2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3762">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37</v>
      </c>
      <c r="D26" s="436">
        <f ca="1">C27</f>
        <v>0.10009999999999999</v>
      </c>
      <c r="E26" s="438" t="s">
        <v>455</v>
      </c>
      <c r="F26" s="440">
        <f ca="1">'数据-取费表'!B40</f>
        <v>4.7500000000000001E-2</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0.10009999999999999</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37</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357</v>
      </c>
      <c r="D29" s="437"/>
      <c r="E29" s="437"/>
      <c r="F29" s="2321">
        <f>'数据-取费表'!B41</f>
        <v>5.6000000000000001E-2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1170</v>
      </c>
      <c r="D30" s="446">
        <f ca="1">C32</f>
        <v>0.12909999999999999</v>
      </c>
      <c r="E30" s="438" t="s">
        <v>455</v>
      </c>
      <c r="F30" s="440"/>
      <c r="G30" s="2126" t="s">
        <v>2230</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1170</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0.12909999999999999</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155</v>
      </c>
      <c r="D33" s="436">
        <f ca="1">C34</f>
        <v>0.20580000000000001</v>
      </c>
      <c r="E33" s="438" t="s">
        <v>455</v>
      </c>
      <c r="F33" s="448">
        <f ca="1">IF(B1="",'数据-取费表'!Q16,INDIRECT("'数据-取费表'!q"&amp;$K$1))</f>
        <v>0.2</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0.20580000000000001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155</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4025</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39" t="str">
        <f>项目基本情况!B1</f>
        <v>北京市出让国有建设用地使用权市场价格预评估</v>
      </c>
      <c r="C37" s="3439"/>
      <c r="D37" s="3439"/>
      <c r="E37" s="3439"/>
      <c r="F37" s="3439"/>
      <c r="G37" s="3439"/>
      <c r="H37" s="3439"/>
      <c r="I37" s="3439"/>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518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21</v>
      </c>
      <c r="D14" s="420"/>
      <c r="E14" s="339"/>
      <c r="F14" s="425">
        <f>'数据-取费表'!B33</f>
        <v>0.04</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16</v>
      </c>
      <c r="D15" s="420"/>
      <c r="E15" s="339"/>
      <c r="F15" s="425">
        <f>'数据-取费表'!B34</f>
        <v>0.03</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19</v>
      </c>
      <c r="D16" s="420">
        <f ca="1">IF(B1="",'数据-汇总表'!E3,INDIRECT("'数据-取费表'!K"&amp;$K$1)+INDIRECT("'数据-取费表'!S"&amp;$K$1))</f>
        <v>941.58999999999992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8</v>
      </c>
      <c r="D17" s="424"/>
      <c r="E17" s="423"/>
      <c r="F17" s="425">
        <f>'数据-取费表'!B36</f>
        <v>1.4999999999999999E-2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582</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12</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28</v>
      </c>
      <c r="D20" s="431">
        <f ca="1">ROUND(((1+F20)^'数据-取费表'!B20)-1,4)</f>
        <v>9.7299999999999998E-2</v>
      </c>
      <c r="E20" s="431"/>
      <c r="F20" s="440">
        <f ca="1">'数据-取费表'!B40</f>
        <v>4.7500000000000001E-2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2296</v>
      </c>
      <c r="B21" s="2316" t="s">
        <v>2107</v>
      </c>
      <c r="C21" s="447">
        <f ca="1">ROUND((C18+C19)*F21,0)</f>
        <v>119</v>
      </c>
      <c r="D21" s="2787"/>
      <c r="E21" s="431"/>
      <c r="F21" s="448">
        <f ca="1">IF(B1="",'数据-取费表'!Q16,INDIRECT("'数据-取费表'!q"&amp;$K$1))</f>
        <v>0.2</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2297</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623" t="s">
        <v>1394</v>
      </c>
      <c r="B24" s="3624"/>
      <c r="C24" s="2797">
        <f>ROUND(C6*F24/(1+'数据-取费表'!B42),0)</f>
        <v>0</v>
      </c>
      <c r="D24" s="2798"/>
      <c r="E24" s="2799"/>
      <c r="F24" s="2800">
        <f>'数据-取费表'!B41</f>
        <v>5.6000000000000001E-2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623" t="s">
        <v>2294</v>
      </c>
      <c r="B25" s="3624"/>
      <c r="C25" s="2797">
        <f>ROUND(C6*F25,0)</f>
        <v>0</v>
      </c>
      <c r="D25" s="2798"/>
      <c r="E25" s="2799"/>
      <c r="F25" s="2803">
        <f>'数据-取费表'!B38</f>
        <v>2.5000000000000001E-2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623" t="s">
        <v>2295</v>
      </c>
      <c r="B26" s="3624"/>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25" t="s">
        <v>2293</v>
      </c>
      <c r="B27" s="3626"/>
      <c r="C27" s="2805">
        <f ca="1">(C6-C23-C24-C25)/((1+F26)*(1+D20+F21))</f>
        <v>0</v>
      </c>
      <c r="D27" s="2806"/>
      <c r="E27" s="2806"/>
      <c r="F27" s="2806"/>
      <c r="G27" s="2807" t="s">
        <v>2231</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268"/>
  <sheetViews>
    <sheetView view="pageBreakPreview" topLeftCell="A28" zoomScale="110" zoomScaleNormal="60" zoomScaleSheetLayoutView="110" workbookViewId="0">
      <selection activeCell="I47" sqref="I47"/>
    </sheetView>
  </sheetViews>
  <sheetFormatPr defaultColWidth="9" defaultRowHeight="14.25"/>
  <cols>
    <col min="1" max="1" width="10.5" style="1131" customWidth="1"/>
    <col min="2" max="2" width="15.75" style="1131" customWidth="1"/>
    <col min="3" max="3" width="16.5" style="1131" customWidth="1"/>
    <col min="4" max="4" width="12.25" style="1131" customWidth="1"/>
    <col min="5" max="5" width="16.375" style="1131" customWidth="1"/>
    <col min="6" max="6" width="12.25" style="1131" customWidth="1"/>
    <col min="7" max="7" width="18.375" style="1131" customWidth="1"/>
    <col min="8" max="8" width="12.25" style="1131" customWidth="1"/>
    <col min="9" max="9" width="16.87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3724</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9160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97280</v>
      </c>
      <c r="C3" s="786" t="s">
        <v>669</v>
      </c>
      <c r="D3" s="785">
        <f>SUMIF('数据-汇总表'!$C19:$C33,D1,'数据-汇总表'!$E19:$E33)</f>
        <v>941.58999999999992</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6.899999999999999" customHeight="1">
      <c r="A4" s="463" t="s">
        <v>470</v>
      </c>
      <c r="B4" s="464"/>
      <c r="C4" s="3640" t="s">
        <v>471</v>
      </c>
      <c r="D4" s="3641"/>
      <c r="E4" s="3642" t="s">
        <v>472</v>
      </c>
      <c r="F4" s="3643"/>
      <c r="G4" s="3640" t="s">
        <v>473</v>
      </c>
      <c r="H4" s="3641"/>
      <c r="I4" s="3640" t="s">
        <v>474</v>
      </c>
      <c r="J4" s="3641"/>
      <c r="K4" s="787" t="s">
        <v>475</v>
      </c>
      <c r="L4" s="1741"/>
      <c r="M4" s="1742"/>
      <c r="N4" s="1742"/>
      <c r="O4" s="1742"/>
      <c r="P4" s="3644" t="s">
        <v>476</v>
      </c>
      <c r="Q4" s="3645"/>
      <c r="R4" s="3650" t="s">
        <v>472</v>
      </c>
      <c r="S4" s="3651"/>
      <c r="T4" s="3650" t="s">
        <v>473</v>
      </c>
      <c r="U4" s="3651"/>
      <c r="V4" s="3631" t="s">
        <v>474</v>
      </c>
      <c r="W4" s="3631"/>
      <c r="X4" s="1302"/>
      <c r="Y4" s="3650" t="s">
        <v>476</v>
      </c>
      <c r="Z4" s="3651"/>
      <c r="AA4" s="3637" t="s">
        <v>472</v>
      </c>
      <c r="AB4" s="3637" t="s">
        <v>473</v>
      </c>
      <c r="AC4" s="3637" t="s">
        <v>474</v>
      </c>
    </row>
    <row r="5" spans="1:29" ht="15">
      <c r="A5" s="466"/>
      <c r="B5" s="467"/>
      <c r="C5" s="3658" t="s">
        <v>2192</v>
      </c>
      <c r="D5" s="3659"/>
      <c r="E5" s="3666" t="str">
        <f>公司库!B2</f>
        <v>香江花园</v>
      </c>
      <c r="F5" s="3667"/>
      <c r="G5" s="3658" t="str">
        <f>公司库!B17</f>
        <v>懋源璟玺</v>
      </c>
      <c r="H5" s="3659"/>
      <c r="I5" s="3658" t="str">
        <f>G5</f>
        <v>懋源璟玺</v>
      </c>
      <c r="J5" s="3659"/>
      <c r="K5" s="788"/>
      <c r="L5" s="1741"/>
      <c r="M5" s="1742"/>
      <c r="N5" s="1742"/>
      <c r="O5" s="1742"/>
      <c r="P5" s="3646"/>
      <c r="Q5" s="3647"/>
      <c r="R5" s="3652"/>
      <c r="S5" s="3653"/>
      <c r="T5" s="3652"/>
      <c r="U5" s="3653"/>
      <c r="V5" s="3631"/>
      <c r="W5" s="3631"/>
      <c r="X5" s="1302"/>
      <c r="Y5" s="3652"/>
      <c r="Z5" s="3653"/>
      <c r="AA5" s="3638"/>
      <c r="AB5" s="3638"/>
      <c r="AC5" s="3638"/>
    </row>
    <row r="6" spans="1:29" ht="15.75" thickBot="1">
      <c r="A6" s="468"/>
      <c r="B6" s="469"/>
      <c r="C6" s="3663" t="s">
        <v>3725</v>
      </c>
      <c r="D6" s="3657"/>
      <c r="E6" s="3664" t="str">
        <f>公司库!A2</f>
        <v>香江北路1号183B幢1至3层</v>
      </c>
      <c r="F6" s="3665"/>
      <c r="G6" s="3656" t="str">
        <f>可比案例!A20</f>
        <v>西甸路7号院12号楼-3至3层3</v>
      </c>
      <c r="H6" s="3657"/>
      <c r="I6" s="3656" t="str">
        <f>可比案例!B38</f>
        <v>10号楼</v>
      </c>
      <c r="J6" s="3657"/>
      <c r="K6" s="788" t="s">
        <v>477</v>
      </c>
      <c r="L6" s="1741"/>
      <c r="M6" s="1742"/>
      <c r="N6" s="1742"/>
      <c r="O6" s="1742"/>
      <c r="P6" s="3648"/>
      <c r="Q6" s="3649"/>
      <c r="R6" s="3652"/>
      <c r="S6" s="3653"/>
      <c r="T6" s="3654"/>
      <c r="U6" s="3655"/>
      <c r="V6" s="3631"/>
      <c r="W6" s="3631"/>
      <c r="X6" s="1302"/>
      <c r="Y6" s="3654"/>
      <c r="Z6" s="3655"/>
      <c r="AA6" s="3639"/>
      <c r="AB6" s="3639"/>
      <c r="AC6" s="3639"/>
    </row>
    <row r="7" spans="1:29" s="1059" customFormat="1" ht="15.75" thickBot="1">
      <c r="A7" s="2209"/>
      <c r="B7" s="2216" t="s">
        <v>478</v>
      </c>
      <c r="C7" s="470">
        <f>'数据-取费表'!B2</f>
        <v>45637</v>
      </c>
      <c r="D7" s="471">
        <v>100</v>
      </c>
      <c r="E7" s="472">
        <f>公司库!O2</f>
        <v>45583</v>
      </c>
      <c r="F7" s="473">
        <f>SUMIF(58:58,YEAR(E7)&amp;"-"&amp;MONTH(E7),59:59)</f>
        <v>100</v>
      </c>
      <c r="G7" s="474">
        <f>可比案例!L20</f>
        <v>45472</v>
      </c>
      <c r="H7" s="471">
        <f>SUMIF(58:58,YEAR(G7)&amp;"-"&amp;MONTH(G7),59:59)</f>
        <v>102</v>
      </c>
      <c r="I7" s="474">
        <f>'中指数据-朝阳区5-6环别墅'!$B$2</f>
        <v>45404.333831018521</v>
      </c>
      <c r="J7" s="471">
        <f>SUMIF(58:58,YEAR(I7)&amp;"-"&amp;MONTH(I7),59:59)</f>
        <v>102</v>
      </c>
      <c r="K7" s="789"/>
      <c r="L7" s="1743"/>
      <c r="M7" s="1640"/>
      <c r="N7" s="1640"/>
      <c r="O7" s="1640"/>
      <c r="P7" s="3660" t="s">
        <v>479</v>
      </c>
      <c r="Q7" s="3662"/>
      <c r="R7" s="1303" t="s">
        <v>10</v>
      </c>
      <c r="S7" s="1304">
        <f t="shared" ref="S7:S15" si="0">F7</f>
        <v>100</v>
      </c>
      <c r="T7" s="1303" t="s">
        <v>10</v>
      </c>
      <c r="U7" s="1304">
        <f t="shared" ref="U7:U15" si="1">H7</f>
        <v>102</v>
      </c>
      <c r="V7" s="1303" t="s">
        <v>10</v>
      </c>
      <c r="W7" s="1304">
        <f t="shared" ref="W7:W15" si="2">J7</f>
        <v>102</v>
      </c>
      <c r="X7" s="1305"/>
      <c r="Y7" s="3660" t="s">
        <v>479</v>
      </c>
      <c r="Z7" s="3661"/>
      <c r="AA7" s="996">
        <f>D7/F7</f>
        <v>1</v>
      </c>
      <c r="AB7" s="996">
        <f>D7/H7</f>
        <v>0.98039215686274506</v>
      </c>
      <c r="AC7" s="996">
        <f>D7/J7</f>
        <v>0.98039215686274506</v>
      </c>
    </row>
    <row r="8" spans="1:29" s="1059" customFormat="1" ht="15.75" thickBot="1">
      <c r="A8" s="2210"/>
      <c r="B8" s="2217" t="s">
        <v>480</v>
      </c>
      <c r="C8" s="475" t="s">
        <v>524</v>
      </c>
      <c r="D8" s="471">
        <v>100</v>
      </c>
      <c r="E8" s="790" t="s">
        <v>3711</v>
      </c>
      <c r="F8" s="473">
        <f>SUMIF(61:61,E8,62:62)-SUMIF(61:61,C8,62:62)+100</f>
        <v>100</v>
      </c>
      <c r="G8" s="475" t="s">
        <v>3711</v>
      </c>
      <c r="H8" s="471">
        <f>SUMIF(61:61,G8,62:62)-SUMIF(61:61,C8,62:62)+100</f>
        <v>100</v>
      </c>
      <c r="I8" s="790" t="s">
        <v>3711</v>
      </c>
      <c r="J8" s="471">
        <f>SUMIF(61:61,I8,62:62)-SUMIF(61:61,C8,62:62)+100</f>
        <v>100</v>
      </c>
      <c r="K8" s="789"/>
      <c r="L8" s="1743"/>
      <c r="M8" s="1640"/>
      <c r="N8" s="1640"/>
      <c r="O8" s="1640"/>
      <c r="P8" s="3660" t="s">
        <v>482</v>
      </c>
      <c r="Q8" s="3661"/>
      <c r="R8" s="1303" t="s">
        <v>10</v>
      </c>
      <c r="S8" s="1304">
        <f t="shared" si="0"/>
        <v>100</v>
      </c>
      <c r="T8" s="1303" t="s">
        <v>10</v>
      </c>
      <c r="U8" s="1304">
        <f t="shared" si="1"/>
        <v>100</v>
      </c>
      <c r="V8" s="1303" t="s">
        <v>10</v>
      </c>
      <c r="W8" s="1304">
        <f t="shared" si="2"/>
        <v>100</v>
      </c>
      <c r="X8" s="1305"/>
      <c r="Y8" s="3660" t="s">
        <v>482</v>
      </c>
      <c r="Z8" s="3661"/>
      <c r="AA8" s="996">
        <f t="shared" ref="AA8:AA46" si="3">D8/F8</f>
        <v>1</v>
      </c>
      <c r="AB8" s="996">
        <f t="shared" ref="AB8:AB46" si="4">D8/H8</f>
        <v>1</v>
      </c>
      <c r="AC8" s="996">
        <f t="shared" ref="AC8:AC46" si="5">D8/J8</f>
        <v>1</v>
      </c>
    </row>
    <row r="9" spans="1:29" s="1059" customFormat="1" ht="15">
      <c r="A9" s="2211"/>
      <c r="B9" s="2218" t="s">
        <v>2038</v>
      </c>
      <c r="C9" s="3399" t="s">
        <v>3712</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30"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5"/>
      <c r="M10" s="1778"/>
      <c r="N10" s="1778"/>
      <c r="O10" s="1746"/>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v>1</v>
      </c>
      <c r="D11" s="235">
        <v>100</v>
      </c>
      <c r="E11" s="484">
        <v>1</v>
      </c>
      <c r="F11" s="477">
        <f>LOOKUP(E11,68:68,69:69)-LOOKUP(C11,68:68,69:69)+100</f>
        <v>100</v>
      </c>
      <c r="G11" s="3760">
        <v>1.3</v>
      </c>
      <c r="H11" s="3761">
        <f>LOOKUP(G11,68:68,69:69)-LOOKUP(C11,68:68,69:69)+100</f>
        <v>100</v>
      </c>
      <c r="I11" s="3760">
        <v>1.6</v>
      </c>
      <c r="J11" s="235">
        <f>LOOKUP(I11,68:68,69:69)-LOOKUP(C11,68:68,69:69)+100</f>
        <v>100</v>
      </c>
      <c r="K11" s="794">
        <v>0</v>
      </c>
      <c r="L11" s="1747"/>
      <c r="M11" s="1742"/>
      <c r="N11" s="1742"/>
      <c r="O11" s="1748"/>
      <c r="P11" s="3630"/>
      <c r="Q11" s="817" t="str">
        <f t="shared" si="6"/>
        <v>容积率</v>
      </c>
      <c r="R11" s="1303" t="s">
        <v>8</v>
      </c>
      <c r="S11" s="1304">
        <f t="shared" si="0"/>
        <v>100</v>
      </c>
      <c r="T11" s="1303" t="s">
        <v>8</v>
      </c>
      <c r="U11" s="1304">
        <f t="shared" si="1"/>
        <v>100</v>
      </c>
      <c r="V11" s="1303" t="s">
        <v>8</v>
      </c>
      <c r="W11" s="1304">
        <f t="shared" si="2"/>
        <v>100</v>
      </c>
      <c r="X11" s="1305"/>
      <c r="Y11" s="3557"/>
      <c r="Z11" s="996" t="str">
        <f t="shared" si="7"/>
        <v>容积率</v>
      </c>
      <c r="AA11" s="996">
        <f t="shared" si="3"/>
        <v>1</v>
      </c>
      <c r="AB11" s="996">
        <f t="shared" si="4"/>
        <v>1</v>
      </c>
      <c r="AC11" s="996">
        <f t="shared" si="5"/>
        <v>1</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30"/>
      <c r="Q12" s="817">
        <f t="shared" si="6"/>
        <v>111</v>
      </c>
      <c r="R12" s="1303" t="s">
        <v>8</v>
      </c>
      <c r="S12" s="1304">
        <f t="shared" si="0"/>
        <v>100</v>
      </c>
      <c r="T12" s="1303" t="s">
        <v>8</v>
      </c>
      <c r="U12" s="1304">
        <f t="shared" si="1"/>
        <v>100</v>
      </c>
      <c r="V12" s="1303" t="s">
        <v>8</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30"/>
      <c r="Q13" s="817">
        <f t="shared" si="6"/>
        <v>111</v>
      </c>
      <c r="R13" s="1303" t="s">
        <v>8</v>
      </c>
      <c r="S13" s="1304">
        <f t="shared" si="0"/>
        <v>100</v>
      </c>
      <c r="T13" s="1303" t="s">
        <v>8</v>
      </c>
      <c r="U13" s="1304">
        <f t="shared" si="1"/>
        <v>100</v>
      </c>
      <c r="V13" s="1303" t="s">
        <v>8</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30"/>
      <c r="Q14" s="817">
        <f t="shared" si="6"/>
        <v>111</v>
      </c>
      <c r="R14" s="1303" t="s">
        <v>8</v>
      </c>
      <c r="S14" s="1304">
        <f t="shared" si="0"/>
        <v>100</v>
      </c>
      <c r="T14" s="1303" t="s">
        <v>8</v>
      </c>
      <c r="U14" s="1304">
        <f t="shared" si="1"/>
        <v>100</v>
      </c>
      <c r="V14" s="1303" t="s">
        <v>8</v>
      </c>
      <c r="W14" s="1304">
        <f t="shared" si="2"/>
        <v>100</v>
      </c>
      <c r="X14" s="1305"/>
      <c r="Y14" s="3557"/>
      <c r="Z14" s="996">
        <f t="shared" si="7"/>
        <v>111</v>
      </c>
      <c r="AA14" s="996">
        <f t="shared" si="3"/>
        <v>1</v>
      </c>
      <c r="AB14" s="996">
        <f t="shared" si="4"/>
        <v>1</v>
      </c>
      <c r="AC14" s="996">
        <f t="shared" si="5"/>
        <v>1</v>
      </c>
    </row>
    <row r="15" spans="1:29" ht="46.15" customHeight="1">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32" t="s">
        <v>489</v>
      </c>
      <c r="Q15" s="1306" t="str">
        <f t="shared" si="6"/>
        <v>居住社区成熟度</v>
      </c>
      <c r="R15" s="1307" t="s">
        <v>8</v>
      </c>
      <c r="S15" s="1308">
        <f t="shared" si="0"/>
        <v>100</v>
      </c>
      <c r="T15" s="1307" t="s">
        <v>8</v>
      </c>
      <c r="U15" s="1308">
        <f t="shared" si="1"/>
        <v>100</v>
      </c>
      <c r="V15" s="1307" t="s">
        <v>8</v>
      </c>
      <c r="W15" s="1308">
        <f t="shared" si="2"/>
        <v>100</v>
      </c>
      <c r="X15" s="1302"/>
      <c r="Y15" s="3632" t="s">
        <v>489</v>
      </c>
      <c r="Z15" s="1309" t="str">
        <f t="shared" si="7"/>
        <v>居住社区成熟度</v>
      </c>
      <c r="AA15" s="1309">
        <f t="shared" si="3"/>
        <v>1</v>
      </c>
      <c r="AB15" s="1309">
        <f t="shared" si="4"/>
        <v>1</v>
      </c>
      <c r="AC15" s="1309">
        <f t="shared" si="5"/>
        <v>1</v>
      </c>
    </row>
    <row r="16" spans="1:29" ht="15">
      <c r="A16" s="482"/>
      <c r="B16" s="799"/>
      <c r="C16" s="526" t="s">
        <v>3283</v>
      </c>
      <c r="D16" s="505"/>
      <c r="E16" s="526" t="s">
        <v>3283</v>
      </c>
      <c r="F16" s="507"/>
      <c r="G16" s="526" t="s">
        <v>3283</v>
      </c>
      <c r="H16" s="509"/>
      <c r="I16" s="526" t="s">
        <v>3283</v>
      </c>
      <c r="J16" s="505"/>
      <c r="K16" s="800"/>
      <c r="L16" s="1749"/>
      <c r="M16" s="1742"/>
      <c r="N16" s="1742"/>
      <c r="O16" s="1748"/>
      <c r="P16" s="3633"/>
      <c r="Q16" s="1306"/>
      <c r="R16" s="1307"/>
      <c r="S16" s="1308"/>
      <c r="T16" s="1307"/>
      <c r="U16" s="1308"/>
      <c r="V16" s="1307"/>
      <c r="W16" s="1308"/>
      <c r="X16" s="1302"/>
      <c r="Y16" s="3633"/>
      <c r="Z16" s="1309"/>
      <c r="AA16" s="1309">
        <v>1</v>
      </c>
      <c r="AB16" s="1309">
        <v>1</v>
      </c>
      <c r="AC16" s="1309">
        <v>1</v>
      </c>
    </row>
    <row r="17" spans="1:29" ht="42.6" customHeight="1">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33"/>
      <c r="Q17" s="1306" t="str">
        <f>B17</f>
        <v>交通便捷度</v>
      </c>
      <c r="R17" s="1307" t="s">
        <v>8</v>
      </c>
      <c r="S17" s="1308">
        <f>F17</f>
        <v>100</v>
      </c>
      <c r="T17" s="1307" t="s">
        <v>8</v>
      </c>
      <c r="U17" s="1308">
        <f>H17</f>
        <v>100</v>
      </c>
      <c r="V17" s="1307" t="s">
        <v>8</v>
      </c>
      <c r="W17" s="1308">
        <f>J17</f>
        <v>100</v>
      </c>
      <c r="X17" s="1302"/>
      <c r="Y17" s="3633"/>
      <c r="Z17" s="1309" t="str">
        <f>Q17</f>
        <v>交通便捷度</v>
      </c>
      <c r="AA17" s="1309">
        <f t="shared" si="3"/>
        <v>1</v>
      </c>
      <c r="AB17" s="1309">
        <f t="shared" si="4"/>
        <v>1</v>
      </c>
      <c r="AC17" s="1309">
        <f t="shared" si="5"/>
        <v>1</v>
      </c>
    </row>
    <row r="18" spans="1:29" ht="15">
      <c r="A18" s="482"/>
      <c r="B18" s="544"/>
      <c r="C18" s="802" t="s">
        <v>3284</v>
      </c>
      <c r="D18" s="509"/>
      <c r="E18" s="802" t="s">
        <v>3284</v>
      </c>
      <c r="F18" s="513"/>
      <c r="G18" s="802" t="s">
        <v>3284</v>
      </c>
      <c r="H18" s="505"/>
      <c r="I18" s="802" t="s">
        <v>3284</v>
      </c>
      <c r="J18" s="505"/>
      <c r="K18" s="800"/>
      <c r="L18" s="1749"/>
      <c r="M18" s="1742"/>
      <c r="N18" s="1742"/>
      <c r="O18" s="1748"/>
      <c r="P18" s="3633"/>
      <c r="Q18" s="1306"/>
      <c r="R18" s="1307"/>
      <c r="S18" s="1308"/>
      <c r="T18" s="1307"/>
      <c r="U18" s="1308"/>
      <c r="V18" s="1307"/>
      <c r="W18" s="1308"/>
      <c r="X18" s="1302"/>
      <c r="Y18" s="3633"/>
      <c r="Z18" s="1309"/>
      <c r="AA18" s="1309">
        <v>1</v>
      </c>
      <c r="AB18" s="1309">
        <v>1</v>
      </c>
      <c r="AC18" s="1309">
        <v>1</v>
      </c>
    </row>
    <row r="19" spans="1:29" ht="34.9" customHeight="1">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33"/>
      <c r="Q19" s="1306" t="str">
        <f>B19</f>
        <v>公共配套设施</v>
      </c>
      <c r="R19" s="1307" t="s">
        <v>8</v>
      </c>
      <c r="S19" s="1308">
        <f>F19</f>
        <v>100</v>
      </c>
      <c r="T19" s="1307" t="s">
        <v>8</v>
      </c>
      <c r="U19" s="1308">
        <f>H19</f>
        <v>100</v>
      </c>
      <c r="V19" s="1307" t="s">
        <v>8</v>
      </c>
      <c r="W19" s="1308">
        <f>J19</f>
        <v>100</v>
      </c>
      <c r="X19" s="1302"/>
      <c r="Y19" s="3633"/>
      <c r="Z19" s="1309" t="str">
        <f>Q19</f>
        <v>公共配套设施</v>
      </c>
      <c r="AA19" s="1309">
        <f t="shared" si="3"/>
        <v>1</v>
      </c>
      <c r="AB19" s="1309">
        <f t="shared" si="4"/>
        <v>1</v>
      </c>
      <c r="AC19" s="1309">
        <f t="shared" si="5"/>
        <v>1</v>
      </c>
    </row>
    <row r="20" spans="1:29" ht="15">
      <c r="A20" s="482"/>
      <c r="B20" s="544"/>
      <c r="C20" s="526" t="s">
        <v>3283</v>
      </c>
      <c r="D20" s="505"/>
      <c r="E20" s="526" t="s">
        <v>3283</v>
      </c>
      <c r="F20" s="507"/>
      <c r="G20" s="526" t="s">
        <v>3283</v>
      </c>
      <c r="H20" s="505"/>
      <c r="I20" s="526" t="s">
        <v>3283</v>
      </c>
      <c r="J20" s="505"/>
      <c r="K20" s="800"/>
      <c r="L20" s="1749"/>
      <c r="M20" s="1742"/>
      <c r="N20" s="1742"/>
      <c r="O20" s="1748"/>
      <c r="P20" s="3633"/>
      <c r="Q20" s="1306"/>
      <c r="R20" s="1307"/>
      <c r="S20" s="1308"/>
      <c r="T20" s="1307"/>
      <c r="U20" s="1308"/>
      <c r="V20" s="1307"/>
      <c r="W20" s="1308"/>
      <c r="X20" s="1302"/>
      <c r="Y20" s="3633"/>
      <c r="Z20" s="1309"/>
      <c r="AA20" s="1309">
        <v>1</v>
      </c>
      <c r="AB20" s="1309">
        <v>1</v>
      </c>
      <c r="AC20" s="1309">
        <v>1</v>
      </c>
    </row>
    <row r="21" spans="1:29" ht="33" customHeight="1">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33"/>
      <c r="Q21" s="1306" t="str">
        <f>B21</f>
        <v>基础设施水平</v>
      </c>
      <c r="R21" s="1307" t="s">
        <v>8</v>
      </c>
      <c r="S21" s="1308">
        <f>F21</f>
        <v>100</v>
      </c>
      <c r="T21" s="1307" t="s">
        <v>8</v>
      </c>
      <c r="U21" s="1308">
        <f>H21</f>
        <v>100</v>
      </c>
      <c r="V21" s="1307" t="s">
        <v>8</v>
      </c>
      <c r="W21" s="1308">
        <f>J21</f>
        <v>100</v>
      </c>
      <c r="X21" s="1302"/>
      <c r="Y21" s="3633"/>
      <c r="Z21" s="1309" t="str">
        <f>Q21</f>
        <v>基础设施水平</v>
      </c>
      <c r="AA21" s="1309">
        <f>D21/F21</f>
        <v>1</v>
      </c>
      <c r="AB21" s="1309">
        <f>D21/H21</f>
        <v>1</v>
      </c>
      <c r="AC21" s="1309">
        <f>D21/J21</f>
        <v>1</v>
      </c>
    </row>
    <row r="22" spans="1:29" ht="15">
      <c r="A22" s="482"/>
      <c r="B22" s="843"/>
      <c r="C22" s="802" t="s">
        <v>3731</v>
      </c>
      <c r="D22" s="505"/>
      <c r="E22" s="802" t="s">
        <v>3731</v>
      </c>
      <c r="F22" s="507"/>
      <c r="G22" s="802" t="s">
        <v>3731</v>
      </c>
      <c r="H22" s="505"/>
      <c r="I22" s="802" t="s">
        <v>3731</v>
      </c>
      <c r="J22" s="505"/>
      <c r="K22" s="2058"/>
      <c r="L22" s="1749"/>
      <c r="M22" s="1742"/>
      <c r="N22" s="1742"/>
      <c r="O22" s="1748"/>
      <c r="P22" s="3633"/>
      <c r="Q22" s="1306"/>
      <c r="R22" s="1307"/>
      <c r="S22" s="1308"/>
      <c r="T22" s="1307"/>
      <c r="U22" s="1308"/>
      <c r="V22" s="1307"/>
      <c r="W22" s="1308"/>
      <c r="X22" s="1302"/>
      <c r="Y22" s="3633"/>
      <c r="Z22" s="1309"/>
      <c r="AA22" s="1309">
        <v>1</v>
      </c>
      <c r="AB22" s="1309">
        <v>1</v>
      </c>
      <c r="AC22" s="1309">
        <v>1</v>
      </c>
    </row>
    <row r="23" spans="1:29" ht="39" customHeight="1">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33"/>
      <c r="Q23" s="1306" t="str">
        <f>B23</f>
        <v>自然及人文环境</v>
      </c>
      <c r="R23" s="1307" t="s">
        <v>8</v>
      </c>
      <c r="S23" s="1308">
        <f>F23</f>
        <v>100</v>
      </c>
      <c r="T23" s="1307" t="s">
        <v>8</v>
      </c>
      <c r="U23" s="1308">
        <f>H23</f>
        <v>100</v>
      </c>
      <c r="V23" s="1307" t="s">
        <v>8</v>
      </c>
      <c r="W23" s="1308">
        <f>J23</f>
        <v>100</v>
      </c>
      <c r="X23" s="1302"/>
      <c r="Y23" s="3633"/>
      <c r="Z23" s="1309" t="str">
        <f>Q23</f>
        <v>自然及人文环境</v>
      </c>
      <c r="AA23" s="1309">
        <f t="shared" si="3"/>
        <v>1</v>
      </c>
      <c r="AB23" s="1309">
        <f t="shared" si="4"/>
        <v>1</v>
      </c>
      <c r="AC23" s="1309">
        <f t="shared" si="5"/>
        <v>1</v>
      </c>
    </row>
    <row r="24" spans="1:29" ht="15">
      <c r="A24" s="482"/>
      <c r="B24" s="544"/>
      <c r="C24" s="526" t="s">
        <v>3283</v>
      </c>
      <c r="D24" s="505"/>
      <c r="E24" s="526" t="s">
        <v>3283</v>
      </c>
      <c r="F24" s="507"/>
      <c r="G24" s="526" t="s">
        <v>3283</v>
      </c>
      <c r="H24" s="505"/>
      <c r="I24" s="526" t="s">
        <v>3283</v>
      </c>
      <c r="J24" s="505"/>
      <c r="K24" s="800"/>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3"/>
      <c r="Q25" s="1306" t="str">
        <f t="shared" ref="Q25:Q46" si="8">B25</f>
        <v>楼层-1</v>
      </c>
      <c r="R25" s="1307" t="s">
        <v>8</v>
      </c>
      <c r="S25" s="1308">
        <f>F25</f>
        <v>100</v>
      </c>
      <c r="T25" s="1307" t="s">
        <v>8</v>
      </c>
      <c r="U25" s="1308">
        <f>H25</f>
        <v>100</v>
      </c>
      <c r="V25" s="1307" t="s">
        <v>8</v>
      </c>
      <c r="W25" s="1308">
        <f>J25</f>
        <v>100</v>
      </c>
      <c r="X25" s="1302"/>
      <c r="Y25" s="3633"/>
      <c r="Z25" s="1309" t="str">
        <f>Q25</f>
        <v>楼层-1</v>
      </c>
      <c r="AA25" s="1309">
        <f t="shared" si="3"/>
        <v>1</v>
      </c>
      <c r="AB25" s="1309">
        <f t="shared" si="4"/>
        <v>1</v>
      </c>
      <c r="AC25" s="1309">
        <f t="shared" si="5"/>
        <v>1</v>
      </c>
    </row>
    <row r="26" spans="1:29" ht="15">
      <c r="A26" s="482"/>
      <c r="B26" s="477" t="s">
        <v>670</v>
      </c>
      <c r="C26" s="524" t="s">
        <v>3772</v>
      </c>
      <c r="D26" s="490">
        <v>100</v>
      </c>
      <c r="E26" s="524" t="s">
        <v>3772</v>
      </c>
      <c r="F26" s="525">
        <f>SUMIF(88:88,E26,89:89)-SUMIF(88:88,C26,89:89)+100</f>
        <v>100</v>
      </c>
      <c r="G26" s="524" t="s">
        <v>3790</v>
      </c>
      <c r="H26" s="490">
        <f>SUMIF(88:88,G26,89:89)-SUMIF(88:88,C26,89:89)+100</f>
        <v>90</v>
      </c>
      <c r="I26" s="524" t="s">
        <v>3790</v>
      </c>
      <c r="J26" s="490">
        <f>SUMIF(88:88,I26,89:89)-SUMIF(88:88,C26,89:89)+100</f>
        <v>90</v>
      </c>
      <c r="K26" s="794">
        <v>10</v>
      </c>
      <c r="L26" s="1749"/>
      <c r="M26" s="1742"/>
      <c r="N26" s="1742"/>
      <c r="O26" s="1748"/>
      <c r="P26" s="3633"/>
      <c r="Q26" s="1306" t="str">
        <f t="shared" si="8"/>
        <v>朝向</v>
      </c>
      <c r="R26" s="1307" t="s">
        <v>8</v>
      </c>
      <c r="S26" s="1308">
        <f>F26</f>
        <v>100</v>
      </c>
      <c r="T26" s="1307" t="s">
        <v>8</v>
      </c>
      <c r="U26" s="1308">
        <f>H26</f>
        <v>90</v>
      </c>
      <c r="V26" s="1307" t="s">
        <v>8</v>
      </c>
      <c r="W26" s="1308">
        <f>J26</f>
        <v>90</v>
      </c>
      <c r="X26" s="1302"/>
      <c r="Y26" s="3633"/>
      <c r="Z26" s="1309" t="str">
        <f>Q26</f>
        <v>朝向</v>
      </c>
      <c r="AA26" s="1309">
        <f t="shared" si="3"/>
        <v>1</v>
      </c>
      <c r="AB26" s="1309">
        <f t="shared" si="4"/>
        <v>1.1111111111111112</v>
      </c>
      <c r="AC26" s="1309">
        <f t="shared" si="5"/>
        <v>1.1111111111111112</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3"/>
      <c r="Q27" s="817" t="str">
        <f t="shared" si="8"/>
        <v>道路级别</v>
      </c>
      <c r="R27" s="1303" t="s">
        <v>8</v>
      </c>
      <c r="S27" s="1304">
        <f>F27</f>
        <v>100</v>
      </c>
      <c r="T27" s="1303" t="s">
        <v>8</v>
      </c>
      <c r="U27" s="1304">
        <f>H27</f>
        <v>100</v>
      </c>
      <c r="V27" s="1303" t="s">
        <v>8</v>
      </c>
      <c r="W27" s="1304">
        <f>J27</f>
        <v>100</v>
      </c>
      <c r="X27" s="1305"/>
      <c r="Y27" s="3633"/>
      <c r="Z27" s="996" t="str">
        <f>Q27</f>
        <v>道路级别</v>
      </c>
      <c r="AA27" s="1309">
        <f>D27/F27</f>
        <v>1</v>
      </c>
      <c r="AB27" s="1309">
        <f>D27/H27</f>
        <v>1</v>
      </c>
      <c r="AC27" s="1309">
        <f>D27/J27</f>
        <v>1</v>
      </c>
    </row>
    <row r="28" spans="1:29" ht="15.75" thickBot="1">
      <c r="A28" s="482"/>
      <c r="B28" s="3419" t="s">
        <v>3733</v>
      </c>
      <c r="C28" s="3420" t="s">
        <v>3776</v>
      </c>
      <c r="D28" s="490">
        <v>100</v>
      </c>
      <c r="E28" s="3421" t="s">
        <v>3775</v>
      </c>
      <c r="F28" s="525">
        <f>SUMIF(92:92,E28,93:93)-SUMIF(92:92,C28,93:93)+100</f>
        <v>100</v>
      </c>
      <c r="G28" s="3420" t="s">
        <v>3804</v>
      </c>
      <c r="H28" s="490">
        <f>SUMIF(92:92,G28,93:93)-SUMIF(92:92,C28,93:93)+100</f>
        <v>100</v>
      </c>
      <c r="I28" s="3420" t="s">
        <v>3798</v>
      </c>
      <c r="J28" s="490">
        <f>SUMIF(92:92,I28,93:93)-SUMIF(92:92,C28,93:93)+100</f>
        <v>100</v>
      </c>
      <c r="K28" s="795"/>
      <c r="L28" s="1749"/>
      <c r="M28" s="1742"/>
      <c r="N28" s="1742"/>
      <c r="O28" s="1748"/>
      <c r="P28" s="3633"/>
      <c r="Q28" s="1306" t="str">
        <f t="shared" si="8"/>
        <v>楼层</v>
      </c>
      <c r="R28" s="1307" t="s">
        <v>8</v>
      </c>
      <c r="S28" s="1308">
        <f t="shared" ref="S28:S46" si="9">F28</f>
        <v>100</v>
      </c>
      <c r="T28" s="1307" t="s">
        <v>8</v>
      </c>
      <c r="U28" s="1308">
        <f t="shared" ref="U28:U46" si="10">H28</f>
        <v>100</v>
      </c>
      <c r="V28" s="1307" t="s">
        <v>8</v>
      </c>
      <c r="W28" s="1308">
        <f t="shared" ref="W28:W46" si="11">J28</f>
        <v>100</v>
      </c>
      <c r="X28" s="1302"/>
      <c r="Y28" s="3633"/>
      <c r="Z28" s="1309" t="str">
        <f t="shared" ref="Z28:Z46" si="12">Q28</f>
        <v>楼层</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3"/>
      <c r="Q29" s="1306">
        <f t="shared" si="8"/>
        <v>111</v>
      </c>
      <c r="R29" s="1307" t="s">
        <v>8</v>
      </c>
      <c r="S29" s="1308">
        <f t="shared" si="9"/>
        <v>100</v>
      </c>
      <c r="T29" s="1307" t="s">
        <v>8</v>
      </c>
      <c r="U29" s="1308">
        <f t="shared" si="10"/>
        <v>100</v>
      </c>
      <c r="V29" s="1307" t="s">
        <v>8</v>
      </c>
      <c r="W29" s="1308">
        <f t="shared" si="11"/>
        <v>100</v>
      </c>
      <c r="X29" s="1302"/>
      <c r="Y29" s="3633"/>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3"/>
      <c r="Q30" s="1306">
        <f t="shared" si="8"/>
        <v>111</v>
      </c>
      <c r="R30" s="1307" t="s">
        <v>8</v>
      </c>
      <c r="S30" s="1308">
        <f t="shared" si="9"/>
        <v>100</v>
      </c>
      <c r="T30" s="1307" t="s">
        <v>8</v>
      </c>
      <c r="U30" s="1308">
        <f t="shared" si="10"/>
        <v>100</v>
      </c>
      <c r="V30" s="1307" t="s">
        <v>8</v>
      </c>
      <c r="W30" s="1308">
        <f t="shared" si="11"/>
        <v>100</v>
      </c>
      <c r="X30" s="1302"/>
      <c r="Y30" s="3633"/>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3"/>
      <c r="Q31" s="1306">
        <f t="shared" si="8"/>
        <v>111</v>
      </c>
      <c r="R31" s="1307" t="s">
        <v>8</v>
      </c>
      <c r="S31" s="1308">
        <f t="shared" si="9"/>
        <v>100</v>
      </c>
      <c r="T31" s="1307" t="s">
        <v>8</v>
      </c>
      <c r="U31" s="1308">
        <f t="shared" si="10"/>
        <v>100</v>
      </c>
      <c r="V31" s="1307" t="s">
        <v>8</v>
      </c>
      <c r="W31" s="1308">
        <f t="shared" si="11"/>
        <v>100</v>
      </c>
      <c r="X31" s="1302"/>
      <c r="Y31" s="3633"/>
      <c r="Z31" s="1309">
        <f t="shared" si="12"/>
        <v>111</v>
      </c>
      <c r="AA31" s="1309">
        <f t="shared" si="3"/>
        <v>1</v>
      </c>
      <c r="AB31" s="1309">
        <f t="shared" si="4"/>
        <v>1</v>
      </c>
      <c r="AC31" s="1309">
        <f t="shared" si="5"/>
        <v>1</v>
      </c>
    </row>
    <row r="32" spans="1:29" ht="15">
      <c r="A32" s="2204" t="s">
        <v>2037</v>
      </c>
      <c r="B32" s="156" t="s">
        <v>672</v>
      </c>
      <c r="C32" s="804" t="s">
        <v>3642</v>
      </c>
      <c r="D32" s="546">
        <v>100</v>
      </c>
      <c r="E32" s="804" t="s">
        <v>3642</v>
      </c>
      <c r="F32" s="525">
        <f>SUMIF(100:100,E32,101:101)-SUMIF(100:100,C32,101:101)+100</f>
        <v>100</v>
      </c>
      <c r="G32" s="804" t="s">
        <v>3608</v>
      </c>
      <c r="H32" s="546">
        <f>SUMIF(100:100,G32,101:101)-SUMIF(100:100,C32,101:101)+100</f>
        <v>90</v>
      </c>
      <c r="I32" s="804" t="s">
        <v>3608</v>
      </c>
      <c r="J32" s="490">
        <f>SUMIF(100:100,I32,101:101)-SUMIF(100:100,C32,101:101)+100</f>
        <v>90</v>
      </c>
      <c r="K32" s="794">
        <v>10</v>
      </c>
      <c r="L32" s="1749"/>
      <c r="M32" s="1742"/>
      <c r="N32" s="1742"/>
      <c r="O32" s="1748"/>
      <c r="P32" s="3634" t="s">
        <v>499</v>
      </c>
      <c r="Q32" s="1306" t="str">
        <f t="shared" si="8"/>
        <v>建筑类型</v>
      </c>
      <c r="R32" s="1307" t="s">
        <v>8</v>
      </c>
      <c r="S32" s="1308">
        <f t="shared" si="9"/>
        <v>100</v>
      </c>
      <c r="T32" s="1307" t="s">
        <v>8</v>
      </c>
      <c r="U32" s="1308">
        <f t="shared" si="10"/>
        <v>90</v>
      </c>
      <c r="V32" s="1307" t="s">
        <v>8</v>
      </c>
      <c r="W32" s="1308">
        <f t="shared" si="11"/>
        <v>90</v>
      </c>
      <c r="X32" s="1302"/>
      <c r="Y32" s="3635" t="s">
        <v>499</v>
      </c>
      <c r="Z32" s="1309" t="str">
        <f t="shared" si="12"/>
        <v>建筑类型</v>
      </c>
      <c r="AA32" s="1309">
        <f t="shared" si="3"/>
        <v>1</v>
      </c>
      <c r="AB32" s="1309">
        <f t="shared" si="4"/>
        <v>1.1111111111111112</v>
      </c>
      <c r="AC32" s="1309">
        <f t="shared" si="5"/>
        <v>1.1111111111111112</v>
      </c>
    </row>
    <row r="33" spans="1:29" s="1133" customFormat="1" ht="15">
      <c r="A33" s="552"/>
      <c r="B33" s="477" t="s">
        <v>673</v>
      </c>
      <c r="C33" s="805">
        <f>'数据-汇总表'!F19</f>
        <v>604.25</v>
      </c>
      <c r="D33" s="235">
        <v>100</v>
      </c>
      <c r="E33" s="484">
        <f>公司库!D2</f>
        <v>329.05</v>
      </c>
      <c r="F33" s="477">
        <f>LOOKUP(E33,103:103,104:104)-LOOKUP(C33,103:103,104:104)+100</f>
        <v>102</v>
      </c>
      <c r="G33" s="483">
        <f>可比案例!D20</f>
        <v>688.95</v>
      </c>
      <c r="H33" s="235">
        <f>LOOKUP(G33,103:103,104:104)-LOOKUP(C33,103:103,104:104)+100</f>
        <v>100</v>
      </c>
      <c r="I33" s="484">
        <f>可比案例!J38</f>
        <v>695.13</v>
      </c>
      <c r="J33" s="235">
        <f>LOOKUP(I33,103:103,104:104)-LOOKUP(C33,103:103,104:104)+100</f>
        <v>100</v>
      </c>
      <c r="K33" s="795"/>
      <c r="L33" s="1747"/>
      <c r="M33" s="1771"/>
      <c r="N33" s="1771"/>
      <c r="O33" s="1750"/>
      <c r="P33" s="3635"/>
      <c r="Q33" s="818" t="str">
        <f t="shared" si="8"/>
        <v>项目建筑规模</v>
      </c>
      <c r="R33" s="1310" t="s">
        <v>8</v>
      </c>
      <c r="S33" s="1311">
        <f t="shared" si="9"/>
        <v>102</v>
      </c>
      <c r="T33" s="1310" t="s">
        <v>8</v>
      </c>
      <c r="U33" s="1311">
        <f t="shared" si="10"/>
        <v>100</v>
      </c>
      <c r="V33" s="1310" t="s">
        <v>8</v>
      </c>
      <c r="W33" s="1311">
        <f t="shared" si="11"/>
        <v>100</v>
      </c>
      <c r="X33" s="1312"/>
      <c r="Y33" s="3635"/>
      <c r="Z33" s="1313" t="str">
        <f t="shared" si="12"/>
        <v>项目建筑规模</v>
      </c>
      <c r="AA33" s="1309">
        <f t="shared" si="3"/>
        <v>0.98039215686274506</v>
      </c>
      <c r="AB33" s="1309">
        <f t="shared" si="4"/>
        <v>1</v>
      </c>
      <c r="AC33" s="1309">
        <f t="shared" si="5"/>
        <v>1</v>
      </c>
    </row>
    <row r="34" spans="1:29" ht="15">
      <c r="A34" s="543"/>
      <c r="B34" s="477" t="s">
        <v>674</v>
      </c>
      <c r="C34" s="524" t="s">
        <v>3779</v>
      </c>
      <c r="D34" s="490">
        <v>100</v>
      </c>
      <c r="E34" s="524" t="s">
        <v>3779</v>
      </c>
      <c r="F34" s="525">
        <f>SUMIF(105:105,E34,106:106)-SUMIF(105:105,C34,106:106)+100</f>
        <v>100</v>
      </c>
      <c r="G34" s="524" t="s">
        <v>3779</v>
      </c>
      <c r="H34" s="490">
        <f>SUMIF(105:105,G34,106:106)-SUMIF(105:105,C34,106:106)+100</f>
        <v>100</v>
      </c>
      <c r="I34" s="524" t="s">
        <v>3779</v>
      </c>
      <c r="J34" s="490">
        <f>SUMIF(105:105,I34,106:106)-SUMIF(105:105,C34,106:106)+100</f>
        <v>100</v>
      </c>
      <c r="K34" s="794"/>
      <c r="L34" s="1749"/>
      <c r="M34" s="1742"/>
      <c r="N34" s="1742"/>
      <c r="O34" s="1748"/>
      <c r="P34" s="3635"/>
      <c r="Q34" s="1306" t="str">
        <f t="shared" si="8"/>
        <v>建筑结构</v>
      </c>
      <c r="R34" s="1307" t="s">
        <v>8</v>
      </c>
      <c r="S34" s="1308">
        <f t="shared" si="9"/>
        <v>100</v>
      </c>
      <c r="T34" s="1307" t="s">
        <v>8</v>
      </c>
      <c r="U34" s="1308">
        <f t="shared" si="10"/>
        <v>100</v>
      </c>
      <c r="V34" s="1307" t="s">
        <v>8</v>
      </c>
      <c r="W34" s="1308">
        <f t="shared" si="11"/>
        <v>100</v>
      </c>
      <c r="X34" s="1302"/>
      <c r="Y34" s="3635"/>
      <c r="Z34" s="1309" t="str">
        <f t="shared" si="12"/>
        <v>建筑结构</v>
      </c>
      <c r="AA34" s="1309">
        <f t="shared" si="3"/>
        <v>1</v>
      </c>
      <c r="AB34" s="1309">
        <f t="shared" si="4"/>
        <v>1</v>
      </c>
      <c r="AC34" s="1309">
        <f t="shared" si="5"/>
        <v>1</v>
      </c>
    </row>
    <row r="35" spans="1:29" ht="15" hidden="1">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35"/>
      <c r="Q35" s="1306" t="str">
        <f t="shared" si="8"/>
        <v>建筑品质</v>
      </c>
      <c r="R35" s="1307" t="s">
        <v>8</v>
      </c>
      <c r="S35" s="1308">
        <f t="shared" si="9"/>
        <v>100</v>
      </c>
      <c r="T35" s="1307" t="s">
        <v>8</v>
      </c>
      <c r="U35" s="1308">
        <f t="shared" si="10"/>
        <v>100</v>
      </c>
      <c r="V35" s="1307" t="s">
        <v>8</v>
      </c>
      <c r="W35" s="1308">
        <f t="shared" si="11"/>
        <v>100</v>
      </c>
      <c r="X35" s="1302"/>
      <c r="Y35" s="3635"/>
      <c r="Z35" s="1309" t="str">
        <f t="shared" si="12"/>
        <v>建筑品质</v>
      </c>
      <c r="AA35" s="1309">
        <f t="shared" si="3"/>
        <v>1</v>
      </c>
      <c r="AB35" s="1309">
        <f t="shared" si="4"/>
        <v>1</v>
      </c>
      <c r="AC35" s="1309">
        <f t="shared" si="5"/>
        <v>1</v>
      </c>
    </row>
    <row r="36" spans="1:29" ht="15" hidden="1">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35"/>
      <c r="Q36" s="1306" t="str">
        <f t="shared" si="8"/>
        <v>公共部分装修</v>
      </c>
      <c r="R36" s="1307" t="s">
        <v>8</v>
      </c>
      <c r="S36" s="1308">
        <f t="shared" si="9"/>
        <v>100</v>
      </c>
      <c r="T36" s="1307" t="s">
        <v>8</v>
      </c>
      <c r="U36" s="1308">
        <f t="shared" si="10"/>
        <v>100</v>
      </c>
      <c r="V36" s="1307" t="s">
        <v>8</v>
      </c>
      <c r="W36" s="1308">
        <f t="shared" si="11"/>
        <v>100</v>
      </c>
      <c r="X36" s="1302"/>
      <c r="Y36" s="3635"/>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8">
        <v>0.7</v>
      </c>
      <c r="F37" s="477">
        <f>LOOKUP(E37,112:112,113:113)-LOOKUP(C37,112:112,113:113)+100</f>
        <v>96</v>
      </c>
      <c r="G37" s="809">
        <v>0.95</v>
      </c>
      <c r="H37" s="235">
        <f>LOOKUP(G37,112:112,113:113)-LOOKUP(C37,112:112,113:113)+100</f>
        <v>100</v>
      </c>
      <c r="I37" s="808">
        <v>0.95</v>
      </c>
      <c r="J37" s="235">
        <f>LOOKUP(I37,112:112,113:113)-LOOKUP(C37,112:112,113:113)+100</f>
        <v>100</v>
      </c>
      <c r="K37" s="794">
        <v>2</v>
      </c>
      <c r="L37" s="1743"/>
      <c r="M37" s="1640"/>
      <c r="N37" s="1640"/>
      <c r="O37" s="1744"/>
      <c r="P37" s="3635"/>
      <c r="Q37" s="817" t="str">
        <f t="shared" si="8"/>
        <v>成新度</v>
      </c>
      <c r="R37" s="1303" t="s">
        <v>8</v>
      </c>
      <c r="S37" s="1304">
        <f t="shared" si="9"/>
        <v>96</v>
      </c>
      <c r="T37" s="1303" t="s">
        <v>8</v>
      </c>
      <c r="U37" s="1304">
        <f t="shared" si="10"/>
        <v>100</v>
      </c>
      <c r="V37" s="1303" t="s">
        <v>8</v>
      </c>
      <c r="W37" s="1304">
        <f t="shared" si="11"/>
        <v>100</v>
      </c>
      <c r="X37" s="1305"/>
      <c r="Y37" s="3635"/>
      <c r="Z37" s="996" t="str">
        <f t="shared" si="12"/>
        <v>成新度</v>
      </c>
      <c r="AA37" s="996">
        <f t="shared" si="3"/>
        <v>1.0416666666666667</v>
      </c>
      <c r="AB37" s="996">
        <f t="shared" si="4"/>
        <v>1</v>
      </c>
      <c r="AC37" s="996">
        <f t="shared" si="5"/>
        <v>1</v>
      </c>
    </row>
    <row r="38" spans="1:29" ht="15">
      <c r="A38" s="543"/>
      <c r="B38" s="477" t="s">
        <v>678</v>
      </c>
      <c r="C38" s="548" t="s">
        <v>3701</v>
      </c>
      <c r="D38" s="490">
        <v>100</v>
      </c>
      <c r="E38" s="803" t="s">
        <v>3781</v>
      </c>
      <c r="F38" s="525">
        <f>SUMIF(114:114,E38,115:115)-SUMIF(114:114,C38,115:115)+100</f>
        <v>102</v>
      </c>
      <c r="G38" s="548" t="s">
        <v>3781</v>
      </c>
      <c r="H38" s="490">
        <f>SUMIF(114:114,G38,115:115)-SUMIF(114:114,C38,115:115)+100</f>
        <v>102</v>
      </c>
      <c r="I38" s="803" t="s">
        <v>3781</v>
      </c>
      <c r="J38" s="490">
        <f>SUMIF(114:114,I38,115:115)-SUMIF(114:114,C38,115:115)+100</f>
        <v>102</v>
      </c>
      <c r="K38" s="794">
        <v>2</v>
      </c>
      <c r="L38" s="1749"/>
      <c r="M38" s="1742"/>
      <c r="N38" s="1742"/>
      <c r="O38" s="1748"/>
      <c r="P38" s="3635" t="s">
        <v>499</v>
      </c>
      <c r="Q38" s="1306" t="str">
        <f t="shared" si="8"/>
        <v>物业管理</v>
      </c>
      <c r="R38" s="1307" t="s">
        <v>8</v>
      </c>
      <c r="S38" s="1308">
        <f t="shared" si="9"/>
        <v>102</v>
      </c>
      <c r="T38" s="1307" t="s">
        <v>8</v>
      </c>
      <c r="U38" s="1308">
        <f t="shared" si="10"/>
        <v>102</v>
      </c>
      <c r="V38" s="1307" t="s">
        <v>8</v>
      </c>
      <c r="W38" s="1308">
        <f t="shared" si="11"/>
        <v>102</v>
      </c>
      <c r="X38" s="1302"/>
      <c r="Y38" s="3635" t="s">
        <v>499</v>
      </c>
      <c r="Z38" s="1309" t="str">
        <f t="shared" si="12"/>
        <v>物业管理</v>
      </c>
      <c r="AA38" s="1309">
        <f t="shared" si="3"/>
        <v>0.98039215686274506</v>
      </c>
      <c r="AB38" s="1309">
        <f t="shared" si="4"/>
        <v>0.98039215686274506</v>
      </c>
      <c r="AC38" s="1309">
        <f t="shared" si="5"/>
        <v>0.98039215686274506</v>
      </c>
    </row>
    <row r="39" spans="1:29" ht="15">
      <c r="A39" s="543"/>
      <c r="B39" s="1554" t="s">
        <v>1847</v>
      </c>
      <c r="C39" s="548" t="s">
        <v>3731</v>
      </c>
      <c r="D39" s="490">
        <v>100</v>
      </c>
      <c r="E39" s="803" t="s">
        <v>3731</v>
      </c>
      <c r="F39" s="525">
        <f>SUMIF(116:116,E39,117:117)-SUMIF(116:116,C39,117:117)+100</f>
        <v>100</v>
      </c>
      <c r="G39" s="803" t="s">
        <v>3731</v>
      </c>
      <c r="H39" s="490">
        <f>SUMIF(116:116,G39,117:117)-SUMIF(116:116,C39,117:117)+100</f>
        <v>100</v>
      </c>
      <c r="I39" s="803" t="s">
        <v>3731</v>
      </c>
      <c r="J39" s="490">
        <f>SUMIF(116:116,I39,117:117)-SUMIF(116:116,C39,117:117)+100</f>
        <v>100</v>
      </c>
      <c r="K39" s="794">
        <v>1</v>
      </c>
      <c r="L39" s="1749"/>
      <c r="M39" s="1742"/>
      <c r="N39" s="1742"/>
      <c r="O39" s="1748"/>
      <c r="P39" s="3635"/>
      <c r="Q39" s="1306" t="str">
        <f t="shared" si="8"/>
        <v>市政基础设施</v>
      </c>
      <c r="R39" s="1307" t="s">
        <v>8</v>
      </c>
      <c r="S39" s="1308">
        <f t="shared" si="9"/>
        <v>100</v>
      </c>
      <c r="T39" s="1307" t="s">
        <v>8</v>
      </c>
      <c r="U39" s="1308">
        <f t="shared" si="10"/>
        <v>100</v>
      </c>
      <c r="V39" s="1307" t="s">
        <v>8</v>
      </c>
      <c r="W39" s="1308">
        <f t="shared" si="11"/>
        <v>100</v>
      </c>
      <c r="X39" s="1302"/>
      <c r="Y39" s="3635"/>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5"/>
      <c r="Q40" s="1306" t="str">
        <f t="shared" si="8"/>
        <v>房型</v>
      </c>
      <c r="R40" s="1307" t="s">
        <v>8</v>
      </c>
      <c r="S40" s="1308">
        <f t="shared" si="9"/>
        <v>100</v>
      </c>
      <c r="T40" s="1307" t="s">
        <v>8</v>
      </c>
      <c r="U40" s="1308">
        <f t="shared" si="10"/>
        <v>100</v>
      </c>
      <c r="V40" s="1307" t="s">
        <v>8</v>
      </c>
      <c r="W40" s="1308">
        <f t="shared" si="11"/>
        <v>100</v>
      </c>
      <c r="X40" s="1302"/>
      <c r="Y40" s="3635"/>
      <c r="Z40" s="1309" t="str">
        <f t="shared" si="12"/>
        <v>房型</v>
      </c>
      <c r="AA40" s="1309">
        <f t="shared" si="3"/>
        <v>1</v>
      </c>
      <c r="AB40" s="1309">
        <f t="shared" si="4"/>
        <v>1</v>
      </c>
      <c r="AC40" s="1309">
        <f t="shared" si="5"/>
        <v>1</v>
      </c>
    </row>
    <row r="41" spans="1:29" s="1133" customFormat="1" ht="28.5">
      <c r="A41" s="552"/>
      <c r="B41" s="477" t="s">
        <v>680</v>
      </c>
      <c r="C41" s="805"/>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5"/>
      <c r="Q41" s="818" t="str">
        <f t="shared" si="8"/>
        <v>单套/主力户型建筑面积</v>
      </c>
      <c r="R41" s="1310" t="s">
        <v>8</v>
      </c>
      <c r="S41" s="1311">
        <f t="shared" si="9"/>
        <v>100</v>
      </c>
      <c r="T41" s="1310" t="s">
        <v>8</v>
      </c>
      <c r="U41" s="1311">
        <f t="shared" si="10"/>
        <v>100</v>
      </c>
      <c r="V41" s="1310" t="s">
        <v>8</v>
      </c>
      <c r="W41" s="1311">
        <f t="shared" si="11"/>
        <v>100</v>
      </c>
      <c r="X41" s="1312"/>
      <c r="Y41" s="3635"/>
      <c r="Z41" s="1313" t="str">
        <f t="shared" si="12"/>
        <v>单套/主力户型建筑面积</v>
      </c>
      <c r="AA41" s="1309">
        <f t="shared" si="3"/>
        <v>1</v>
      </c>
      <c r="AB41" s="1309">
        <f t="shared" si="4"/>
        <v>1</v>
      </c>
      <c r="AC41" s="1309">
        <f t="shared" si="5"/>
        <v>1</v>
      </c>
    </row>
    <row r="42" spans="1:29" ht="15">
      <c r="A42" s="543"/>
      <c r="B42" s="477" t="s">
        <v>681</v>
      </c>
      <c r="C42" s="548" t="s">
        <v>3730</v>
      </c>
      <c r="D42" s="490">
        <v>100</v>
      </c>
      <c r="E42" s="803" t="s">
        <v>3728</v>
      </c>
      <c r="F42" s="525">
        <f>SUMIF(122:122,E42,123:123)-SUMIF(122:122,C42,123:123)+100</f>
        <v>102</v>
      </c>
      <c r="G42" s="803" t="s">
        <v>3728</v>
      </c>
      <c r="H42" s="490">
        <f>SUMIF(122:122,G42,123:123)-SUMIF(122:122,C42,123:123)+100</f>
        <v>102</v>
      </c>
      <c r="I42" s="803" t="s">
        <v>3728</v>
      </c>
      <c r="J42" s="490">
        <f>SUMIF(122:122,I42,123:123)-SUMIF(122:122,C42,123:123)+100</f>
        <v>102</v>
      </c>
      <c r="K42" s="794">
        <v>1</v>
      </c>
      <c r="L42" s="1749"/>
      <c r="M42" s="1742"/>
      <c r="N42" s="1742"/>
      <c r="O42" s="1748"/>
      <c r="P42" s="3635"/>
      <c r="Q42" s="1306" t="str">
        <f t="shared" si="8"/>
        <v>内部装修</v>
      </c>
      <c r="R42" s="1307" t="s">
        <v>8</v>
      </c>
      <c r="S42" s="1308">
        <f t="shared" si="9"/>
        <v>102</v>
      </c>
      <c r="T42" s="1307" t="s">
        <v>8</v>
      </c>
      <c r="U42" s="1308">
        <f t="shared" si="10"/>
        <v>102</v>
      </c>
      <c r="V42" s="1307" t="s">
        <v>8</v>
      </c>
      <c r="W42" s="1308">
        <f t="shared" si="11"/>
        <v>102</v>
      </c>
      <c r="X42" s="1302"/>
      <c r="Y42" s="3635"/>
      <c r="Z42" s="1309" t="str">
        <f t="shared" si="12"/>
        <v>内部装修</v>
      </c>
      <c r="AA42" s="1309">
        <f t="shared" si="3"/>
        <v>0.98039215686274506</v>
      </c>
      <c r="AB42" s="1309">
        <f t="shared" si="4"/>
        <v>0.98039215686274506</v>
      </c>
      <c r="AC42" s="1309">
        <f t="shared" si="5"/>
        <v>0.98039215686274506</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35"/>
      <c r="Q43" s="1306" t="str">
        <f t="shared" si="8"/>
        <v>内部装修维护情况</v>
      </c>
      <c r="R43" s="1307" t="s">
        <v>8</v>
      </c>
      <c r="S43" s="1308">
        <f t="shared" si="9"/>
        <v>100</v>
      </c>
      <c r="T43" s="1307" t="s">
        <v>8</v>
      </c>
      <c r="U43" s="1308">
        <f t="shared" si="10"/>
        <v>100</v>
      </c>
      <c r="V43" s="1307" t="s">
        <v>8</v>
      </c>
      <c r="W43" s="1308">
        <f t="shared" si="11"/>
        <v>100</v>
      </c>
      <c r="X43" s="1302"/>
      <c r="Y43" s="3635"/>
      <c r="Z43" s="1309" t="str">
        <f t="shared" si="12"/>
        <v>内部装修维护情况</v>
      </c>
      <c r="AA43" s="1309">
        <f t="shared" si="3"/>
        <v>1</v>
      </c>
      <c r="AB43" s="1309">
        <f t="shared" si="4"/>
        <v>1</v>
      </c>
      <c r="AC43" s="1309">
        <f t="shared" si="5"/>
        <v>1</v>
      </c>
    </row>
    <row r="44" spans="1:29" s="1059" customFormat="1" ht="15">
      <c r="A44" s="549"/>
      <c r="B44" s="3419" t="s">
        <v>3800</v>
      </c>
      <c r="C44" s="3434" t="s">
        <v>3801</v>
      </c>
      <c r="D44" s="235">
        <v>100</v>
      </c>
      <c r="E44" s="3434" t="s">
        <v>3801</v>
      </c>
      <c r="F44" s="477">
        <f>SUMIF(126:126,E44,127:127)-SUMIF(126:126,C44,127:127)+100</f>
        <v>100</v>
      </c>
      <c r="G44" s="3434" t="s">
        <v>3802</v>
      </c>
      <c r="H44" s="235">
        <f>SUMIF(126:126,G44,127:127)-SUMIF(126:126,C44,127:127)+100</f>
        <v>102</v>
      </c>
      <c r="I44" s="3434" t="s">
        <v>3802</v>
      </c>
      <c r="J44" s="235">
        <f>SUMIF(126:126,I44,127:127)-SUMIF(126:126,C44,127:127)+100</f>
        <v>102</v>
      </c>
      <c r="K44" s="795"/>
      <c r="L44" s="1743"/>
      <c r="M44" s="1640"/>
      <c r="N44" s="1640"/>
      <c r="O44" s="1744"/>
      <c r="P44" s="3635"/>
      <c r="Q44" s="817" t="str">
        <f t="shared" si="8"/>
        <v>带地下车库</v>
      </c>
      <c r="R44" s="1303" t="s">
        <v>8</v>
      </c>
      <c r="S44" s="1304">
        <f t="shared" si="9"/>
        <v>100</v>
      </c>
      <c r="T44" s="1303" t="s">
        <v>8</v>
      </c>
      <c r="U44" s="1304">
        <f t="shared" si="10"/>
        <v>102</v>
      </c>
      <c r="V44" s="1303" t="s">
        <v>8</v>
      </c>
      <c r="W44" s="1304">
        <f t="shared" si="11"/>
        <v>102</v>
      </c>
      <c r="X44" s="1305"/>
      <c r="Y44" s="3635"/>
      <c r="Z44" s="996" t="str">
        <f t="shared" si="12"/>
        <v>带地下车库</v>
      </c>
      <c r="AA44" s="996">
        <f t="shared" si="3"/>
        <v>1</v>
      </c>
      <c r="AB44" s="996">
        <f t="shared" si="4"/>
        <v>0.98039215686274506</v>
      </c>
      <c r="AC44" s="996">
        <f t="shared" si="5"/>
        <v>0.98039215686274506</v>
      </c>
    </row>
    <row r="45" spans="1:29" ht="15">
      <c r="A45" s="543"/>
      <c r="B45" s="3419" t="s">
        <v>3823</v>
      </c>
      <c r="C45" s="3437" t="s">
        <v>3824</v>
      </c>
      <c r="D45" s="490">
        <v>100</v>
      </c>
      <c r="E45" s="3437" t="s">
        <v>3826</v>
      </c>
      <c r="F45" s="525">
        <f>SUMIF(128:128,E45,129:129)-SUMIF(128:128,C45,129:129)+100</f>
        <v>102</v>
      </c>
      <c r="G45" s="3437" t="s">
        <v>3826</v>
      </c>
      <c r="H45" s="490">
        <f>SUMIF(128:128,G45,129:129)-SUMIF(128:128,C45,129:129)+100</f>
        <v>102</v>
      </c>
      <c r="I45" s="3437" t="s">
        <v>3826</v>
      </c>
      <c r="J45" s="490">
        <f>SUMIF(128:128,I45,129:129)-SUMIF(128:128,C45,129:129)+100</f>
        <v>102</v>
      </c>
      <c r="K45" s="795"/>
      <c r="L45" s="1749"/>
      <c r="M45" s="1742"/>
      <c r="N45" s="1742"/>
      <c r="O45" s="1748"/>
      <c r="P45" s="3635"/>
      <c r="Q45" s="1306" t="str">
        <f t="shared" si="8"/>
        <v>市政管线接驳</v>
      </c>
      <c r="R45" s="1307" t="s">
        <v>8</v>
      </c>
      <c r="S45" s="1308">
        <f t="shared" si="9"/>
        <v>102</v>
      </c>
      <c r="T45" s="1307" t="s">
        <v>8</v>
      </c>
      <c r="U45" s="1308">
        <f t="shared" si="10"/>
        <v>102</v>
      </c>
      <c r="V45" s="1307" t="s">
        <v>8</v>
      </c>
      <c r="W45" s="1308">
        <f t="shared" si="11"/>
        <v>102</v>
      </c>
      <c r="X45" s="1302"/>
      <c r="Y45" s="3635"/>
      <c r="Z45" s="1309" t="str">
        <f t="shared" si="12"/>
        <v>市政管线接驳</v>
      </c>
      <c r="AA45" s="1309">
        <f t="shared" si="3"/>
        <v>0.98039215686274506</v>
      </c>
      <c r="AB45" s="1309">
        <f t="shared" si="4"/>
        <v>0.98039215686274506</v>
      </c>
      <c r="AC45" s="1309">
        <f t="shared" si="5"/>
        <v>0.98039215686274506</v>
      </c>
    </row>
    <row r="46" spans="1:29" ht="15.75"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36"/>
      <c r="Q46" s="1306">
        <f t="shared" si="8"/>
        <v>111</v>
      </c>
      <c r="R46" s="1307" t="s">
        <v>7</v>
      </c>
      <c r="S46" s="1308">
        <f t="shared" si="9"/>
        <v>100</v>
      </c>
      <c r="T46" s="1307" t="s">
        <v>7</v>
      </c>
      <c r="U46" s="1308">
        <f t="shared" si="10"/>
        <v>100</v>
      </c>
      <c r="V46" s="1307" t="s">
        <v>7</v>
      </c>
      <c r="W46" s="1308">
        <f t="shared" si="11"/>
        <v>100</v>
      </c>
      <c r="X46" s="1302"/>
      <c r="Y46" s="3636"/>
      <c r="Z46" s="1309">
        <f t="shared" si="12"/>
        <v>111</v>
      </c>
      <c r="AA46" s="1309">
        <f t="shared" si="3"/>
        <v>1</v>
      </c>
      <c r="AB46" s="1309">
        <f t="shared" si="4"/>
        <v>1</v>
      </c>
      <c r="AC46" s="1309">
        <f t="shared" si="5"/>
        <v>1</v>
      </c>
    </row>
    <row r="47" spans="1:29" ht="15">
      <c r="A47" s="556" t="s">
        <v>683</v>
      </c>
      <c r="B47" s="811"/>
      <c r="C47" s="2081" t="s">
        <v>6</v>
      </c>
      <c r="D47" s="559"/>
      <c r="E47" s="560">
        <f>公司库!L2</f>
        <v>95305</v>
      </c>
      <c r="F47" s="561"/>
      <c r="G47" s="562">
        <f>可比案例!J20</f>
        <v>92798</v>
      </c>
      <c r="H47" s="563"/>
      <c r="I47" s="560">
        <f>可比案例!L38</f>
        <v>86174</v>
      </c>
      <c r="J47" s="563"/>
      <c r="K47" s="1331"/>
      <c r="L47" s="1751"/>
      <c r="M47" s="1742"/>
      <c r="N47" s="1742"/>
      <c r="O47" s="1742"/>
      <c r="P47" s="3630" t="str">
        <f>A47</f>
        <v>成交单价（元/平方米）</v>
      </c>
      <c r="Q47" s="3630"/>
      <c r="R47" s="3631">
        <f>E47</f>
        <v>95305</v>
      </c>
      <c r="S47" s="3631"/>
      <c r="T47" s="3631">
        <f>G47</f>
        <v>92798</v>
      </c>
      <c r="U47" s="3631"/>
      <c r="V47" s="3631">
        <f>I47</f>
        <v>86174</v>
      </c>
      <c r="W47" s="3631"/>
      <c r="X47" s="799"/>
      <c r="Y47" s="1314"/>
      <c r="Z47" s="799"/>
      <c r="AA47" s="799"/>
      <c r="AB47" s="799"/>
      <c r="AC47" s="799"/>
    </row>
    <row r="48" spans="1:29" ht="15.75" thickBot="1">
      <c r="A48" s="564" t="s">
        <v>2042</v>
      </c>
      <c r="B48" s="812"/>
      <c r="C48" s="2082">
        <f>R49</f>
        <v>97280</v>
      </c>
      <c r="D48" s="2550" t="s">
        <v>2261</v>
      </c>
      <c r="E48" s="2083">
        <f>R48</f>
        <v>91716</v>
      </c>
      <c r="F48" s="2551"/>
      <c r="G48" s="2082">
        <f>T48</f>
        <v>103765</v>
      </c>
      <c r="H48" s="2551"/>
      <c r="I48" s="2083">
        <f>V48</f>
        <v>96359</v>
      </c>
      <c r="J48" s="2551"/>
      <c r="K48" s="2558">
        <f>F48+H48+J48</f>
        <v>0</v>
      </c>
      <c r="L48" s="1751"/>
      <c r="M48" s="1742"/>
      <c r="N48" s="1742"/>
      <c r="O48" s="1742"/>
      <c r="P48" s="3630" t="str">
        <f>A48</f>
        <v>比较价格（元/平方米）</v>
      </c>
      <c r="Q48" s="3630"/>
      <c r="R48" s="3631">
        <f>IF(F1="售价",ROUND(PRODUCT(R47,AA7:AA46),0),ROUND(PRODUCT(R47,AA7:AA46),1))</f>
        <v>91716</v>
      </c>
      <c r="S48" s="3631"/>
      <c r="T48" s="3631">
        <f>IF(F1="售价",ROUND(PRODUCT(T47,AB7:AB46),0),ROUND(PRODUCT(T47,AB7:AB46),1))</f>
        <v>103765</v>
      </c>
      <c r="U48" s="3631"/>
      <c r="V48" s="3631">
        <f>IF(F1="售价",ROUND(PRODUCT(V47,AC7:AC46),0),ROUND(PRODUCT(V47,AC7:AC46),1))</f>
        <v>96359</v>
      </c>
      <c r="W48" s="3631"/>
      <c r="X48" s="799"/>
      <c r="Y48" s="799"/>
      <c r="Z48" s="799"/>
      <c r="AA48" s="799"/>
      <c r="AB48" s="799"/>
      <c r="AC48" s="799"/>
    </row>
    <row r="49" spans="1:29" ht="15.75" thickBot="1">
      <c r="A49" s="568" t="s">
        <v>2198</v>
      </c>
      <c r="B49" s="569"/>
      <c r="C49" s="469">
        <f>R49</f>
        <v>97280</v>
      </c>
      <c r="D49" s="469"/>
      <c r="E49" s="469"/>
      <c r="F49" s="469"/>
      <c r="G49" s="469"/>
      <c r="H49" s="469"/>
      <c r="I49" s="469"/>
      <c r="J49" s="469"/>
      <c r="K49" s="1332"/>
      <c r="L49" s="1751"/>
      <c r="M49" s="1742"/>
      <c r="N49" s="1742"/>
      <c r="O49" s="1742"/>
      <c r="P49" s="3627" t="str">
        <f>A49</f>
        <v>估价对象XX用房的比较价格（楼面单价，元/平方米）</v>
      </c>
      <c r="Q49" s="3628"/>
      <c r="R49" s="3629">
        <f>IF(F1="售价",ROUND(IF(D48="简单平均",AVERAGE(R48:V48),R48*F48+T48*H48+V48*J48),0),ROUND(IF(D48="简单平均",AVERAGE(R48:V48),R48*F48+T48*H48+V48*J48),1))</f>
        <v>97280</v>
      </c>
      <c r="S49" s="3629"/>
      <c r="T49" s="3629"/>
      <c r="U49" s="3629"/>
      <c r="V49" s="3629"/>
      <c r="W49" s="3629"/>
      <c r="X49" s="799"/>
      <c r="Y49" s="799"/>
      <c r="Z49" s="799"/>
      <c r="AA49" s="799"/>
      <c r="AB49" s="799"/>
      <c r="AC49" s="799"/>
    </row>
    <row r="50" spans="1:29">
      <c r="A50" s="2721"/>
      <c r="B50" s="3431" t="s">
        <v>3796</v>
      </c>
      <c r="C50" s="2721">
        <f>C49</f>
        <v>97280</v>
      </c>
      <c r="D50" s="2721">
        <f>'数据-汇总表'!F19</f>
        <v>604.25</v>
      </c>
      <c r="E50" s="2721">
        <f>ROUND(C50*D50+C51*D51,0)</f>
        <v>66985549</v>
      </c>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3431" t="s">
        <v>3795</v>
      </c>
      <c r="C51" s="2721">
        <f>ROUND(C50*0.25,0)</f>
        <v>24320</v>
      </c>
      <c r="D51" s="2721">
        <f>'数据-汇总表'!G19</f>
        <v>337.34</v>
      </c>
      <c r="E51" s="2721">
        <f>E50/(D50+D51)</f>
        <v>71140.888284709916</v>
      </c>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3.9131667320860153E-2</v>
      </c>
      <c r="F52" s="574" t="str">
        <f>IF(OR(E52&gt;=0.3,E52&lt;=-0.3),"超过30%","")</f>
        <v/>
      </c>
      <c r="G52" s="573">
        <f>IF(G47&lt;G48,G48/G47-1,G47/G48-1)</f>
        <v>0.11818142632384321</v>
      </c>
      <c r="H52" s="574" t="str">
        <f>IF(OR(G52&gt;=0.3,G52&lt;=-0.3),"超过30%","")</f>
        <v/>
      </c>
      <c r="I52" s="573">
        <f>IF(I47&lt;I48,I48/I47-1,I47/I48-1)</f>
        <v>0.11819110172441794</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0.13137293383924287</v>
      </c>
      <c r="F53" s="574" t="str">
        <f>IF(OR(E53&gt;=0.2,E53&lt;=-0.2),"超过20%","")</f>
        <v/>
      </c>
      <c r="G53" s="573">
        <f>IF(G48&lt;I48,I48/G48-1,G48/I48-1)</f>
        <v>7.6858414885999204E-2</v>
      </c>
      <c r="H53" s="574" t="str">
        <f>IF(OR(G53&gt;=0.2,G53&lt;=-0.2),"超过20%","")</f>
        <v/>
      </c>
      <c r="I53" s="573">
        <f>IF(I48&lt;E48,E48/I48-1,I48/E48-1)</f>
        <v>5.0623664355183395E-2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2.7015668441130236E-2</v>
      </c>
      <c r="F54" s="574" t="str">
        <f>IF(OR(E54&gt;=0.3,E54&lt;=-0.3),"超过30%","")</f>
        <v/>
      </c>
      <c r="G54" s="573">
        <f>IF(G47&lt;I47,I47/G47-1,G47/I47-1)</f>
        <v>7.686773272680858E-2</v>
      </c>
      <c r="H54" s="574" t="str">
        <f>IF(OR(G54&gt;=0.3,G54&lt;=-0.3),"超过30%","")</f>
        <v/>
      </c>
      <c r="I54" s="573">
        <f>IF(I47&lt;E47,E47/I47-1,I47/E47-1)</f>
        <v>0.10596003434910761</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v>100</v>
      </c>
      <c r="E59" s="596">
        <v>100</v>
      </c>
      <c r="F59" s="596">
        <v>101</v>
      </c>
      <c r="G59" s="596">
        <v>101</v>
      </c>
      <c r="H59" s="596">
        <v>101</v>
      </c>
      <c r="I59" s="596">
        <v>102</v>
      </c>
      <c r="J59" s="596">
        <v>102</v>
      </c>
      <c r="K59" s="596">
        <v>102</v>
      </c>
      <c r="L59" s="596">
        <v>103</v>
      </c>
      <c r="M59" s="596">
        <v>103</v>
      </c>
      <c r="N59" s="596">
        <v>103</v>
      </c>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1（含）-1.5</v>
      </c>
      <c r="D67" s="624" t="str">
        <f t="shared" ref="D67:L67" si="14">D68&amp;"（含）"&amp;"-"&amp;E68</f>
        <v>1.5（含）-2</v>
      </c>
      <c r="E67" s="624" t="str">
        <f t="shared" si="14"/>
        <v>2（含）-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1</v>
      </c>
      <c r="D68" s="491">
        <v>1.5</v>
      </c>
      <c r="E68" s="491">
        <v>2</v>
      </c>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3416" t="s">
        <v>3772</v>
      </c>
      <c r="D88" s="3429" t="s">
        <v>3807</v>
      </c>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90</v>
      </c>
      <c r="E89" s="621">
        <f t="shared" si="17"/>
        <v>80</v>
      </c>
      <c r="F89" s="621">
        <f t="shared" si="17"/>
        <v>70</v>
      </c>
      <c r="G89" s="621">
        <f t="shared" si="17"/>
        <v>60</v>
      </c>
      <c r="H89" s="621">
        <f t="shared" si="17"/>
        <v>50</v>
      </c>
      <c r="I89" s="621">
        <f t="shared" si="17"/>
        <v>40</v>
      </c>
      <c r="J89" s="621">
        <f t="shared" si="17"/>
        <v>30</v>
      </c>
      <c r="K89" s="621">
        <f t="shared" si="17"/>
        <v>20</v>
      </c>
      <c r="L89" s="621">
        <f t="shared" si="17"/>
        <v>10</v>
      </c>
      <c r="M89" s="621">
        <f t="shared" si="17"/>
        <v>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3418" t="s">
        <v>3777</v>
      </c>
      <c r="D92" s="3418" t="s">
        <v>3778</v>
      </c>
      <c r="E92" s="3418" t="s">
        <v>3794</v>
      </c>
      <c r="F92" s="3418" t="s">
        <v>3799</v>
      </c>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v>100</v>
      </c>
      <c r="D93" s="613">
        <v>100</v>
      </c>
      <c r="E93" s="613">
        <v>100</v>
      </c>
      <c r="F93" s="613">
        <v>100</v>
      </c>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28" t="s">
        <v>3642</v>
      </c>
      <c r="D100" s="3428" t="s">
        <v>3803</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90</v>
      </c>
      <c r="E101" s="621">
        <f t="shared" si="18"/>
        <v>80</v>
      </c>
      <c r="F101" s="621">
        <f t="shared" si="18"/>
        <v>70</v>
      </c>
      <c r="G101" s="621">
        <f t="shared" si="18"/>
        <v>60</v>
      </c>
      <c r="H101" s="621">
        <f t="shared" si="18"/>
        <v>50</v>
      </c>
      <c r="I101" s="621">
        <f t="shared" si="18"/>
        <v>40</v>
      </c>
      <c r="J101" s="621">
        <f t="shared" si="18"/>
        <v>30</v>
      </c>
      <c r="K101" s="621">
        <f t="shared" si="18"/>
        <v>20</v>
      </c>
      <c r="L101" s="621">
        <f t="shared" si="18"/>
        <v>10</v>
      </c>
      <c r="M101" s="621">
        <f t="shared" si="18"/>
        <v>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0(含)-300</v>
      </c>
      <c r="D102" s="649" t="str">
        <f t="shared" ref="D102:L102" si="19">D103&amp;"(含)"&amp;"-"&amp;E103</f>
        <v>300(含)-600</v>
      </c>
      <c r="E102" s="649" t="str">
        <f t="shared" si="19"/>
        <v>600(含)-900</v>
      </c>
      <c r="F102" s="649" t="str">
        <f t="shared" si="19"/>
        <v>900(含)-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300</v>
      </c>
      <c r="E103" s="79">
        <v>600</v>
      </c>
      <c r="F103" s="79">
        <v>900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98</v>
      </c>
      <c r="E104" s="613">
        <v>96</v>
      </c>
      <c r="F104" s="613">
        <v>94</v>
      </c>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29" t="s">
        <v>3780</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102</v>
      </c>
      <c r="E113" s="621">
        <f>D113+$K37</f>
        <v>104</v>
      </c>
      <c r="F113" s="621">
        <f>E113+$K37</f>
        <v>106</v>
      </c>
      <c r="G113" s="621">
        <f>F113+$K37</f>
        <v>108</v>
      </c>
      <c r="H113" s="621">
        <f>G113+$K37</f>
        <v>110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9" t="s">
        <v>3782</v>
      </c>
      <c r="D114" s="3429" t="s">
        <v>3827</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16" t="s">
        <v>3731</v>
      </c>
      <c r="D116" s="3416" t="s">
        <v>3732</v>
      </c>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16" t="s">
        <v>3727</v>
      </c>
      <c r="D122" s="3416" t="s">
        <v>3728</v>
      </c>
      <c r="E122" s="3416" t="s">
        <v>3729</v>
      </c>
      <c r="F122" s="3417" t="s">
        <v>3730</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t="str">
        <f>B44</f>
        <v>带地下车库</v>
      </c>
      <c r="C126" s="3429" t="s">
        <v>3805</v>
      </c>
      <c r="D126" s="3429" t="s">
        <v>3806</v>
      </c>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v>100</v>
      </c>
      <c r="D127" s="613">
        <v>98</v>
      </c>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t="str">
        <f>B45</f>
        <v>市政管线接驳</v>
      </c>
      <c r="C128" s="3438" t="s">
        <v>3824</v>
      </c>
      <c r="D128" s="3438" t="s">
        <v>3825</v>
      </c>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102</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1">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D48" xr:uid="{00000000-0002-0000-1400-000014000000}">
      <formula1>"简单平均,加权平均"</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H54"/>
  <sheetViews>
    <sheetView topLeftCell="A49" workbookViewId="0">
      <selection activeCell="F53" sqref="F53"/>
    </sheetView>
  </sheetViews>
  <sheetFormatPr defaultRowHeight="13.5"/>
  <cols>
    <col min="1" max="1" width="11.625" bestFit="1" customWidth="1"/>
    <col min="2" max="2" width="26.5" customWidth="1"/>
    <col min="4" max="4" width="11.625" bestFit="1" customWidth="1"/>
    <col min="5" max="5" width="9.5" bestFit="1" customWidth="1"/>
    <col min="7" max="7" width="9.5" bestFit="1" customWidth="1"/>
  </cols>
  <sheetData>
    <row r="1" spans="1:8">
      <c r="A1" s="3435" t="s">
        <v>3808</v>
      </c>
    </row>
    <row r="3" spans="1:8">
      <c r="A3" s="2749" t="s">
        <v>3809</v>
      </c>
      <c r="B3" s="2749" t="s">
        <v>3815</v>
      </c>
      <c r="C3" s="2749" t="s">
        <v>3810</v>
      </c>
      <c r="D3" s="2749" t="s">
        <v>3811</v>
      </c>
      <c r="E3" s="2749" t="s">
        <v>3812</v>
      </c>
      <c r="F3" s="2749" t="s">
        <v>3813</v>
      </c>
      <c r="G3" s="2749" t="s">
        <v>3814</v>
      </c>
    </row>
    <row r="4" spans="1:8">
      <c r="A4" s="3436">
        <v>44085</v>
      </c>
      <c r="B4" s="2749" t="s">
        <v>3816</v>
      </c>
      <c r="C4">
        <v>335.6</v>
      </c>
      <c r="D4">
        <f>ROUND(E4/C4,0)</f>
        <v>71636</v>
      </c>
      <c r="E4">
        <v>24041088.399999999</v>
      </c>
      <c r="F4">
        <f>ROUND(G4/C4,0)</f>
        <v>78201</v>
      </c>
      <c r="G4">
        <v>26244412</v>
      </c>
      <c r="H4">
        <f>D4/F4</f>
        <v>0.9160496668840552</v>
      </c>
    </row>
    <row r="26" spans="1:8">
      <c r="A26" s="3435" t="s">
        <v>3817</v>
      </c>
    </row>
    <row r="28" spans="1:8">
      <c r="A28" s="2749" t="s">
        <v>3809</v>
      </c>
      <c r="B28" s="2749" t="s">
        <v>3815</v>
      </c>
      <c r="C28" s="2749" t="s">
        <v>3810</v>
      </c>
      <c r="D28" s="2749" t="s">
        <v>3818</v>
      </c>
      <c r="E28" s="2749" t="s">
        <v>3819</v>
      </c>
      <c r="F28" s="2749" t="s">
        <v>3813</v>
      </c>
      <c r="G28" s="2749" t="s">
        <v>3814</v>
      </c>
    </row>
    <row r="29" spans="1:8">
      <c r="A29" s="3436">
        <v>45191</v>
      </c>
      <c r="B29" s="2749" t="s">
        <v>3820</v>
      </c>
      <c r="C29">
        <v>335.6</v>
      </c>
      <c r="D29">
        <f>ROUND(E29/C29,0)</f>
        <v>77387</v>
      </c>
      <c r="E29">
        <v>25971000</v>
      </c>
      <c r="F29">
        <f>ROUND(G29/C29,0)</f>
        <v>110551</v>
      </c>
      <c r="G29">
        <v>37100916</v>
      </c>
      <c r="H29">
        <f>D29/F29</f>
        <v>0.70001175927852299</v>
      </c>
    </row>
    <row r="51" spans="1:8">
      <c r="A51" s="3435" t="s">
        <v>3821</v>
      </c>
    </row>
    <row r="52" spans="1:8">
      <c r="A52" s="2749" t="s">
        <v>3809</v>
      </c>
      <c r="B52" s="2749" t="s">
        <v>3815</v>
      </c>
      <c r="C52" s="2749" t="s">
        <v>3810</v>
      </c>
      <c r="D52" s="2749" t="s">
        <v>3818</v>
      </c>
      <c r="E52" s="2749" t="s">
        <v>3819</v>
      </c>
      <c r="F52" s="2749" t="s">
        <v>3813</v>
      </c>
      <c r="G52" s="2749" t="s">
        <v>3814</v>
      </c>
    </row>
    <row r="53" spans="1:8">
      <c r="A53" s="3436">
        <v>45207</v>
      </c>
      <c r="B53" s="2749" t="s">
        <v>3822</v>
      </c>
      <c r="C53">
        <v>941.59</v>
      </c>
      <c r="D53">
        <f>ROUND(E53/C53,0)</f>
        <v>26934</v>
      </c>
      <c r="E53">
        <v>25360644</v>
      </c>
      <c r="F53">
        <f>ROUND(G53/C53,0)</f>
        <v>38477</v>
      </c>
      <c r="G53">
        <v>36229491</v>
      </c>
      <c r="H53">
        <f>D53/F53</f>
        <v>0.70000259895521999</v>
      </c>
    </row>
    <row r="54" spans="1:8">
      <c r="A54" s="3436">
        <v>45245</v>
      </c>
      <c r="B54" s="2749" t="s">
        <v>3822</v>
      </c>
      <c r="C54">
        <f>C53</f>
        <v>941.59</v>
      </c>
      <c r="D54">
        <f>ROUND(E54/C54,0)</f>
        <v>21547</v>
      </c>
      <c r="E54">
        <v>20288516</v>
      </c>
      <c r="F54">
        <f>F53</f>
        <v>38477</v>
      </c>
      <c r="G54">
        <f>G53</f>
        <v>36229491</v>
      </c>
      <c r="H54">
        <f>D54/F54</f>
        <v>0.55999688125373603</v>
      </c>
    </row>
  </sheetData>
  <phoneticPr fontId="224" type="noConversion"/>
  <hyperlinks>
    <hyperlink ref="A1" r:id="rId1" xr:uid="{00000000-0004-0000-1500-000000000000}"/>
    <hyperlink ref="A26" r:id="rId2" xr:uid="{00000000-0004-0000-1500-000001000000}"/>
    <hyperlink ref="A51" r:id="rId3" xr:uid="{00000000-0004-0000-1500-000002000000}"/>
  </hyperlinks>
  <pageMargins left="0.7" right="0.7" top="0.75" bottom="0.75" header="0.3" footer="0.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P38"/>
  <sheetViews>
    <sheetView topLeftCell="A16" workbookViewId="0">
      <selection activeCell="H33" sqref="H33"/>
    </sheetView>
  </sheetViews>
  <sheetFormatPr defaultRowHeight="13.5"/>
  <cols>
    <col min="1" max="1" width="15.25" customWidth="1"/>
    <col min="12" max="12" width="12.25" customWidth="1"/>
  </cols>
  <sheetData>
    <row r="1" spans="1:15" ht="14.25" thickBot="1">
      <c r="A1" s="3391" t="s">
        <v>3287</v>
      </c>
      <c r="B1" s="3391" t="s">
        <v>3288</v>
      </c>
      <c r="C1" s="3391" t="s">
        <v>3289</v>
      </c>
      <c r="D1" s="3391" t="s">
        <v>2210</v>
      </c>
      <c r="E1" s="3391" t="s">
        <v>3290</v>
      </c>
      <c r="F1" s="3391" t="s">
        <v>3291</v>
      </c>
      <c r="G1" s="3392" t="s">
        <v>3292</v>
      </c>
      <c r="H1" s="3391" t="s">
        <v>3293</v>
      </c>
      <c r="I1" s="3391" t="s">
        <v>3297</v>
      </c>
      <c r="J1" s="3391" t="s">
        <v>3298</v>
      </c>
      <c r="K1" s="3391" t="s">
        <v>3299</v>
      </c>
      <c r="L1" s="3391" t="s">
        <v>3300</v>
      </c>
      <c r="M1" s="3427" t="s">
        <v>3769</v>
      </c>
      <c r="N1" s="3427" t="s">
        <v>3771</v>
      </c>
      <c r="O1" s="3427" t="s">
        <v>3788</v>
      </c>
    </row>
    <row r="2" spans="1:15" ht="14.25" thickBot="1">
      <c r="A2" s="3412" t="s">
        <v>3710</v>
      </c>
      <c r="B2" s="3412" t="s">
        <v>3786</v>
      </c>
      <c r="C2" s="3412" t="s">
        <v>3302</v>
      </c>
      <c r="D2" s="3412">
        <v>329.05</v>
      </c>
      <c r="E2" s="3412" t="s">
        <v>3303</v>
      </c>
      <c r="F2" s="3412">
        <v>3</v>
      </c>
      <c r="G2" s="3422" t="s">
        <v>3787</v>
      </c>
      <c r="H2" s="3412">
        <v>1997</v>
      </c>
      <c r="I2" s="3412">
        <v>95305</v>
      </c>
      <c r="J2" s="3412">
        <v>90754</v>
      </c>
      <c r="K2" s="3412">
        <v>29862604</v>
      </c>
      <c r="L2" s="3413">
        <v>45583</v>
      </c>
      <c r="M2" s="3413" t="s">
        <v>3770</v>
      </c>
      <c r="N2" s="3413" t="s">
        <v>3773</v>
      </c>
      <c r="O2" s="3413" t="s">
        <v>3774</v>
      </c>
    </row>
    <row r="18" spans="1:16" ht="14.25" thickBot="1"/>
    <row r="19" spans="1:16" ht="14.25" thickBot="1">
      <c r="A19" s="3391" t="s">
        <v>3287</v>
      </c>
      <c r="B19" s="3391" t="s">
        <v>3288</v>
      </c>
      <c r="C19" s="3391" t="s">
        <v>3289</v>
      </c>
      <c r="D19" s="3391" t="s">
        <v>2210</v>
      </c>
      <c r="E19" s="3391" t="s">
        <v>3290</v>
      </c>
      <c r="F19" s="3391" t="s">
        <v>3291</v>
      </c>
      <c r="G19" s="3392" t="s">
        <v>3292</v>
      </c>
      <c r="H19" s="3391" t="s">
        <v>3293</v>
      </c>
      <c r="I19" s="3391" t="s">
        <v>3297</v>
      </c>
      <c r="J19" s="3391" t="s">
        <v>3298</v>
      </c>
      <c r="K19" s="3391" t="s">
        <v>3299</v>
      </c>
      <c r="L19" s="3391" t="s">
        <v>3300</v>
      </c>
      <c r="M19" s="3427" t="s">
        <v>3769</v>
      </c>
      <c r="N19" s="3427" t="s">
        <v>3771</v>
      </c>
      <c r="O19" s="3427" t="s">
        <v>3788</v>
      </c>
    </row>
    <row r="20" spans="1:16" ht="14.25" thickBot="1">
      <c r="A20" s="3412" t="s">
        <v>3793</v>
      </c>
      <c r="B20" s="3412" t="s">
        <v>3784</v>
      </c>
      <c r="C20" s="3412" t="s">
        <v>3302</v>
      </c>
      <c r="D20" s="3412">
        <v>688.95</v>
      </c>
      <c r="E20" s="3412" t="s">
        <v>851</v>
      </c>
      <c r="F20" s="3412" t="s">
        <v>3718</v>
      </c>
      <c r="G20" s="3422" t="s">
        <v>3785</v>
      </c>
      <c r="H20" s="3412">
        <v>2020</v>
      </c>
      <c r="I20" s="3412">
        <v>92201</v>
      </c>
      <c r="J20" s="3412">
        <v>92798</v>
      </c>
      <c r="K20" s="3412">
        <v>63933182</v>
      </c>
      <c r="L20" s="3413">
        <v>45472</v>
      </c>
      <c r="M20" s="3413" t="s">
        <v>3789</v>
      </c>
      <c r="N20" s="3413" t="s">
        <v>3791</v>
      </c>
      <c r="O20" s="3413" t="s">
        <v>3774</v>
      </c>
      <c r="P20" s="3430" t="s">
        <v>3792</v>
      </c>
    </row>
    <row r="36" spans="1:13">
      <c r="A36" s="3400" t="s">
        <v>3622</v>
      </c>
      <c r="B36" s="3400" t="s">
        <v>3621</v>
      </c>
      <c r="C36" s="3400" t="s">
        <v>3620</v>
      </c>
      <c r="D36" s="3400" t="s">
        <v>3619</v>
      </c>
      <c r="E36" s="3400" t="s">
        <v>3618</v>
      </c>
      <c r="F36" s="3400" t="s">
        <v>3617</v>
      </c>
      <c r="G36" s="3400" t="s">
        <v>3616</v>
      </c>
      <c r="H36" s="3400" t="s">
        <v>3615</v>
      </c>
      <c r="I36" s="3400" t="s">
        <v>3614</v>
      </c>
      <c r="J36" s="3400" t="s">
        <v>3613</v>
      </c>
      <c r="K36" s="3400" t="s">
        <v>3612</v>
      </c>
      <c r="L36" s="3400" t="s">
        <v>3611</v>
      </c>
      <c r="M36" s="3400" t="s">
        <v>3713</v>
      </c>
    </row>
    <row r="37" spans="1:13">
      <c r="A37" s="3402">
        <v>45404.333831018521</v>
      </c>
      <c r="B37" s="3403" t="s">
        <v>3671</v>
      </c>
      <c r="C37" s="3403"/>
      <c r="D37" s="3403"/>
      <c r="E37" s="3403">
        <v>-3</v>
      </c>
      <c r="F37" s="3403">
        <v>2</v>
      </c>
      <c r="G37" s="3404" t="s">
        <v>3706</v>
      </c>
      <c r="H37" s="3403" t="s">
        <v>3303</v>
      </c>
      <c r="I37" s="3404" t="s">
        <v>3789</v>
      </c>
      <c r="J37" s="3403">
        <v>690.93</v>
      </c>
      <c r="K37" s="3403">
        <v>5710.2</v>
      </c>
      <c r="L37" s="3403">
        <v>82645</v>
      </c>
      <c r="M37" s="3401"/>
    </row>
    <row r="38" spans="1:13">
      <c r="A38" s="3432">
        <v>45629.333831018521</v>
      </c>
      <c r="B38" s="3433" t="s">
        <v>3685</v>
      </c>
      <c r="C38" s="3433"/>
      <c r="D38" s="3433"/>
      <c r="E38" s="3433">
        <v>-3</v>
      </c>
      <c r="F38" s="3433">
        <v>7</v>
      </c>
      <c r="G38" s="3433" t="s">
        <v>3684</v>
      </c>
      <c r="H38" s="3433" t="s">
        <v>3303</v>
      </c>
      <c r="I38" s="3433" t="s">
        <v>3608</v>
      </c>
      <c r="J38" s="3433">
        <v>695.13</v>
      </c>
      <c r="K38" s="3433">
        <v>5990.2</v>
      </c>
      <c r="L38" s="3433">
        <v>86174</v>
      </c>
    </row>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O23"/>
  <sheetViews>
    <sheetView workbookViewId="0">
      <selection activeCell="L20" sqref="L20"/>
    </sheetView>
  </sheetViews>
  <sheetFormatPr defaultRowHeight="13.5"/>
  <cols>
    <col min="1" max="1" width="11.875" customWidth="1"/>
    <col min="7" max="7" width="8.875" style="3393"/>
    <col min="11" max="11" width="13" customWidth="1"/>
    <col min="15" max="15" width="13.375" customWidth="1"/>
  </cols>
  <sheetData>
    <row r="1" spans="1:15" ht="14.25" thickBot="1">
      <c r="A1" s="3391" t="s">
        <v>3287</v>
      </c>
      <c r="B1" s="3391" t="s">
        <v>3288</v>
      </c>
      <c r="C1" s="3391" t="s">
        <v>3289</v>
      </c>
      <c r="D1" s="3391" t="s">
        <v>2210</v>
      </c>
      <c r="E1" s="3391" t="s">
        <v>3290</v>
      </c>
      <c r="F1" s="3391" t="s">
        <v>3291</v>
      </c>
      <c r="G1" s="3392" t="s">
        <v>3292</v>
      </c>
      <c r="H1" s="3391" t="s">
        <v>3293</v>
      </c>
      <c r="I1" s="3391" t="s">
        <v>3294</v>
      </c>
      <c r="J1" s="3391" t="s">
        <v>3295</v>
      </c>
      <c r="K1" s="3391" t="s">
        <v>3296</v>
      </c>
      <c r="L1" s="3391" t="s">
        <v>3297</v>
      </c>
      <c r="M1" s="3391" t="s">
        <v>3298</v>
      </c>
      <c r="N1" s="3391" t="s">
        <v>3299</v>
      </c>
      <c r="O1" s="3391" t="s">
        <v>3300</v>
      </c>
    </row>
    <row r="2" spans="1:15" s="3411" customFormat="1" ht="28.9" customHeight="1" thickBot="1">
      <c r="A2" s="3408" t="s">
        <v>3710</v>
      </c>
      <c r="B2" s="3408" t="s">
        <v>3301</v>
      </c>
      <c r="C2" s="3408" t="s">
        <v>3302</v>
      </c>
      <c r="D2" s="3408">
        <v>329.05</v>
      </c>
      <c r="E2" s="3408" t="s">
        <v>3303</v>
      </c>
      <c r="F2" s="3408">
        <v>3</v>
      </c>
      <c r="G2" s="3409" t="s">
        <v>3329</v>
      </c>
      <c r="H2" s="3408">
        <v>1997</v>
      </c>
      <c r="I2" s="3408" t="s">
        <v>2095</v>
      </c>
      <c r="J2" s="3408" t="s">
        <v>2095</v>
      </c>
      <c r="K2" s="3408" t="s">
        <v>2095</v>
      </c>
      <c r="L2" s="3408">
        <v>95305</v>
      </c>
      <c r="M2" s="3408">
        <v>90754</v>
      </c>
      <c r="N2" s="3408">
        <v>29862604</v>
      </c>
      <c r="O2" s="3410">
        <v>45583</v>
      </c>
    </row>
    <row r="3" spans="1:15" s="3397" customFormat="1" ht="27" customHeight="1" thickBot="1">
      <c r="A3" s="3394" t="s">
        <v>3304</v>
      </c>
      <c r="B3" s="3394" t="s">
        <v>3301</v>
      </c>
      <c r="C3" s="3394" t="s">
        <v>3302</v>
      </c>
      <c r="D3" s="3394">
        <v>349.79</v>
      </c>
      <c r="E3" s="3394" t="s">
        <v>3303</v>
      </c>
      <c r="F3" s="3394" t="s">
        <v>3305</v>
      </c>
      <c r="G3" s="3395" t="s">
        <v>3329</v>
      </c>
      <c r="H3" s="3394">
        <v>1997</v>
      </c>
      <c r="I3" s="3394" t="s">
        <v>2095</v>
      </c>
      <c r="J3" s="3394" t="s">
        <v>2095</v>
      </c>
      <c r="K3" s="3394" t="s">
        <v>3306</v>
      </c>
      <c r="L3" s="3394">
        <v>0</v>
      </c>
      <c r="M3" s="3394">
        <v>73206</v>
      </c>
      <c r="N3" s="3394">
        <v>25606727</v>
      </c>
      <c r="O3" s="3396">
        <v>45639</v>
      </c>
    </row>
    <row r="4" spans="1:15" s="3397" customFormat="1" ht="25.9" customHeight="1" thickBot="1">
      <c r="A4" s="3394" t="s">
        <v>3307</v>
      </c>
      <c r="B4" s="3394" t="s">
        <v>3301</v>
      </c>
      <c r="C4" s="3394" t="s">
        <v>3302</v>
      </c>
      <c r="D4" s="3394">
        <v>192.45</v>
      </c>
      <c r="E4" s="3394" t="s">
        <v>3747</v>
      </c>
      <c r="F4" s="3394">
        <v>3</v>
      </c>
      <c r="G4" s="3395" t="s">
        <v>3329</v>
      </c>
      <c r="H4" s="3394">
        <v>1997</v>
      </c>
      <c r="I4" s="3394" t="s">
        <v>2095</v>
      </c>
      <c r="J4" s="3394" t="s">
        <v>2095</v>
      </c>
      <c r="K4" s="3394" t="s">
        <v>2095</v>
      </c>
      <c r="L4" s="3394">
        <v>0</v>
      </c>
      <c r="M4" s="3394">
        <v>75003</v>
      </c>
      <c r="N4" s="3394">
        <v>14434327</v>
      </c>
      <c r="O4" s="3396">
        <v>45618</v>
      </c>
    </row>
    <row r="5" spans="1:15" s="3397" customFormat="1" ht="25.9" customHeight="1" thickBot="1">
      <c r="A5" s="3394" t="s">
        <v>3740</v>
      </c>
      <c r="B5" s="3394" t="s">
        <v>3301</v>
      </c>
      <c r="C5" s="3394" t="s">
        <v>3302</v>
      </c>
      <c r="D5" s="3394">
        <v>199.14</v>
      </c>
      <c r="E5" s="3394" t="s">
        <v>3746</v>
      </c>
      <c r="F5" s="3394">
        <v>3</v>
      </c>
      <c r="G5" s="3395" t="s">
        <v>3329</v>
      </c>
      <c r="H5" s="3394">
        <v>1997</v>
      </c>
      <c r="I5" s="3394" t="s">
        <v>2095</v>
      </c>
      <c r="J5" s="3394" t="s">
        <v>2095</v>
      </c>
      <c r="K5" s="3394" t="s">
        <v>2095</v>
      </c>
      <c r="L5" s="3394">
        <v>0</v>
      </c>
      <c r="M5" s="3394">
        <v>71306</v>
      </c>
      <c r="N5" s="3394">
        <v>14199877</v>
      </c>
      <c r="O5" s="3396">
        <v>45560</v>
      </c>
    </row>
    <row r="6" spans="1:15" s="3397" customFormat="1" ht="25.9" customHeight="1" thickBot="1">
      <c r="A6" s="3394" t="s">
        <v>3308</v>
      </c>
      <c r="B6" s="3394" t="s">
        <v>3301</v>
      </c>
      <c r="C6" s="3394" t="s">
        <v>3302</v>
      </c>
      <c r="D6" s="3394">
        <v>227.97</v>
      </c>
      <c r="E6" s="3394" t="s">
        <v>3746</v>
      </c>
      <c r="F6" s="3394">
        <v>2</v>
      </c>
      <c r="G6" s="3395" t="s">
        <v>3330</v>
      </c>
      <c r="H6" s="3394">
        <v>1997</v>
      </c>
      <c r="I6" s="3394" t="s">
        <v>2095</v>
      </c>
      <c r="J6" s="3394" t="s">
        <v>2095</v>
      </c>
      <c r="K6" s="3394" t="s">
        <v>2095</v>
      </c>
      <c r="L6" s="3394">
        <v>0</v>
      </c>
      <c r="M6" s="3394">
        <v>132160</v>
      </c>
      <c r="N6" s="3394">
        <v>30128515</v>
      </c>
      <c r="O6" s="3396">
        <v>45182</v>
      </c>
    </row>
    <row r="7" spans="1:15" s="3397" customFormat="1" ht="25.9" customHeight="1" thickBot="1">
      <c r="A7" s="3394" t="s">
        <v>3309</v>
      </c>
      <c r="B7" s="3394" t="s">
        <v>3301</v>
      </c>
      <c r="C7" s="3394" t="s">
        <v>3302</v>
      </c>
      <c r="D7" s="3394">
        <v>455.95</v>
      </c>
      <c r="E7" s="3394" t="s">
        <v>3303</v>
      </c>
      <c r="F7" s="3394">
        <v>2</v>
      </c>
      <c r="G7" s="3395" t="s">
        <v>3330</v>
      </c>
      <c r="H7" s="3394">
        <v>1997</v>
      </c>
      <c r="I7" s="3394" t="s">
        <v>2095</v>
      </c>
      <c r="J7" s="3394" t="s">
        <v>2095</v>
      </c>
      <c r="K7" s="3394" t="s">
        <v>2095</v>
      </c>
      <c r="L7" s="3394">
        <v>0</v>
      </c>
      <c r="M7" s="3394">
        <v>80443</v>
      </c>
      <c r="N7" s="3394">
        <v>36677986</v>
      </c>
      <c r="O7" s="3396">
        <v>44993</v>
      </c>
    </row>
    <row r="8" spans="1:15" s="3397" customFormat="1" ht="25.9" customHeight="1" thickBot="1">
      <c r="A8" s="3394" t="s">
        <v>3310</v>
      </c>
      <c r="B8" s="3394" t="s">
        <v>3328</v>
      </c>
      <c r="C8" s="3394" t="s">
        <v>3302</v>
      </c>
      <c r="D8" s="3394">
        <v>349.79</v>
      </c>
      <c r="E8" s="3394" t="s">
        <v>3303</v>
      </c>
      <c r="F8" s="3394">
        <v>3</v>
      </c>
      <c r="G8" s="3395" t="s">
        <v>3745</v>
      </c>
      <c r="H8" s="3394">
        <v>1997</v>
      </c>
      <c r="I8" s="3394" t="s">
        <v>2095</v>
      </c>
      <c r="J8" s="3394" t="s">
        <v>2095</v>
      </c>
      <c r="K8" s="3394" t="s">
        <v>2095</v>
      </c>
      <c r="L8" s="3394">
        <v>87195</v>
      </c>
      <c r="M8" s="3394">
        <v>80161</v>
      </c>
      <c r="N8" s="3394">
        <v>28039516</v>
      </c>
      <c r="O8" s="3396">
        <v>44701</v>
      </c>
    </row>
    <row r="9" spans="1:15" s="3397" customFormat="1" ht="25.9" customHeight="1" thickBot="1">
      <c r="A9" s="3394" t="s">
        <v>3311</v>
      </c>
      <c r="B9" s="3394" t="s">
        <v>3326</v>
      </c>
      <c r="C9" s="3394" t="s">
        <v>3302</v>
      </c>
      <c r="D9" s="3394">
        <v>395.83</v>
      </c>
      <c r="E9" s="3394" t="s">
        <v>851</v>
      </c>
      <c r="F9" s="3394" t="s">
        <v>3313</v>
      </c>
      <c r="G9" s="3395" t="s">
        <v>3327</v>
      </c>
      <c r="H9" s="3394" t="s">
        <v>2095</v>
      </c>
      <c r="I9" s="3394">
        <v>2005</v>
      </c>
      <c r="J9" s="3394" t="s">
        <v>2095</v>
      </c>
      <c r="K9" s="3394" t="s">
        <v>2095</v>
      </c>
      <c r="L9" s="3394">
        <v>0</v>
      </c>
      <c r="M9" s="3394">
        <v>70286</v>
      </c>
      <c r="N9" s="3394">
        <v>27821307</v>
      </c>
      <c r="O9" s="3396">
        <v>45555</v>
      </c>
    </row>
    <row r="10" spans="1:15" s="3397" customFormat="1" ht="25.9" customHeight="1" thickBot="1">
      <c r="A10" s="3394" t="s">
        <v>3314</v>
      </c>
      <c r="B10" s="3394" t="s">
        <v>3312</v>
      </c>
      <c r="C10" s="3394" t="s">
        <v>3741</v>
      </c>
      <c r="D10" s="3394">
        <v>358.83</v>
      </c>
      <c r="E10" s="3394" t="s">
        <v>851</v>
      </c>
      <c r="F10" s="3394" t="s">
        <v>3313</v>
      </c>
      <c r="G10" s="3395" t="s">
        <v>3327</v>
      </c>
      <c r="H10" s="3394" t="s">
        <v>2095</v>
      </c>
      <c r="I10" s="3394">
        <v>2005</v>
      </c>
      <c r="J10" s="3394" t="s">
        <v>2095</v>
      </c>
      <c r="K10" s="3394" t="s">
        <v>2095</v>
      </c>
      <c r="L10" s="3394">
        <v>0</v>
      </c>
      <c r="M10" s="3394">
        <v>75100</v>
      </c>
      <c r="N10" s="3394">
        <v>26948133</v>
      </c>
      <c r="O10" s="3396">
        <v>45545</v>
      </c>
    </row>
    <row r="11" spans="1:15" s="3397" customFormat="1" ht="25.9" customHeight="1" thickBot="1">
      <c r="A11" s="3394" t="s">
        <v>3743</v>
      </c>
      <c r="B11" s="3394" t="s">
        <v>3312</v>
      </c>
      <c r="C11" s="3394" t="s">
        <v>3742</v>
      </c>
      <c r="D11" s="3394">
        <v>334.36</v>
      </c>
      <c r="E11" s="3394" t="s">
        <v>851</v>
      </c>
      <c r="F11" s="3394">
        <v>3</v>
      </c>
      <c r="G11" s="3395" t="s">
        <v>3327</v>
      </c>
      <c r="H11" s="3394" t="s">
        <v>2095</v>
      </c>
      <c r="I11" s="3394">
        <v>2004</v>
      </c>
      <c r="J11" s="3394" t="s">
        <v>2095</v>
      </c>
      <c r="K11" s="3394" t="s">
        <v>2095</v>
      </c>
      <c r="L11" s="3394">
        <v>0</v>
      </c>
      <c r="M11" s="3394">
        <v>68690</v>
      </c>
      <c r="N11" s="3394">
        <v>22967188</v>
      </c>
      <c r="O11" s="3396">
        <v>45178</v>
      </c>
    </row>
    <row r="12" spans="1:15" s="3397" customFormat="1" ht="25.9" customHeight="1" thickBot="1">
      <c r="A12" s="3394" t="s">
        <v>3315</v>
      </c>
      <c r="B12" s="3394" t="s">
        <v>3316</v>
      </c>
      <c r="C12" s="3394" t="s">
        <v>3302</v>
      </c>
      <c r="D12" s="3394">
        <v>376.4</v>
      </c>
      <c r="E12" s="3394" t="s">
        <v>851</v>
      </c>
      <c r="F12" s="3394" t="s">
        <v>3317</v>
      </c>
      <c r="G12" s="3395" t="s">
        <v>3321</v>
      </c>
      <c r="H12" s="3394">
        <v>2005</v>
      </c>
      <c r="I12" s="3394" t="s">
        <v>2095</v>
      </c>
      <c r="J12" s="3394" t="s">
        <v>2095</v>
      </c>
      <c r="K12" s="3394" t="s">
        <v>3318</v>
      </c>
      <c r="L12" s="3394">
        <v>0</v>
      </c>
      <c r="M12" s="3394">
        <v>88184</v>
      </c>
      <c r="N12" s="3394">
        <v>33192458</v>
      </c>
      <c r="O12" s="3396">
        <v>44723</v>
      </c>
    </row>
    <row r="13" spans="1:15" s="3397" customFormat="1" ht="25.9" customHeight="1" thickBot="1">
      <c r="A13" s="3394" t="s">
        <v>3319</v>
      </c>
      <c r="B13" s="3394" t="s">
        <v>3316</v>
      </c>
      <c r="C13" s="3394" t="s">
        <v>3302</v>
      </c>
      <c r="D13" s="3394">
        <v>414.89</v>
      </c>
      <c r="E13" s="3394" t="s">
        <v>851</v>
      </c>
      <c r="F13" s="3394" t="s">
        <v>3320</v>
      </c>
      <c r="G13" s="3395" t="s">
        <v>3321</v>
      </c>
      <c r="H13" s="3394" t="s">
        <v>2095</v>
      </c>
      <c r="I13" s="3394">
        <v>2008</v>
      </c>
      <c r="J13" s="3394" t="s">
        <v>2095</v>
      </c>
      <c r="K13" s="3394" t="s">
        <v>2095</v>
      </c>
      <c r="L13" s="3394">
        <v>0</v>
      </c>
      <c r="M13" s="3394">
        <v>71271</v>
      </c>
      <c r="N13" s="3394">
        <v>29569625</v>
      </c>
      <c r="O13" s="3396">
        <v>44165</v>
      </c>
    </row>
    <row r="14" spans="1:15" s="3397" customFormat="1" ht="25.9" customHeight="1" thickBot="1">
      <c r="A14" s="3394" t="s">
        <v>3322</v>
      </c>
      <c r="B14" s="3394" t="s">
        <v>3323</v>
      </c>
      <c r="C14" s="3394" t="s">
        <v>3302</v>
      </c>
      <c r="D14" s="3394">
        <v>383.6</v>
      </c>
      <c r="E14" s="3394" t="s">
        <v>851</v>
      </c>
      <c r="F14" s="3394" t="s">
        <v>3320</v>
      </c>
      <c r="G14" s="3395" t="s">
        <v>3325</v>
      </c>
      <c r="H14" s="3394" t="s">
        <v>2095</v>
      </c>
      <c r="I14" s="3394">
        <v>2005</v>
      </c>
      <c r="J14" s="3394" t="s">
        <v>2095</v>
      </c>
      <c r="K14" s="3394" t="s">
        <v>3324</v>
      </c>
      <c r="L14" s="3394">
        <v>0</v>
      </c>
      <c r="M14" s="3394">
        <v>86126</v>
      </c>
      <c r="N14" s="3394">
        <v>33037934</v>
      </c>
      <c r="O14" s="3396">
        <v>45301</v>
      </c>
    </row>
    <row r="15" spans="1:15" s="3397" customFormat="1" ht="25.9" customHeight="1" thickBot="1">
      <c r="A15" s="3394" t="s">
        <v>3331</v>
      </c>
      <c r="B15" s="3394" t="s">
        <v>3332</v>
      </c>
      <c r="C15" s="3394" t="s">
        <v>3302</v>
      </c>
      <c r="D15" s="3394">
        <v>508.68</v>
      </c>
      <c r="E15" s="3394" t="s">
        <v>851</v>
      </c>
      <c r="F15" s="3394" t="s">
        <v>3744</v>
      </c>
      <c r="G15" s="3395" t="s">
        <v>3336</v>
      </c>
      <c r="H15" s="3394">
        <v>2004</v>
      </c>
      <c r="I15" s="3394" t="s">
        <v>2095</v>
      </c>
      <c r="J15" s="3394" t="s">
        <v>2095</v>
      </c>
      <c r="K15" s="3394" t="s">
        <v>2095</v>
      </c>
      <c r="L15" s="3394">
        <v>0</v>
      </c>
      <c r="M15" s="3394">
        <v>60272</v>
      </c>
      <c r="N15" s="3394">
        <v>30659161</v>
      </c>
      <c r="O15" s="3396">
        <v>43493</v>
      </c>
    </row>
    <row r="16" spans="1:15" s="3397" customFormat="1" ht="25.9" customHeight="1" thickBot="1">
      <c r="A16" s="3394" t="s">
        <v>3333</v>
      </c>
      <c r="B16" s="3394" t="s">
        <v>3332</v>
      </c>
      <c r="C16" s="3394" t="s">
        <v>3302</v>
      </c>
      <c r="D16" s="3394">
        <v>651.26</v>
      </c>
      <c r="E16" s="3394" t="s">
        <v>851</v>
      </c>
      <c r="F16" s="3394" t="s">
        <v>3334</v>
      </c>
      <c r="G16" s="3395">
        <f>-1-3</f>
        <v>-4</v>
      </c>
      <c r="H16" s="3394">
        <v>2004</v>
      </c>
      <c r="I16" s="3394" t="s">
        <v>877</v>
      </c>
      <c r="J16" s="3394"/>
      <c r="K16" s="3394" t="s">
        <v>3335</v>
      </c>
      <c r="L16" s="3394">
        <v>0</v>
      </c>
      <c r="M16" s="3394">
        <v>64657</v>
      </c>
      <c r="N16" s="3394">
        <v>42108518</v>
      </c>
      <c r="O16" s="3396">
        <v>43490</v>
      </c>
    </row>
    <row r="17" spans="1:15" ht="26.25" thickBot="1">
      <c r="A17" s="3412" t="s">
        <v>3717</v>
      </c>
      <c r="B17" s="3412" t="s">
        <v>3784</v>
      </c>
      <c r="C17" s="3412" t="s">
        <v>3302</v>
      </c>
      <c r="D17" s="3412">
        <v>688.95</v>
      </c>
      <c r="E17" s="3412" t="s">
        <v>851</v>
      </c>
      <c r="F17" s="3412" t="s">
        <v>3718</v>
      </c>
      <c r="G17" s="3422" t="s">
        <v>3785</v>
      </c>
      <c r="H17" s="3412" t="s">
        <v>2095</v>
      </c>
      <c r="I17" s="3412" t="s">
        <v>2095</v>
      </c>
      <c r="J17" s="3412">
        <v>2020</v>
      </c>
      <c r="K17" s="3412" t="s">
        <v>3719</v>
      </c>
      <c r="L17" s="3412">
        <v>92201</v>
      </c>
      <c r="M17" s="3412">
        <v>92798</v>
      </c>
      <c r="N17" s="3412">
        <v>63933182</v>
      </c>
      <c r="O17" s="3413">
        <v>45472</v>
      </c>
    </row>
    <row r="18" spans="1:15" ht="26.25" thickBot="1">
      <c r="A18" s="3412" t="s">
        <v>3720</v>
      </c>
      <c r="B18" s="3412" t="s">
        <v>3721</v>
      </c>
      <c r="C18" s="3412" t="s">
        <v>3302</v>
      </c>
      <c r="D18" s="3412">
        <v>188.7</v>
      </c>
      <c r="E18" s="3412" t="s">
        <v>3303</v>
      </c>
      <c r="F18" s="3412">
        <v>3</v>
      </c>
      <c r="G18" s="3414">
        <v>45660</v>
      </c>
      <c r="H18" s="3412">
        <v>1996</v>
      </c>
      <c r="I18" s="3412" t="s">
        <v>2095</v>
      </c>
      <c r="J18" s="3412" t="s">
        <v>2095</v>
      </c>
      <c r="K18" s="3412" t="s">
        <v>3722</v>
      </c>
      <c r="L18" s="3412">
        <v>151033</v>
      </c>
      <c r="M18" s="3412">
        <v>143105</v>
      </c>
      <c r="N18" s="3412">
        <v>27003914</v>
      </c>
      <c r="O18" s="3413">
        <v>45272</v>
      </c>
    </row>
    <row r="19" spans="1:15" ht="26.25" thickBot="1">
      <c r="A19" s="3412" t="s">
        <v>3723</v>
      </c>
      <c r="B19" s="3412" t="s">
        <v>3726</v>
      </c>
      <c r="C19" s="3412" t="s">
        <v>3302</v>
      </c>
      <c r="D19" s="3412">
        <v>313.14</v>
      </c>
      <c r="E19" s="3412" t="s">
        <v>3303</v>
      </c>
      <c r="F19" s="3412" t="s">
        <v>3313</v>
      </c>
      <c r="G19" s="3422">
        <f>-1-3</f>
        <v>-4</v>
      </c>
      <c r="H19" s="3412" t="s">
        <v>2095</v>
      </c>
      <c r="I19" s="3412">
        <v>2004</v>
      </c>
      <c r="J19" s="3412" t="s">
        <v>2095</v>
      </c>
      <c r="K19" s="3412" t="s">
        <v>2095</v>
      </c>
      <c r="L19" s="3412">
        <v>105384</v>
      </c>
      <c r="M19" s="3412">
        <v>105386</v>
      </c>
      <c r="N19" s="3412">
        <v>33000572</v>
      </c>
      <c r="O19" s="3413">
        <v>45596</v>
      </c>
    </row>
    <row r="20" spans="1:15" ht="26.25" thickBot="1">
      <c r="A20" s="3423" t="s">
        <v>3734</v>
      </c>
      <c r="B20" s="3423" t="s">
        <v>3312</v>
      </c>
      <c r="C20" s="3423" t="s">
        <v>3302</v>
      </c>
      <c r="D20" s="3423">
        <v>339.42</v>
      </c>
      <c r="E20" s="3423" t="s">
        <v>851</v>
      </c>
      <c r="F20" s="3423" t="s">
        <v>3735</v>
      </c>
      <c r="G20" s="3424" t="s">
        <v>3737</v>
      </c>
      <c r="H20" s="3423" t="s">
        <v>2095</v>
      </c>
      <c r="I20" s="3423">
        <v>2004</v>
      </c>
      <c r="J20" s="3423" t="s">
        <v>2095</v>
      </c>
      <c r="K20" s="3423" t="s">
        <v>2095</v>
      </c>
      <c r="L20" s="3423">
        <v>74834</v>
      </c>
      <c r="M20" s="3423">
        <v>74910</v>
      </c>
      <c r="N20" s="3423">
        <v>25425952</v>
      </c>
      <c r="O20" s="3425">
        <v>45660</v>
      </c>
    </row>
    <row r="21" spans="1:15" ht="26.25" thickBot="1">
      <c r="A21" s="3412" t="s">
        <v>3311</v>
      </c>
      <c r="B21" s="3412" t="s">
        <v>3797</v>
      </c>
      <c r="C21" s="3412" t="s">
        <v>3302</v>
      </c>
      <c r="D21" s="3412">
        <v>395.83</v>
      </c>
      <c r="E21" s="3412" t="s">
        <v>851</v>
      </c>
      <c r="F21" s="3412" t="s">
        <v>3735</v>
      </c>
      <c r="G21" s="3422" t="s">
        <v>3737</v>
      </c>
      <c r="H21" s="3412" t="s">
        <v>2095</v>
      </c>
      <c r="I21" s="3412">
        <v>2005</v>
      </c>
      <c r="J21" s="3412" t="s">
        <v>2095</v>
      </c>
      <c r="K21" s="3412" t="s">
        <v>2095</v>
      </c>
      <c r="L21" s="3412">
        <v>0</v>
      </c>
      <c r="M21" s="3412">
        <v>70286</v>
      </c>
      <c r="N21" s="3412">
        <v>27821307</v>
      </c>
      <c r="O21" s="3413">
        <v>45555</v>
      </c>
    </row>
    <row r="22" spans="1:15" ht="26.25" thickBot="1">
      <c r="A22" s="3412" t="s">
        <v>3314</v>
      </c>
      <c r="B22" s="3412" t="s">
        <v>3736</v>
      </c>
      <c r="C22" s="3412" t="s">
        <v>3302</v>
      </c>
      <c r="D22" s="3412">
        <v>358.83</v>
      </c>
      <c r="E22" s="3412" t="s">
        <v>851</v>
      </c>
      <c r="F22" s="3412" t="s">
        <v>3735</v>
      </c>
      <c r="G22" s="3422" t="s">
        <v>3737</v>
      </c>
      <c r="H22" s="3412" t="s">
        <v>2095</v>
      </c>
      <c r="I22" s="3412">
        <v>2005</v>
      </c>
      <c r="J22" s="3412" t="s">
        <v>2095</v>
      </c>
      <c r="K22" s="3412" t="s">
        <v>2095</v>
      </c>
      <c r="L22" s="3412">
        <v>0</v>
      </c>
      <c r="M22" s="3412">
        <v>75100</v>
      </c>
      <c r="N22" s="3412">
        <v>26948133</v>
      </c>
      <c r="O22" s="3413">
        <v>45545</v>
      </c>
    </row>
    <row r="23" spans="1:15" ht="26.25" thickBot="1">
      <c r="A23" s="3412" t="s">
        <v>3315</v>
      </c>
      <c r="B23" s="3412" t="s">
        <v>3316</v>
      </c>
      <c r="C23" s="3412" t="s">
        <v>3302</v>
      </c>
      <c r="D23" s="3412">
        <v>376.4</v>
      </c>
      <c r="E23" s="3412" t="s">
        <v>851</v>
      </c>
      <c r="F23" s="3412" t="s">
        <v>3317</v>
      </c>
      <c r="G23" s="3422">
        <f>-1-2</f>
        <v>-3</v>
      </c>
      <c r="H23" s="3412">
        <v>2005</v>
      </c>
      <c r="I23" s="3412" t="s">
        <v>2095</v>
      </c>
      <c r="J23" s="3412" t="s">
        <v>2095</v>
      </c>
      <c r="K23" s="3412" t="s">
        <v>3318</v>
      </c>
      <c r="L23" s="3412">
        <v>0</v>
      </c>
      <c r="M23" s="3412">
        <v>88184</v>
      </c>
      <c r="N23" s="3412">
        <v>33192458</v>
      </c>
      <c r="O23" s="3413">
        <v>44723</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B275"/>
  <sheetViews>
    <sheetView topLeftCell="A228" workbookViewId="0">
      <selection activeCell="F243" sqref="F243"/>
    </sheetView>
  </sheetViews>
  <sheetFormatPr defaultColWidth="8.875" defaultRowHeight="13.5"/>
  <cols>
    <col min="1" max="1" width="13.375" style="3400" customWidth="1"/>
    <col min="2" max="2" width="12" style="3400" customWidth="1"/>
    <col min="3" max="7" width="8.875" style="3400"/>
    <col min="8" max="8" width="36.5" style="3400" customWidth="1"/>
    <col min="9" max="14" width="8.875" style="3400"/>
    <col min="15" max="15" width="9.5" style="3400" customWidth="1"/>
    <col min="16" max="16" width="11.25" style="3400" customWidth="1"/>
    <col min="17" max="17" width="12.875" style="3400" customWidth="1"/>
    <col min="18" max="18" width="7.375" style="3400" customWidth="1"/>
    <col min="19" max="19" width="8.875" style="3400"/>
    <col min="20" max="20" width="6.5" style="3400" customWidth="1"/>
    <col min="21" max="21" width="7.5" style="3400" customWidth="1"/>
    <col min="22" max="22" width="23.875" style="3400" customWidth="1"/>
    <col min="23" max="23" width="8.875" style="3400"/>
    <col min="24" max="24" width="7.375" style="3400" customWidth="1"/>
    <col min="25" max="16384" width="8.875" style="3400"/>
  </cols>
  <sheetData>
    <row r="1" spans="1:15">
      <c r="N1" s="3401" t="s">
        <v>3713</v>
      </c>
      <c r="O1" s="3401" t="s">
        <v>3714</v>
      </c>
    </row>
    <row r="2" spans="1:15">
      <c r="A2" s="3401" t="s">
        <v>3739</v>
      </c>
      <c r="B2" s="3402">
        <v>45404.333831018521</v>
      </c>
      <c r="C2" s="3403" t="s">
        <v>3671</v>
      </c>
      <c r="D2" s="3403"/>
      <c r="E2" s="3403"/>
      <c r="F2" s="3403">
        <v>-3</v>
      </c>
      <c r="G2" s="3403">
        <v>2</v>
      </c>
      <c r="H2" s="3404" t="s">
        <v>3706</v>
      </c>
      <c r="I2" s="3403" t="s">
        <v>3303</v>
      </c>
      <c r="J2" s="3403" t="s">
        <v>3642</v>
      </c>
      <c r="K2" s="3403">
        <v>690.93</v>
      </c>
      <c r="L2" s="3403">
        <v>5710.2</v>
      </c>
      <c r="M2" s="3403">
        <v>82645</v>
      </c>
      <c r="N2" s="3401" t="s">
        <v>3707</v>
      </c>
      <c r="O2" s="3403">
        <v>1.3</v>
      </c>
    </row>
    <row r="3" spans="1:15">
      <c r="A3" s="3401" t="s">
        <v>3715</v>
      </c>
      <c r="B3" s="3405">
        <v>45509</v>
      </c>
      <c r="C3" s="3400" t="s">
        <v>3658</v>
      </c>
      <c r="F3" s="3400">
        <v>-1</v>
      </c>
      <c r="G3" s="3400">
        <v>101</v>
      </c>
      <c r="H3" s="3400" t="s">
        <v>3657</v>
      </c>
      <c r="I3" s="3400" t="s">
        <v>3303</v>
      </c>
      <c r="J3" s="3400" t="s">
        <v>3642</v>
      </c>
      <c r="K3" s="3400">
        <v>632.49</v>
      </c>
      <c r="L3" s="3400">
        <v>6816.88</v>
      </c>
      <c r="M3" s="3400">
        <v>107778</v>
      </c>
      <c r="O3" s="3400">
        <v>1.6</v>
      </c>
    </row>
    <row r="4" spans="1:15">
      <c r="A4" s="3400" t="s">
        <v>3709</v>
      </c>
      <c r="B4" s="3405">
        <v>45429</v>
      </c>
      <c r="C4" s="3400" t="s">
        <v>3656</v>
      </c>
      <c r="F4" s="3400">
        <v>-1</v>
      </c>
      <c r="G4" s="3400">
        <v>101</v>
      </c>
      <c r="H4" s="3400" t="s">
        <v>3655</v>
      </c>
      <c r="I4" s="3400" t="s">
        <v>3303</v>
      </c>
      <c r="J4" s="3400" t="s">
        <v>3642</v>
      </c>
      <c r="K4" s="3400">
        <v>639.75</v>
      </c>
      <c r="L4" s="3400">
        <v>7262.14</v>
      </c>
      <c r="M4" s="3400">
        <v>113515</v>
      </c>
    </row>
    <row r="5" spans="1:15">
      <c r="A5" s="3400" t="s">
        <v>3709</v>
      </c>
      <c r="B5" s="3405">
        <v>45421</v>
      </c>
      <c r="C5" s="3400" t="s">
        <v>3654</v>
      </c>
      <c r="F5" s="3400">
        <v>-1</v>
      </c>
      <c r="G5" s="3400">
        <v>101</v>
      </c>
      <c r="H5" s="3400" t="s">
        <v>3653</v>
      </c>
      <c r="I5" s="3400" t="s">
        <v>3303</v>
      </c>
      <c r="J5" s="3400" t="s">
        <v>3642</v>
      </c>
      <c r="K5" s="3400">
        <v>534.16</v>
      </c>
      <c r="L5" s="3400">
        <v>6019.16</v>
      </c>
      <c r="M5" s="3400">
        <v>112685</v>
      </c>
    </row>
    <row r="6" spans="1:15">
      <c r="A6" s="3400" t="s">
        <v>3709</v>
      </c>
      <c r="B6" s="3405">
        <v>45365.333831018521</v>
      </c>
      <c r="C6" s="3400" t="s">
        <v>3652</v>
      </c>
      <c r="F6" s="3400">
        <v>-1</v>
      </c>
      <c r="G6" s="3400">
        <v>101</v>
      </c>
      <c r="H6" s="3400" t="s">
        <v>3651</v>
      </c>
      <c r="I6" s="3400" t="s">
        <v>3303</v>
      </c>
      <c r="J6" s="3400" t="s">
        <v>3642</v>
      </c>
      <c r="K6" s="3400">
        <v>534.16</v>
      </c>
      <c r="L6" s="3400">
        <v>6438.37</v>
      </c>
      <c r="M6" s="3400">
        <v>120533</v>
      </c>
    </row>
    <row r="28" hidden="1"/>
    <row r="29" hidden="1"/>
    <row r="30" hidden="1"/>
    <row r="31" ht="16.149999999999999" hidden="1" customHeight="1"/>
    <row r="32" hidden="1"/>
    <row r="33" spans="16:27" hidden="1"/>
    <row r="34" spans="16:27" hidden="1"/>
    <row r="35" spans="16:27" hidden="1"/>
    <row r="36" spans="16:27" hidden="1"/>
    <row r="37" spans="16:27" hidden="1"/>
    <row r="38" spans="16:27" hidden="1"/>
    <row r="39" spans="16:27" ht="15" customHeight="1"/>
    <row r="40" spans="16:27">
      <c r="P40" s="3400" t="s">
        <v>3705</v>
      </c>
    </row>
    <row r="41" spans="16:27">
      <c r="P41" s="3400" t="s">
        <v>3622</v>
      </c>
      <c r="Q41" s="3400" t="s">
        <v>3621</v>
      </c>
      <c r="R41" s="3400" t="s">
        <v>3620</v>
      </c>
      <c r="S41" s="3400" t="s">
        <v>3619</v>
      </c>
      <c r="T41" s="3400" t="s">
        <v>3618</v>
      </c>
      <c r="U41" s="3400" t="s">
        <v>3617</v>
      </c>
      <c r="V41" s="3400" t="s">
        <v>3616</v>
      </c>
      <c r="W41" s="3400" t="s">
        <v>3615</v>
      </c>
      <c r="X41" s="3400" t="s">
        <v>3614</v>
      </c>
      <c r="Y41" s="3400" t="s">
        <v>3613</v>
      </c>
      <c r="Z41" s="3400" t="s">
        <v>3612</v>
      </c>
      <c r="AA41" s="3400" t="s">
        <v>3611</v>
      </c>
    </row>
    <row r="42" spans="16:27">
      <c r="P42" s="3405">
        <v>45643</v>
      </c>
      <c r="Q42" s="3400" t="s">
        <v>3704</v>
      </c>
      <c r="T42" s="3400">
        <v>-1</v>
      </c>
      <c r="U42" s="3400" t="s">
        <v>3701</v>
      </c>
      <c r="V42" s="3400" t="s">
        <v>3703</v>
      </c>
      <c r="W42" s="3400" t="s">
        <v>3303</v>
      </c>
      <c r="X42" s="3400" t="s">
        <v>3669</v>
      </c>
      <c r="Y42" s="3400">
        <v>416.8</v>
      </c>
      <c r="Z42" s="3400">
        <v>1700</v>
      </c>
      <c r="AA42" s="3400">
        <v>40787</v>
      </c>
    </row>
    <row r="43" spans="16:27">
      <c r="P43" s="3405">
        <v>45635</v>
      </c>
      <c r="Q43" s="3400" t="s">
        <v>3702</v>
      </c>
      <c r="T43" s="3400">
        <v>-1</v>
      </c>
      <c r="U43" s="3400" t="s">
        <v>3701</v>
      </c>
      <c r="V43" s="3400" t="s">
        <v>3700</v>
      </c>
      <c r="W43" s="3400" t="s">
        <v>3303</v>
      </c>
      <c r="X43" s="3400" t="s">
        <v>3669</v>
      </c>
      <c r="Y43" s="3400">
        <v>463.27</v>
      </c>
      <c r="Z43" s="3400">
        <v>1800</v>
      </c>
      <c r="AA43" s="3400">
        <v>38854</v>
      </c>
    </row>
    <row r="44" spans="16:27">
      <c r="P44" s="3405">
        <v>45632</v>
      </c>
      <c r="Q44" s="3400" t="s">
        <v>3689</v>
      </c>
      <c r="T44" s="3400">
        <v>3</v>
      </c>
      <c r="U44" s="3400" t="s">
        <v>3699</v>
      </c>
      <c r="V44" s="3400" t="s">
        <v>3698</v>
      </c>
      <c r="W44" s="3400" t="s">
        <v>3303</v>
      </c>
      <c r="X44" s="3400" t="s">
        <v>3669</v>
      </c>
      <c r="Y44" s="3400">
        <v>252.81</v>
      </c>
      <c r="Z44" s="3400">
        <v>550</v>
      </c>
      <c r="AA44" s="3400">
        <v>21755</v>
      </c>
    </row>
    <row r="63" spans="16:27">
      <c r="P63" s="3401" t="s">
        <v>3716</v>
      </c>
    </row>
    <row r="64" spans="16:27">
      <c r="P64" s="3671" t="s">
        <v>3622</v>
      </c>
      <c r="Q64" s="3671" t="s">
        <v>3621</v>
      </c>
      <c r="R64" s="3671" t="s">
        <v>3620</v>
      </c>
      <c r="S64" s="3671" t="s">
        <v>3619</v>
      </c>
      <c r="T64" s="3671" t="s">
        <v>3618</v>
      </c>
      <c r="U64" s="3671" t="s">
        <v>3617</v>
      </c>
      <c r="V64" s="3671" t="s">
        <v>3616</v>
      </c>
      <c r="W64" s="3671" t="s">
        <v>3615</v>
      </c>
      <c r="X64" s="3671" t="s">
        <v>3614</v>
      </c>
      <c r="Y64" s="3671" t="s">
        <v>3613</v>
      </c>
      <c r="Z64" s="3671" t="s">
        <v>3612</v>
      </c>
      <c r="AA64" s="3671" t="s">
        <v>3611</v>
      </c>
    </row>
    <row r="65" spans="16:28">
      <c r="P65" s="3670">
        <v>45636.333831018521</v>
      </c>
      <c r="Q65" s="3671" t="s">
        <v>3681</v>
      </c>
      <c r="R65" s="3671"/>
      <c r="S65" s="3671"/>
      <c r="T65" s="3671">
        <v>-3</v>
      </c>
      <c r="U65" s="3671">
        <v>1</v>
      </c>
      <c r="V65" s="3671" t="s">
        <v>3680</v>
      </c>
      <c r="W65" s="3671" t="s">
        <v>3303</v>
      </c>
      <c r="X65" s="3671" t="s">
        <v>3608</v>
      </c>
      <c r="Y65" s="3671">
        <v>570.91</v>
      </c>
      <c r="Z65" s="3671">
        <v>4090.2</v>
      </c>
      <c r="AA65" s="3671">
        <v>71644</v>
      </c>
    </row>
    <row r="66" spans="16:28">
      <c r="P66" s="3670">
        <v>45635.333831018521</v>
      </c>
      <c r="Q66" s="3671" t="s">
        <v>3697</v>
      </c>
      <c r="R66" s="3671"/>
      <c r="S66" s="3671"/>
      <c r="T66" s="3671">
        <v>-3</v>
      </c>
      <c r="U66" s="3671">
        <v>1</v>
      </c>
      <c r="V66" s="3671" t="s">
        <v>3696</v>
      </c>
      <c r="W66" s="3671" t="s">
        <v>3664</v>
      </c>
      <c r="X66" s="3671" t="s">
        <v>3694</v>
      </c>
      <c r="Y66" s="3671">
        <v>661.45</v>
      </c>
      <c r="Z66" s="3671">
        <v>5322.2</v>
      </c>
      <c r="AA66" s="3671">
        <v>80463</v>
      </c>
    </row>
    <row r="67" spans="16:28">
      <c r="P67" s="3670">
        <v>45635.333831018521</v>
      </c>
      <c r="Q67" s="3671" t="s">
        <v>3677</v>
      </c>
      <c r="R67" s="3671"/>
      <c r="S67" s="3671"/>
      <c r="T67" s="3671">
        <v>-3</v>
      </c>
      <c r="U67" s="3671">
        <v>4</v>
      </c>
      <c r="V67" s="3671" t="s">
        <v>3695</v>
      </c>
      <c r="W67" s="3671" t="s">
        <v>3664</v>
      </c>
      <c r="X67" s="3671" t="s">
        <v>3694</v>
      </c>
      <c r="Y67" s="3671">
        <v>688.75</v>
      </c>
      <c r="Z67" s="3671">
        <v>5490.2</v>
      </c>
      <c r="AA67" s="3671">
        <v>79713</v>
      </c>
    </row>
    <row r="68" spans="16:28">
      <c r="P68" s="3675">
        <v>45629.333831018521</v>
      </c>
      <c r="Q68" s="3676" t="s">
        <v>3685</v>
      </c>
      <c r="R68" s="3676"/>
      <c r="S68" s="3676"/>
      <c r="T68" s="3676">
        <v>-3</v>
      </c>
      <c r="U68" s="3676">
        <v>7</v>
      </c>
      <c r="V68" s="3676" t="s">
        <v>3684</v>
      </c>
      <c r="W68" s="3676" t="s">
        <v>3303</v>
      </c>
      <c r="X68" s="3676" t="s">
        <v>3608</v>
      </c>
      <c r="Y68" s="3676">
        <v>695.13</v>
      </c>
      <c r="Z68" s="3676">
        <v>5990.2</v>
      </c>
      <c r="AA68" s="3676">
        <v>86174</v>
      </c>
    </row>
    <row r="69" spans="16:28">
      <c r="P69" s="3405">
        <v>45576</v>
      </c>
      <c r="Q69" s="3400" t="s">
        <v>3685</v>
      </c>
      <c r="T69" s="3400">
        <v>-3</v>
      </c>
      <c r="U69" s="3400">
        <v>5</v>
      </c>
      <c r="V69" s="3400" t="s">
        <v>3684</v>
      </c>
      <c r="W69" s="3400" t="s">
        <v>3303</v>
      </c>
      <c r="X69" s="3400" t="s">
        <v>3608</v>
      </c>
      <c r="Y69" s="3400">
        <v>694.73</v>
      </c>
      <c r="Z69" s="3400">
        <v>5770.2</v>
      </c>
      <c r="AA69" s="3400">
        <v>83057</v>
      </c>
    </row>
    <row r="70" spans="16:28">
      <c r="P70" s="3405">
        <v>45541</v>
      </c>
      <c r="Q70" s="3400" t="s">
        <v>3693</v>
      </c>
      <c r="T70" s="3400">
        <v>-3</v>
      </c>
      <c r="U70" s="3400">
        <v>1</v>
      </c>
      <c r="V70" s="3400" t="s">
        <v>3692</v>
      </c>
      <c r="W70" s="3400" t="s">
        <v>3303</v>
      </c>
      <c r="X70" s="3400" t="s">
        <v>3608</v>
      </c>
      <c r="Y70" s="3400">
        <v>715.22</v>
      </c>
      <c r="Z70" s="3400">
        <v>4870.2</v>
      </c>
      <c r="AA70" s="3400">
        <v>68094</v>
      </c>
    </row>
    <row r="71" spans="16:28">
      <c r="P71" s="3670">
        <v>45513.333831018521</v>
      </c>
      <c r="Q71" s="3671" t="s">
        <v>3685</v>
      </c>
      <c r="R71" s="3671"/>
      <c r="S71" s="3671"/>
      <c r="T71" s="3671">
        <v>-3</v>
      </c>
      <c r="U71" s="3671">
        <v>6</v>
      </c>
      <c r="V71" s="3671" t="s">
        <v>3684</v>
      </c>
      <c r="W71" s="3671" t="s">
        <v>3303</v>
      </c>
      <c r="X71" s="3671" t="s">
        <v>3608</v>
      </c>
      <c r="Y71" s="3671">
        <v>694.61</v>
      </c>
      <c r="Z71" s="3671">
        <v>5890.2</v>
      </c>
      <c r="AA71" s="3671">
        <v>84799</v>
      </c>
    </row>
    <row r="72" spans="16:28">
      <c r="P72" s="3670">
        <v>45469.333831018521</v>
      </c>
      <c r="Q72" s="3671" t="s">
        <v>3691</v>
      </c>
      <c r="R72" s="3671"/>
      <c r="S72" s="3671"/>
      <c r="T72" s="3671">
        <v>-3</v>
      </c>
      <c r="U72" s="3671">
        <v>4</v>
      </c>
      <c r="V72" s="3671" t="s">
        <v>3690</v>
      </c>
      <c r="W72" s="3671" t="s">
        <v>3303</v>
      </c>
      <c r="X72" s="3671" t="s">
        <v>3642</v>
      </c>
      <c r="Y72" s="3671">
        <v>494.72</v>
      </c>
      <c r="Z72" s="3671">
        <v>3690.2</v>
      </c>
      <c r="AA72" s="3671">
        <v>74592</v>
      </c>
    </row>
    <row r="73" spans="16:28">
      <c r="P73" s="3670">
        <v>45457.333831018521</v>
      </c>
      <c r="Q73" s="3671" t="s">
        <v>3689</v>
      </c>
      <c r="R73" s="3671"/>
      <c r="S73" s="3671"/>
      <c r="T73" s="3671">
        <v>-3</v>
      </c>
      <c r="U73" s="3671">
        <v>1</v>
      </c>
      <c r="V73" s="3671" t="s">
        <v>3688</v>
      </c>
      <c r="W73" s="3671" t="s">
        <v>3303</v>
      </c>
      <c r="X73" s="3671" t="s">
        <v>3608</v>
      </c>
      <c r="Y73" s="3671">
        <v>716.32</v>
      </c>
      <c r="Z73" s="3671">
        <v>4909.2</v>
      </c>
      <c r="AA73" s="3671">
        <v>68534</v>
      </c>
    </row>
    <row r="74" spans="16:28">
      <c r="P74" s="3405">
        <v>45433</v>
      </c>
      <c r="Q74" s="3400" t="s">
        <v>3687</v>
      </c>
      <c r="T74" s="3400">
        <v>-3</v>
      </c>
      <c r="U74" s="3400">
        <v>8</v>
      </c>
      <c r="V74" s="3400" t="s">
        <v>3686</v>
      </c>
      <c r="W74" s="3400" t="s">
        <v>3303</v>
      </c>
      <c r="X74" s="3400" t="s">
        <v>3608</v>
      </c>
      <c r="Y74" s="3400">
        <v>458.32</v>
      </c>
      <c r="Z74" s="3400">
        <v>3540.2</v>
      </c>
      <c r="AA74" s="3400">
        <v>77243</v>
      </c>
    </row>
    <row r="75" spans="16:28">
      <c r="P75" s="3670">
        <v>45407.333831018521</v>
      </c>
      <c r="Q75" s="3671" t="s">
        <v>3681</v>
      </c>
      <c r="R75" s="3671"/>
      <c r="S75" s="3671"/>
      <c r="T75" s="3671">
        <v>-3</v>
      </c>
      <c r="U75" s="3671">
        <v>8</v>
      </c>
      <c r="V75" s="3671" t="s">
        <v>3680</v>
      </c>
      <c r="W75" s="3671" t="s">
        <v>3303</v>
      </c>
      <c r="X75" s="3671" t="s">
        <v>3608</v>
      </c>
      <c r="Y75" s="3671">
        <v>570.19000000000005</v>
      </c>
      <c r="Z75" s="3671">
        <v>4590.2</v>
      </c>
      <c r="AA75" s="3671">
        <v>80503</v>
      </c>
    </row>
    <row r="76" spans="16:28">
      <c r="P76" s="3670">
        <v>45407.333831018521</v>
      </c>
      <c r="Q76" s="3671" t="s">
        <v>3685</v>
      </c>
      <c r="R76" s="3671"/>
      <c r="S76" s="3671"/>
      <c r="T76" s="3671">
        <v>-3</v>
      </c>
      <c r="U76" s="3671">
        <v>2</v>
      </c>
      <c r="V76" s="3671" t="s">
        <v>3684</v>
      </c>
      <c r="W76" s="3671" t="s">
        <v>3303</v>
      </c>
      <c r="X76" s="3671" t="s">
        <v>3608</v>
      </c>
      <c r="Y76" s="3671">
        <v>694.92</v>
      </c>
      <c r="Z76" s="3671">
        <v>5690.2</v>
      </c>
      <c r="AA76" s="3671">
        <v>81883</v>
      </c>
    </row>
    <row r="77" spans="16:28">
      <c r="P77" s="3670">
        <v>45407.333831018521</v>
      </c>
      <c r="Q77" s="3671" t="s">
        <v>3683</v>
      </c>
      <c r="R77" s="3671"/>
      <c r="S77" s="3671"/>
      <c r="T77" s="3671">
        <v>-3</v>
      </c>
      <c r="U77" s="3671">
        <v>6</v>
      </c>
      <c r="V77" s="3671" t="s">
        <v>3682</v>
      </c>
      <c r="W77" s="3671" t="s">
        <v>3303</v>
      </c>
      <c r="X77" s="3671" t="s">
        <v>3608</v>
      </c>
      <c r="Y77" s="3671">
        <v>561.34</v>
      </c>
      <c r="Z77" s="3671">
        <v>4190.2</v>
      </c>
      <c r="AA77" s="3671">
        <v>74646</v>
      </c>
    </row>
    <row r="78" spans="16:28">
      <c r="P78" s="3670">
        <v>45407.333831018521</v>
      </c>
      <c r="Q78" s="3671" t="s">
        <v>3681</v>
      </c>
      <c r="R78" s="3671"/>
      <c r="S78" s="3671"/>
      <c r="T78" s="3671">
        <v>-3</v>
      </c>
      <c r="U78" s="3671">
        <v>15</v>
      </c>
      <c r="V78" s="3671" t="s">
        <v>3680</v>
      </c>
      <c r="W78" s="3671" t="s">
        <v>3303</v>
      </c>
      <c r="X78" s="3671" t="s">
        <v>3608</v>
      </c>
      <c r="Y78" s="3671">
        <v>580.19000000000005</v>
      </c>
      <c r="Z78" s="3671">
        <v>4040.2</v>
      </c>
      <c r="AA78" s="3671">
        <v>69636</v>
      </c>
    </row>
    <row r="79" spans="16:28">
      <c r="P79" s="3673">
        <v>45404.333831018521</v>
      </c>
      <c r="Q79" s="3672" t="s">
        <v>3671</v>
      </c>
      <c r="R79" s="3672"/>
      <c r="S79" s="3672"/>
      <c r="T79" s="3672">
        <v>-3</v>
      </c>
      <c r="U79" s="3672">
        <v>2</v>
      </c>
      <c r="V79" s="3674" t="s">
        <v>3706</v>
      </c>
      <c r="W79" s="3672" t="s">
        <v>3303</v>
      </c>
      <c r="X79" s="3672" t="s">
        <v>3642</v>
      </c>
      <c r="Y79" s="3672">
        <v>690.93</v>
      </c>
      <c r="Z79" s="3672">
        <v>5710.2</v>
      </c>
      <c r="AA79" s="3672">
        <v>82645</v>
      </c>
      <c r="AB79" s="3401" t="s">
        <v>3707</v>
      </c>
    </row>
    <row r="80" spans="16:28">
      <c r="P80" s="3670">
        <v>45355.333831018521</v>
      </c>
      <c r="Q80" s="3671" t="s">
        <v>3627</v>
      </c>
      <c r="R80" s="3671"/>
      <c r="S80" s="3671"/>
      <c r="T80" s="3671">
        <v>-3</v>
      </c>
      <c r="U80" s="3671">
        <v>8</v>
      </c>
      <c r="V80" s="3671" t="s">
        <v>3679</v>
      </c>
      <c r="W80" s="3671" t="s">
        <v>3303</v>
      </c>
      <c r="X80" s="3671" t="s">
        <v>3608</v>
      </c>
      <c r="Y80" s="3671">
        <v>579.79</v>
      </c>
      <c r="Z80" s="3671">
        <v>4318.2</v>
      </c>
      <c r="AA80" s="3671">
        <v>74479</v>
      </c>
    </row>
    <row r="89" spans="16:27">
      <c r="P89" s="3400" t="s">
        <v>3678</v>
      </c>
    </row>
    <row r="90" spans="16:27">
      <c r="P90" s="3400" t="s">
        <v>3622</v>
      </c>
      <c r="Q90" s="3400" t="s">
        <v>3621</v>
      </c>
      <c r="R90" s="3400" t="s">
        <v>3620</v>
      </c>
      <c r="S90" s="3400" t="s">
        <v>3619</v>
      </c>
      <c r="T90" s="3400" t="s">
        <v>3618</v>
      </c>
      <c r="U90" s="3400" t="s">
        <v>3617</v>
      </c>
      <c r="V90" s="3400" t="s">
        <v>3616</v>
      </c>
      <c r="W90" s="3400" t="s">
        <v>3615</v>
      </c>
      <c r="X90" s="3400" t="s">
        <v>3614</v>
      </c>
      <c r="Y90" s="3400" t="s">
        <v>3613</v>
      </c>
      <c r="Z90" s="3400" t="s">
        <v>3612</v>
      </c>
      <c r="AA90" s="3400" t="s">
        <v>3611</v>
      </c>
    </row>
    <row r="91" spans="16:27">
      <c r="P91" s="3405">
        <v>45639</v>
      </c>
      <c r="Q91" s="3400" t="s">
        <v>3677</v>
      </c>
      <c r="T91" s="3400">
        <v>-2</v>
      </c>
      <c r="U91" s="3400">
        <v>102</v>
      </c>
      <c r="V91" s="3400" t="s">
        <v>3676</v>
      </c>
      <c r="W91" s="3400" t="s">
        <v>3303</v>
      </c>
      <c r="X91" s="3400" t="s">
        <v>3669</v>
      </c>
      <c r="Y91" s="3400">
        <v>366.84</v>
      </c>
      <c r="Z91" s="3400">
        <v>3000</v>
      </c>
      <c r="AA91" s="3400">
        <v>81780</v>
      </c>
    </row>
    <row r="92" spans="16:27">
      <c r="P92" s="3670">
        <v>45484.333831018521</v>
      </c>
      <c r="Q92" s="3671" t="s">
        <v>3675</v>
      </c>
      <c r="R92" s="3671"/>
      <c r="S92" s="3671"/>
      <c r="T92" s="3671">
        <v>-2</v>
      </c>
      <c r="U92" s="3671">
        <v>101</v>
      </c>
      <c r="V92" s="3671" t="s">
        <v>3674</v>
      </c>
      <c r="W92" s="3671" t="s">
        <v>3303</v>
      </c>
      <c r="X92" s="3671" t="s">
        <v>3669</v>
      </c>
      <c r="Y92" s="3671">
        <v>383.3</v>
      </c>
      <c r="Z92" s="3671">
        <v>4326.07</v>
      </c>
      <c r="AA92" s="3671">
        <v>112864</v>
      </c>
    </row>
    <row r="93" spans="16:27">
      <c r="P93" s="3405">
        <v>45425</v>
      </c>
      <c r="Q93" s="3400" t="s">
        <v>3673</v>
      </c>
      <c r="T93" s="3400">
        <v>-2</v>
      </c>
      <c r="U93" s="3400">
        <v>101</v>
      </c>
      <c r="V93" s="3400" t="s">
        <v>3672</v>
      </c>
      <c r="W93" s="3400" t="s">
        <v>3303</v>
      </c>
      <c r="X93" s="3400" t="s">
        <v>3669</v>
      </c>
      <c r="Y93" s="3400">
        <v>381.11</v>
      </c>
      <c r="Z93" s="3400">
        <v>3510</v>
      </c>
      <c r="AA93" s="3400">
        <v>92099</v>
      </c>
    </row>
    <row r="94" spans="16:27">
      <c r="P94" s="3670">
        <v>45324.333831018521</v>
      </c>
      <c r="Q94" s="3671" t="s">
        <v>3671</v>
      </c>
      <c r="R94" s="3671"/>
      <c r="S94" s="3671"/>
      <c r="T94" s="3671">
        <v>-2</v>
      </c>
      <c r="U94" s="3671">
        <v>102</v>
      </c>
      <c r="V94" s="3671" t="s">
        <v>3670</v>
      </c>
      <c r="W94" s="3671" t="s">
        <v>3303</v>
      </c>
      <c r="X94" s="3671" t="s">
        <v>3669</v>
      </c>
      <c r="Y94" s="3671">
        <v>374.65</v>
      </c>
      <c r="Z94" s="3671">
        <v>3514.76</v>
      </c>
      <c r="AA94" s="3671">
        <v>93814</v>
      </c>
    </row>
    <row r="116" spans="16:27">
      <c r="P116" s="3406" t="s">
        <v>3708</v>
      </c>
    </row>
    <row r="117" spans="16:27">
      <c r="P117" s="3671" t="s">
        <v>3622</v>
      </c>
      <c r="Q117" s="3671" t="s">
        <v>3621</v>
      </c>
      <c r="R117" s="3671" t="s">
        <v>3620</v>
      </c>
      <c r="S117" s="3671" t="s">
        <v>3619</v>
      </c>
      <c r="T117" s="3671" t="s">
        <v>3618</v>
      </c>
      <c r="U117" s="3671" t="s">
        <v>3617</v>
      </c>
      <c r="V117" s="3671" t="s">
        <v>3616</v>
      </c>
      <c r="W117" s="3671" t="s">
        <v>3615</v>
      </c>
      <c r="X117" s="3671" t="s">
        <v>3614</v>
      </c>
      <c r="Y117" s="3671" t="s">
        <v>3613</v>
      </c>
      <c r="Z117" s="3671" t="s">
        <v>3612</v>
      </c>
      <c r="AA117" s="3671" t="s">
        <v>3611</v>
      </c>
    </row>
    <row r="118" spans="16:27">
      <c r="P118" s="3670">
        <v>45636.333831018521</v>
      </c>
      <c r="Q118" s="3671" t="s">
        <v>3668</v>
      </c>
      <c r="R118" s="3671"/>
      <c r="S118" s="3671"/>
      <c r="T118" s="3671">
        <v>-1</v>
      </c>
      <c r="U118" s="3671">
        <v>101</v>
      </c>
      <c r="V118" s="3671" t="s">
        <v>3667</v>
      </c>
      <c r="W118" s="3671" t="s">
        <v>3303</v>
      </c>
      <c r="X118" s="3671" t="s">
        <v>3642</v>
      </c>
      <c r="Y118" s="3671">
        <v>639.75</v>
      </c>
      <c r="Z118" s="3671">
        <v>4339.42</v>
      </c>
      <c r="AA118" s="3671">
        <v>67830</v>
      </c>
    </row>
    <row r="119" spans="16:27">
      <c r="P119" s="3670">
        <v>45636.333831018521</v>
      </c>
      <c r="Q119" s="3671" t="s">
        <v>3666</v>
      </c>
      <c r="R119" s="3671"/>
      <c r="S119" s="3671"/>
      <c r="T119" s="3671">
        <v>-1</v>
      </c>
      <c r="U119" s="3671">
        <v>101</v>
      </c>
      <c r="V119" s="3671" t="s">
        <v>3665</v>
      </c>
      <c r="W119" s="3671" t="s">
        <v>3664</v>
      </c>
      <c r="X119" s="3671" t="s">
        <v>3663</v>
      </c>
      <c r="Y119" s="3671">
        <v>518.65</v>
      </c>
      <c r="Z119" s="3671">
        <v>5723.18</v>
      </c>
      <c r="AA119" s="3671">
        <v>110348</v>
      </c>
    </row>
    <row r="120" spans="16:27">
      <c r="P120" s="3405">
        <v>45596</v>
      </c>
      <c r="Q120" s="3400" t="s">
        <v>3662</v>
      </c>
      <c r="T120" s="3400">
        <v>-1</v>
      </c>
      <c r="U120" s="3400">
        <v>101</v>
      </c>
      <c r="V120" s="3400" t="s">
        <v>3661</v>
      </c>
      <c r="W120" s="3400" t="s">
        <v>3303</v>
      </c>
      <c r="X120" s="3400" t="s">
        <v>3642</v>
      </c>
      <c r="Y120" s="3400">
        <v>609.66999999999996</v>
      </c>
      <c r="Z120" s="3400">
        <v>4121.37</v>
      </c>
      <c r="AA120" s="3400">
        <v>67600</v>
      </c>
    </row>
    <row r="121" spans="16:27">
      <c r="P121" s="3405">
        <v>45590</v>
      </c>
      <c r="Q121" s="3400" t="s">
        <v>3660</v>
      </c>
      <c r="T121" s="3400">
        <v>-1</v>
      </c>
      <c r="U121" s="3400">
        <v>101</v>
      </c>
      <c r="V121" s="3400" t="s">
        <v>3659</v>
      </c>
      <c r="W121" s="3400" t="s">
        <v>3303</v>
      </c>
      <c r="X121" s="3400" t="s">
        <v>3642</v>
      </c>
      <c r="Y121" s="3400">
        <v>649.01</v>
      </c>
      <c r="Z121" s="3400">
        <v>4403.53</v>
      </c>
      <c r="AA121" s="3400">
        <v>67850</v>
      </c>
    </row>
    <row r="122" spans="16:27">
      <c r="P122" s="3405">
        <v>45509</v>
      </c>
      <c r="Q122" s="3400" t="s">
        <v>3658</v>
      </c>
      <c r="T122" s="3400">
        <v>-1</v>
      </c>
      <c r="U122" s="3400">
        <v>101</v>
      </c>
      <c r="V122" s="3400" t="s">
        <v>3657</v>
      </c>
      <c r="W122" s="3400" t="s">
        <v>3303</v>
      </c>
      <c r="X122" s="3400" t="s">
        <v>3642</v>
      </c>
      <c r="Y122" s="3400">
        <v>632.49</v>
      </c>
      <c r="Z122" s="3400">
        <v>6816.88</v>
      </c>
      <c r="AA122" s="3400">
        <v>107778</v>
      </c>
    </row>
    <row r="123" spans="16:27">
      <c r="P123" s="3405">
        <v>45429</v>
      </c>
      <c r="Q123" s="3400" t="s">
        <v>3656</v>
      </c>
      <c r="T123" s="3400">
        <v>-1</v>
      </c>
      <c r="U123" s="3400">
        <v>101</v>
      </c>
      <c r="V123" s="3400" t="s">
        <v>3655</v>
      </c>
      <c r="W123" s="3400" t="s">
        <v>3303</v>
      </c>
      <c r="X123" s="3400" t="s">
        <v>3642</v>
      </c>
      <c r="Y123" s="3400">
        <v>639.75</v>
      </c>
      <c r="Z123" s="3400">
        <v>7262.14</v>
      </c>
      <c r="AA123" s="3400">
        <v>113515</v>
      </c>
    </row>
    <row r="124" spans="16:27">
      <c r="P124" s="3405">
        <v>45421</v>
      </c>
      <c r="Q124" s="3400" t="s">
        <v>3654</v>
      </c>
      <c r="T124" s="3400">
        <v>-1</v>
      </c>
      <c r="U124" s="3400">
        <v>101</v>
      </c>
      <c r="V124" s="3400" t="s">
        <v>3653</v>
      </c>
      <c r="W124" s="3400" t="s">
        <v>3303</v>
      </c>
      <c r="X124" s="3400" t="s">
        <v>3642</v>
      </c>
      <c r="Y124" s="3400">
        <v>534.16</v>
      </c>
      <c r="Z124" s="3400">
        <v>6019.16</v>
      </c>
      <c r="AA124" s="3400">
        <v>112685</v>
      </c>
    </row>
    <row r="125" spans="16:27">
      <c r="P125" s="3670">
        <v>45365.333831018521</v>
      </c>
      <c r="Q125" s="3671" t="s">
        <v>3652</v>
      </c>
      <c r="R125" s="3671"/>
      <c r="S125" s="3671"/>
      <c r="T125" s="3671">
        <v>-1</v>
      </c>
      <c r="U125" s="3671">
        <v>101</v>
      </c>
      <c r="V125" s="3671" t="s">
        <v>3651</v>
      </c>
      <c r="W125" s="3671" t="s">
        <v>3303</v>
      </c>
      <c r="X125" s="3671" t="s">
        <v>3642</v>
      </c>
      <c r="Y125" s="3671">
        <v>534.16</v>
      </c>
      <c r="Z125" s="3671">
        <v>6438.37</v>
      </c>
      <c r="AA125" s="3671">
        <v>120533</v>
      </c>
    </row>
    <row r="126" spans="16:27">
      <c r="P126" s="3670">
        <v>45365.333831018521</v>
      </c>
      <c r="Q126" s="3671" t="s">
        <v>3650</v>
      </c>
      <c r="R126" s="3671"/>
      <c r="S126" s="3671"/>
      <c r="T126" s="3671">
        <v>-1</v>
      </c>
      <c r="U126" s="3671">
        <v>101</v>
      </c>
      <c r="V126" s="3671" t="s">
        <v>3649</v>
      </c>
      <c r="W126" s="3671" t="s">
        <v>3303</v>
      </c>
      <c r="X126" s="3671" t="s">
        <v>3642</v>
      </c>
      <c r="Y126" s="3671">
        <v>639.75</v>
      </c>
      <c r="Z126" s="3671">
        <v>4334.3100000000004</v>
      </c>
      <c r="AA126" s="3671">
        <v>67750</v>
      </c>
    </row>
    <row r="127" spans="16:27">
      <c r="P127" s="3670">
        <v>45355.333831018521</v>
      </c>
      <c r="Q127" s="3671" t="s">
        <v>3648</v>
      </c>
      <c r="R127" s="3671"/>
      <c r="S127" s="3671"/>
      <c r="T127" s="3671">
        <v>-1</v>
      </c>
      <c r="U127" s="3671">
        <v>101</v>
      </c>
      <c r="V127" s="3671" t="s">
        <v>3647</v>
      </c>
      <c r="W127" s="3671" t="s">
        <v>3303</v>
      </c>
      <c r="X127" s="3671" t="s">
        <v>3642</v>
      </c>
      <c r="Y127" s="3671">
        <v>632.49</v>
      </c>
      <c r="Z127" s="3671">
        <v>4281.96</v>
      </c>
      <c r="AA127" s="3671">
        <v>67700</v>
      </c>
    </row>
    <row r="128" spans="16:27">
      <c r="P128" s="3670">
        <v>45349.333831018521</v>
      </c>
      <c r="Q128" s="3671" t="s">
        <v>3646</v>
      </c>
      <c r="R128" s="3671"/>
      <c r="S128" s="3671"/>
      <c r="T128" s="3671">
        <v>-1</v>
      </c>
      <c r="U128" s="3671">
        <v>101</v>
      </c>
      <c r="V128" s="3671" t="s">
        <v>3645</v>
      </c>
      <c r="W128" s="3671" t="s">
        <v>3303</v>
      </c>
      <c r="X128" s="3671" t="s">
        <v>3642</v>
      </c>
      <c r="Y128" s="3671">
        <v>632.41999999999996</v>
      </c>
      <c r="Z128" s="3671">
        <v>4281.4799999999996</v>
      </c>
      <c r="AA128" s="3671">
        <v>67700</v>
      </c>
    </row>
    <row r="129" spans="16:27">
      <c r="P129" s="3670">
        <v>45308.333831018521</v>
      </c>
      <c r="Q129" s="3671" t="s">
        <v>3644</v>
      </c>
      <c r="R129" s="3671"/>
      <c r="S129" s="3671"/>
      <c r="T129" s="3671">
        <v>-1</v>
      </c>
      <c r="U129" s="3671">
        <v>101</v>
      </c>
      <c r="V129" s="3671" t="s">
        <v>3643</v>
      </c>
      <c r="W129" s="3671" t="s">
        <v>3303</v>
      </c>
      <c r="X129" s="3671" t="s">
        <v>3642</v>
      </c>
      <c r="Y129" s="3671">
        <v>604.94000000000005</v>
      </c>
      <c r="Z129" s="3671">
        <v>4086.37</v>
      </c>
      <c r="AA129" s="3671">
        <v>67550</v>
      </c>
    </row>
    <row r="153" spans="16:27">
      <c r="P153" s="3400" t="s">
        <v>3641</v>
      </c>
    </row>
    <row r="154" spans="16:27">
      <c r="P154" s="3671" t="s">
        <v>3622</v>
      </c>
      <c r="Q154" s="3671" t="s">
        <v>3621</v>
      </c>
      <c r="R154" s="3671" t="s">
        <v>3620</v>
      </c>
      <c r="S154" s="3671" t="s">
        <v>3619</v>
      </c>
      <c r="T154" s="3671" t="s">
        <v>3618</v>
      </c>
      <c r="U154" s="3671" t="s">
        <v>3617</v>
      </c>
      <c r="V154" s="3671" t="s">
        <v>3616</v>
      </c>
      <c r="W154" s="3671" t="s">
        <v>3615</v>
      </c>
      <c r="X154" s="3671" t="s">
        <v>3614</v>
      </c>
      <c r="Y154" s="3671" t="s">
        <v>3613</v>
      </c>
      <c r="Z154" s="3671" t="s">
        <v>3612</v>
      </c>
      <c r="AA154" s="3671" t="s">
        <v>3611</v>
      </c>
    </row>
    <row r="155" spans="16:27">
      <c r="P155" s="3670">
        <v>45618.333831018521</v>
      </c>
      <c r="Q155" s="3671" t="s">
        <v>3640</v>
      </c>
      <c r="R155" s="3671"/>
      <c r="S155" s="3671"/>
      <c r="T155" s="3671">
        <v>1</v>
      </c>
      <c r="U155" s="3671">
        <v>301</v>
      </c>
      <c r="V155" s="3671" t="s">
        <v>3630</v>
      </c>
      <c r="W155" s="3671" t="s">
        <v>3303</v>
      </c>
      <c r="X155" s="3671" t="s">
        <v>3624</v>
      </c>
      <c r="Y155" s="3671">
        <v>285.77999999999997</v>
      </c>
      <c r="Z155" s="3671">
        <v>2409.98</v>
      </c>
      <c r="AA155" s="3671">
        <v>84330</v>
      </c>
    </row>
    <row r="156" spans="16:27">
      <c r="P156" s="3405">
        <v>45525</v>
      </c>
      <c r="Q156" s="3400" t="s">
        <v>3640</v>
      </c>
      <c r="T156" s="3400">
        <v>1</v>
      </c>
      <c r="U156" s="3400">
        <v>101</v>
      </c>
      <c r="V156" s="3400" t="s">
        <v>3630</v>
      </c>
      <c r="W156" s="3400" t="s">
        <v>3303</v>
      </c>
      <c r="X156" s="3400" t="s">
        <v>3624</v>
      </c>
      <c r="Y156" s="3400">
        <v>291.41000000000003</v>
      </c>
      <c r="Z156" s="3400">
        <v>2623.56</v>
      </c>
      <c r="AA156" s="3400">
        <v>90030</v>
      </c>
    </row>
    <row r="157" spans="16:27">
      <c r="P157" s="3670">
        <v>45484.333831018521</v>
      </c>
      <c r="Q157" s="3671" t="s">
        <v>3638</v>
      </c>
      <c r="R157" s="3671"/>
      <c r="S157" s="3671"/>
      <c r="T157" s="3671">
        <v>1</v>
      </c>
      <c r="U157" s="3671" t="s">
        <v>3639</v>
      </c>
      <c r="V157" s="3671" t="s">
        <v>3630</v>
      </c>
      <c r="W157" s="3671" t="s">
        <v>3303</v>
      </c>
      <c r="X157" s="3671" t="s">
        <v>3624</v>
      </c>
      <c r="Y157" s="3671">
        <v>278.38</v>
      </c>
      <c r="Z157" s="3671">
        <v>2522.96</v>
      </c>
      <c r="AA157" s="3671">
        <v>90630</v>
      </c>
    </row>
    <row r="158" spans="16:27">
      <c r="P158" s="3670">
        <v>45421.333831018521</v>
      </c>
      <c r="Q158" s="3671" t="s">
        <v>3638</v>
      </c>
      <c r="R158" s="3671"/>
      <c r="S158" s="3671"/>
      <c r="T158" s="3671">
        <v>1</v>
      </c>
      <c r="U158" s="3671" t="s">
        <v>3637</v>
      </c>
      <c r="V158" s="3671" t="s">
        <v>3630</v>
      </c>
      <c r="W158" s="3671" t="s">
        <v>3303</v>
      </c>
      <c r="X158" s="3671" t="s">
        <v>3624</v>
      </c>
      <c r="Y158" s="3671">
        <v>284.19</v>
      </c>
      <c r="Z158" s="3671">
        <v>2731.07</v>
      </c>
      <c r="AA158" s="3671">
        <v>96100</v>
      </c>
    </row>
    <row r="159" spans="16:27">
      <c r="P159" s="3670">
        <v>45421.333831018521</v>
      </c>
      <c r="Q159" s="3671" t="s">
        <v>3636</v>
      </c>
      <c r="R159" s="3671"/>
      <c r="S159" s="3671"/>
      <c r="T159" s="3671">
        <v>1</v>
      </c>
      <c r="U159" s="3671" t="s">
        <v>3635</v>
      </c>
      <c r="V159" s="3671" t="s">
        <v>3630</v>
      </c>
      <c r="W159" s="3671" t="s">
        <v>3303</v>
      </c>
      <c r="X159" s="3671" t="s">
        <v>3624</v>
      </c>
      <c r="Y159" s="3671">
        <v>276.86</v>
      </c>
      <c r="Z159" s="3671">
        <v>2424.7399999999998</v>
      </c>
      <c r="AA159" s="3671">
        <v>87580</v>
      </c>
    </row>
    <row r="160" spans="16:27">
      <c r="P160" s="3670">
        <v>45343.333831018521</v>
      </c>
      <c r="Q160" s="3671" t="s">
        <v>3634</v>
      </c>
      <c r="R160" s="3671"/>
      <c r="S160" s="3671"/>
      <c r="T160" s="3671">
        <v>1</v>
      </c>
      <c r="U160" s="3671" t="s">
        <v>3633</v>
      </c>
      <c r="V160" s="3671" t="s">
        <v>3630</v>
      </c>
      <c r="W160" s="3671" t="s">
        <v>3303</v>
      </c>
      <c r="X160" s="3671" t="s">
        <v>3624</v>
      </c>
      <c r="Y160" s="3671">
        <v>277.49</v>
      </c>
      <c r="Z160" s="3671">
        <v>2476.04</v>
      </c>
      <c r="AA160" s="3671">
        <v>89230</v>
      </c>
    </row>
    <row r="161" spans="16:27">
      <c r="P161" s="3670">
        <v>45319.333831018521</v>
      </c>
      <c r="Q161" s="3671" t="s">
        <v>3632</v>
      </c>
      <c r="R161" s="3671"/>
      <c r="S161" s="3671"/>
      <c r="T161" s="3671">
        <v>1</v>
      </c>
      <c r="U161" s="3671" t="s">
        <v>3631</v>
      </c>
      <c r="V161" s="3671" t="s">
        <v>3630</v>
      </c>
      <c r="W161" s="3671" t="s">
        <v>3303</v>
      </c>
      <c r="X161" s="3671" t="s">
        <v>3624</v>
      </c>
      <c r="Y161" s="3671">
        <v>277.06</v>
      </c>
      <c r="Z161" s="3671">
        <v>2643.15</v>
      </c>
      <c r="AA161" s="3671">
        <v>95400</v>
      </c>
    </row>
    <row r="181" spans="16:27">
      <c r="P181" s="3400" t="s">
        <v>3629</v>
      </c>
    </row>
    <row r="182" spans="16:27">
      <c r="P182" s="3400" t="s">
        <v>3622</v>
      </c>
      <c r="Q182" s="3400" t="s">
        <v>3621</v>
      </c>
      <c r="R182" s="3400" t="s">
        <v>3620</v>
      </c>
      <c r="S182" s="3400" t="s">
        <v>3619</v>
      </c>
      <c r="T182" s="3400" t="s">
        <v>3618</v>
      </c>
      <c r="U182" s="3400" t="s">
        <v>3617</v>
      </c>
      <c r="V182" s="3400" t="s">
        <v>3616</v>
      </c>
      <c r="W182" s="3400" t="s">
        <v>3615</v>
      </c>
      <c r="X182" s="3400" t="s">
        <v>3614</v>
      </c>
      <c r="Y182" s="3400" t="s">
        <v>3613</v>
      </c>
      <c r="Z182" s="3400" t="s">
        <v>3612</v>
      </c>
      <c r="AA182" s="3400" t="s">
        <v>3611</v>
      </c>
    </row>
    <row r="183" spans="16:27">
      <c r="P183" s="3405">
        <v>45545</v>
      </c>
      <c r="Q183" s="3400" t="s">
        <v>3627</v>
      </c>
      <c r="T183" s="3400">
        <v>-1</v>
      </c>
      <c r="U183" s="3400" t="s">
        <v>3628</v>
      </c>
      <c r="V183" s="3400" t="s">
        <v>3625</v>
      </c>
      <c r="W183" s="3400" t="s">
        <v>3303</v>
      </c>
      <c r="X183" s="3400" t="s">
        <v>3624</v>
      </c>
      <c r="Y183" s="3400">
        <v>195.81</v>
      </c>
      <c r="Z183" s="3400">
        <v>1385.09</v>
      </c>
      <c r="AA183" s="3400">
        <v>70736</v>
      </c>
    </row>
    <row r="184" spans="16:27">
      <c r="P184" s="3405">
        <v>45490</v>
      </c>
      <c r="Q184" s="3400" t="s">
        <v>3627</v>
      </c>
      <c r="T184" s="3400">
        <v>-1</v>
      </c>
      <c r="U184" s="3400" t="s">
        <v>3626</v>
      </c>
      <c r="V184" s="3400" t="s">
        <v>3625</v>
      </c>
      <c r="W184" s="3400" t="s">
        <v>3303</v>
      </c>
      <c r="X184" s="3400" t="s">
        <v>3624</v>
      </c>
      <c r="Y184" s="3400">
        <v>304.61</v>
      </c>
      <c r="Z184" s="3400">
        <v>1365.19</v>
      </c>
      <c r="AA184" s="3400">
        <v>44818</v>
      </c>
    </row>
    <row r="211" spans="16:27">
      <c r="P211" s="3407" t="s">
        <v>3623</v>
      </c>
    </row>
    <row r="212" spans="16:27">
      <c r="P212" s="3400" t="s">
        <v>3622</v>
      </c>
      <c r="Q212" s="3400" t="s">
        <v>3621</v>
      </c>
      <c r="R212" s="3400" t="s">
        <v>3620</v>
      </c>
      <c r="S212" s="3400" t="s">
        <v>3619</v>
      </c>
      <c r="T212" s="3400" t="s">
        <v>3618</v>
      </c>
      <c r="U212" s="3400" t="s">
        <v>3617</v>
      </c>
      <c r="V212" s="3400" t="s">
        <v>3616</v>
      </c>
      <c r="W212" s="3400" t="s">
        <v>3615</v>
      </c>
      <c r="X212" s="3400" t="s">
        <v>3614</v>
      </c>
      <c r="Y212" s="3400" t="s">
        <v>3613</v>
      </c>
      <c r="Z212" s="3400" t="s">
        <v>3612</v>
      </c>
      <c r="AA212" s="3400" t="s">
        <v>3611</v>
      </c>
    </row>
    <row r="213" spans="16:27">
      <c r="P213" s="3405">
        <v>45614</v>
      </c>
      <c r="Q213" s="3400" t="s">
        <v>3610</v>
      </c>
      <c r="T213" s="3400">
        <v>-3</v>
      </c>
      <c r="U213" s="3400">
        <v>7</v>
      </c>
      <c r="V213" s="3400" t="s">
        <v>3609</v>
      </c>
      <c r="W213" s="3400" t="s">
        <v>3303</v>
      </c>
      <c r="X213" s="3400" t="s">
        <v>3608</v>
      </c>
      <c r="Y213" s="3400">
        <v>500.98</v>
      </c>
      <c r="Z213" s="3400">
        <v>2114</v>
      </c>
      <c r="AA213" s="3400">
        <v>42197</v>
      </c>
    </row>
    <row r="240" spans="1:13">
      <c r="A240" t="s">
        <v>3748</v>
      </c>
      <c r="B240" t="s">
        <v>3343</v>
      </c>
      <c r="C240" t="s">
        <v>3344</v>
      </c>
      <c r="D240" t="s">
        <v>3749</v>
      </c>
      <c r="E240" t="s">
        <v>3613</v>
      </c>
      <c r="F240" t="s">
        <v>3750</v>
      </c>
      <c r="G240" t="s">
        <v>3612</v>
      </c>
      <c r="H240" t="s">
        <v>3751</v>
      </c>
      <c r="I240" t="s">
        <v>3752</v>
      </c>
      <c r="J240"/>
      <c r="K240"/>
      <c r="L240"/>
      <c r="M240"/>
    </row>
    <row r="241" spans="1:13">
      <c r="A241" t="s">
        <v>3738</v>
      </c>
      <c r="B241" t="s">
        <v>3378</v>
      </c>
      <c r="C241" t="s">
        <v>3753</v>
      </c>
      <c r="D241">
        <v>3</v>
      </c>
      <c r="E241">
        <v>1373.51</v>
      </c>
      <c r="F241">
        <v>74565.2</v>
      </c>
      <c r="G241">
        <v>10241.61</v>
      </c>
      <c r="H241">
        <v>457.84</v>
      </c>
      <c r="I241">
        <v>3413.87</v>
      </c>
      <c r="J241"/>
      <c r="K241"/>
      <c r="L241"/>
      <c r="M241"/>
    </row>
    <row r="242" spans="1:13">
      <c r="A242" t="s">
        <v>3754</v>
      </c>
      <c r="B242" t="s">
        <v>3378</v>
      </c>
      <c r="C242" t="s">
        <v>3552</v>
      </c>
      <c r="D242">
        <v>3</v>
      </c>
      <c r="E242">
        <v>1132.8800000000001</v>
      </c>
      <c r="F242">
        <v>35749.589999999997</v>
      </c>
      <c r="G242">
        <v>4050</v>
      </c>
      <c r="H242">
        <v>377.63</v>
      </c>
      <c r="I242">
        <v>1350</v>
      </c>
      <c r="J242"/>
      <c r="K242"/>
      <c r="L242"/>
      <c r="M242"/>
    </row>
    <row r="243" spans="1:13">
      <c r="A243" t="s">
        <v>3755</v>
      </c>
      <c r="B243" t="s">
        <v>3378</v>
      </c>
      <c r="C243" t="s">
        <v>3756</v>
      </c>
      <c r="D243">
        <v>1</v>
      </c>
      <c r="E243">
        <v>366.84</v>
      </c>
      <c r="F243">
        <v>81779.520000000004</v>
      </c>
      <c r="G243">
        <v>3000</v>
      </c>
      <c r="H243">
        <v>366.84</v>
      </c>
      <c r="I243">
        <v>3000</v>
      </c>
      <c r="J243"/>
      <c r="K243"/>
      <c r="L243"/>
      <c r="M243"/>
    </row>
    <row r="244" spans="1:13">
      <c r="A244" t="s">
        <v>3757</v>
      </c>
      <c r="B244" t="s">
        <v>3378</v>
      </c>
      <c r="C244" t="s">
        <v>3758</v>
      </c>
      <c r="D244">
        <v>1</v>
      </c>
      <c r="E244">
        <v>639.75</v>
      </c>
      <c r="F244">
        <v>67830</v>
      </c>
      <c r="G244">
        <v>4339.42</v>
      </c>
      <c r="H244">
        <v>639.75</v>
      </c>
      <c r="I244">
        <v>4339.42</v>
      </c>
      <c r="J244"/>
      <c r="K244"/>
      <c r="L244"/>
      <c r="M244"/>
    </row>
    <row r="245" spans="1:13">
      <c r="A245"/>
      <c r="B245"/>
      <c r="C245"/>
      <c r="D245"/>
      <c r="E245"/>
      <c r="F245"/>
      <c r="G245"/>
      <c r="H245"/>
      <c r="I245"/>
      <c r="J245"/>
      <c r="K245"/>
      <c r="L245"/>
      <c r="M245"/>
    </row>
    <row r="246" spans="1:13">
      <c r="A246"/>
      <c r="B246"/>
      <c r="C246"/>
      <c r="D246"/>
      <c r="E246"/>
      <c r="F246"/>
      <c r="G246"/>
      <c r="H246"/>
      <c r="I246"/>
      <c r="J246"/>
      <c r="K246"/>
      <c r="L246"/>
      <c r="M246"/>
    </row>
    <row r="247" spans="1:13">
      <c r="A247"/>
      <c r="B247"/>
      <c r="C247"/>
      <c r="D247"/>
      <c r="E247"/>
      <c r="F247"/>
      <c r="G247"/>
      <c r="H247"/>
      <c r="I247"/>
      <c r="J247"/>
      <c r="K247"/>
      <c r="L247"/>
      <c r="M247"/>
    </row>
    <row r="248" spans="1:13">
      <c r="A248" s="3426" t="s">
        <v>3783</v>
      </c>
      <c r="B248"/>
      <c r="C248"/>
      <c r="D248"/>
      <c r="E248"/>
      <c r="F248"/>
      <c r="G248"/>
      <c r="H248"/>
      <c r="I248"/>
      <c r="J248"/>
      <c r="K248"/>
      <c r="L248"/>
      <c r="M248"/>
    </row>
    <row r="249" spans="1:13" ht="14.25">
      <c r="A249" s="3668" t="s">
        <v>3622</v>
      </c>
      <c r="B249" s="3668" t="s">
        <v>3621</v>
      </c>
      <c r="C249" s="3668" t="s">
        <v>3620</v>
      </c>
      <c r="D249" s="3668" t="s">
        <v>3619</v>
      </c>
      <c r="E249" s="3668" t="s">
        <v>3618</v>
      </c>
      <c r="F249" s="3668" t="s">
        <v>3617</v>
      </c>
      <c r="G249" s="3668" t="s">
        <v>3616</v>
      </c>
      <c r="H249" s="3668" t="s">
        <v>3615</v>
      </c>
      <c r="I249" s="3668" t="s">
        <v>3614</v>
      </c>
      <c r="J249" s="3668" t="s">
        <v>3613</v>
      </c>
      <c r="K249" s="3668" t="s">
        <v>3612</v>
      </c>
      <c r="L249" s="3668" t="s">
        <v>3611</v>
      </c>
      <c r="M249"/>
    </row>
    <row r="250" spans="1:13" ht="14.25">
      <c r="A250" s="3669">
        <v>45649.333831018521</v>
      </c>
      <c r="B250" s="3668" t="s">
        <v>3759</v>
      </c>
      <c r="C250" s="3668"/>
      <c r="D250" s="3668"/>
      <c r="E250" s="3668">
        <v>1</v>
      </c>
      <c r="F250" s="3668">
        <v>104</v>
      </c>
      <c r="G250" s="3668" t="s">
        <v>3760</v>
      </c>
      <c r="H250" s="3668" t="s">
        <v>3303</v>
      </c>
      <c r="I250" s="3668" t="s">
        <v>3624</v>
      </c>
      <c r="J250" s="3668">
        <v>107.47</v>
      </c>
      <c r="K250" s="3668">
        <v>161.21</v>
      </c>
      <c r="L250" s="3668">
        <v>15000</v>
      </c>
      <c r="M250"/>
    </row>
    <row r="251" spans="1:13" ht="14.25">
      <c r="A251" s="3669">
        <v>45636.333831018521</v>
      </c>
      <c r="B251" s="3668" t="s">
        <v>3681</v>
      </c>
      <c r="C251" s="3668"/>
      <c r="D251" s="3668"/>
      <c r="E251" s="3668">
        <v>-3</v>
      </c>
      <c r="F251" s="3668">
        <v>1</v>
      </c>
      <c r="G251" s="3668" t="s">
        <v>3680</v>
      </c>
      <c r="H251" s="3668" t="s">
        <v>3303</v>
      </c>
      <c r="I251" s="3668" t="s">
        <v>3608</v>
      </c>
      <c r="J251" s="3668">
        <v>570.91</v>
      </c>
      <c r="K251" s="3668">
        <v>4090.2</v>
      </c>
      <c r="L251" s="3668">
        <v>71644</v>
      </c>
      <c r="M251"/>
    </row>
    <row r="252" spans="1:13" ht="14.25">
      <c r="A252" s="3669">
        <v>45635.333831018521</v>
      </c>
      <c r="B252" s="3668" t="s">
        <v>3697</v>
      </c>
      <c r="C252" s="3668"/>
      <c r="D252" s="3668"/>
      <c r="E252" s="3668">
        <v>-3</v>
      </c>
      <c r="F252" s="3668">
        <v>1</v>
      </c>
      <c r="G252" s="3668" t="s">
        <v>3696</v>
      </c>
      <c r="H252" s="3668" t="s">
        <v>3664</v>
      </c>
      <c r="I252" s="3668" t="s">
        <v>3694</v>
      </c>
      <c r="J252" s="3668">
        <v>661.45</v>
      </c>
      <c r="K252" s="3668">
        <v>5322.2</v>
      </c>
      <c r="L252" s="3668">
        <v>80463</v>
      </c>
      <c r="M252"/>
    </row>
    <row r="253" spans="1:13" ht="14.25">
      <c r="A253" s="3669">
        <v>45635.333831018521</v>
      </c>
      <c r="B253" s="3668" t="s">
        <v>3677</v>
      </c>
      <c r="C253" s="3668"/>
      <c r="D253" s="3668"/>
      <c r="E253" s="3668">
        <v>-3</v>
      </c>
      <c r="F253" s="3668">
        <v>4</v>
      </c>
      <c r="G253" s="3668" t="s">
        <v>3695</v>
      </c>
      <c r="H253" s="3668" t="s">
        <v>3664</v>
      </c>
      <c r="I253" s="3668" t="s">
        <v>3694</v>
      </c>
      <c r="J253" s="3668">
        <v>688.75</v>
      </c>
      <c r="K253" s="3668">
        <v>5490.2</v>
      </c>
      <c r="L253" s="3668">
        <v>79713</v>
      </c>
      <c r="M253"/>
    </row>
    <row r="254" spans="1:13" ht="14.25">
      <c r="A254" s="3669">
        <v>45629.333831018521</v>
      </c>
      <c r="B254" s="3668" t="s">
        <v>3685</v>
      </c>
      <c r="C254" s="3668"/>
      <c r="D254" s="3668"/>
      <c r="E254" s="3668">
        <v>-3</v>
      </c>
      <c r="F254" s="3668">
        <v>7</v>
      </c>
      <c r="G254" s="3668" t="s">
        <v>3684</v>
      </c>
      <c r="H254" s="3668" t="s">
        <v>3303</v>
      </c>
      <c r="I254" s="3668" t="s">
        <v>3608</v>
      </c>
      <c r="J254" s="3668">
        <v>695.13</v>
      </c>
      <c r="K254" s="3668">
        <v>5990.2</v>
      </c>
      <c r="L254" s="3668">
        <v>86174</v>
      </c>
      <c r="M254"/>
    </row>
    <row r="255" spans="1:13" ht="14.25">
      <c r="A255" s="3669">
        <v>45588.333831018521</v>
      </c>
      <c r="B255" s="3668" t="s">
        <v>3677</v>
      </c>
      <c r="C255" s="3668"/>
      <c r="D255" s="3668"/>
      <c r="E255" s="3668">
        <v>-3</v>
      </c>
      <c r="F255" s="3668">
        <v>5</v>
      </c>
      <c r="G255" s="3668" t="s">
        <v>3695</v>
      </c>
      <c r="H255" s="3668" t="s">
        <v>3664</v>
      </c>
      <c r="I255" s="3668" t="s">
        <v>3694</v>
      </c>
      <c r="J255" s="3668">
        <v>688.75</v>
      </c>
      <c r="K255" s="3668">
        <v>5490.2</v>
      </c>
      <c r="L255" s="3668">
        <v>79713</v>
      </c>
      <c r="M255"/>
    </row>
    <row r="256" spans="1:13" ht="14.25">
      <c r="A256" s="3669">
        <v>45576.333831018521</v>
      </c>
      <c r="B256" s="3668" t="s">
        <v>3677</v>
      </c>
      <c r="C256" s="3668"/>
      <c r="D256" s="3668"/>
      <c r="E256" s="3668">
        <v>-3</v>
      </c>
      <c r="F256" s="3668">
        <v>6</v>
      </c>
      <c r="G256" s="3668" t="s">
        <v>3695</v>
      </c>
      <c r="H256" s="3668" t="s">
        <v>3664</v>
      </c>
      <c r="I256" s="3668" t="s">
        <v>3694</v>
      </c>
      <c r="J256" s="3668">
        <v>688.75</v>
      </c>
      <c r="K256" s="3668">
        <v>6176.92</v>
      </c>
      <c r="L256" s="3668">
        <v>89683</v>
      </c>
      <c r="M256"/>
    </row>
    <row r="257" spans="1:13" ht="14.25">
      <c r="A257" s="3669">
        <v>45576.333831018521</v>
      </c>
      <c r="B257" s="3668" t="s">
        <v>3685</v>
      </c>
      <c r="C257" s="3668"/>
      <c r="D257" s="3668"/>
      <c r="E257" s="3668">
        <v>-3</v>
      </c>
      <c r="F257" s="3668">
        <v>5</v>
      </c>
      <c r="G257" s="3668" t="s">
        <v>3684</v>
      </c>
      <c r="H257" s="3668" t="s">
        <v>3303</v>
      </c>
      <c r="I257" s="3668" t="s">
        <v>3608</v>
      </c>
      <c r="J257" s="3668">
        <v>694.73</v>
      </c>
      <c r="K257" s="3668">
        <v>5770.2</v>
      </c>
      <c r="L257" s="3668">
        <v>83057</v>
      </c>
      <c r="M257"/>
    </row>
    <row r="258" spans="1:13">
      <c r="A258"/>
      <c r="B258"/>
      <c r="C258"/>
      <c r="D258"/>
      <c r="E258"/>
      <c r="F258"/>
      <c r="G258"/>
      <c r="H258"/>
      <c r="I258"/>
      <c r="J258"/>
      <c r="K258"/>
      <c r="L258"/>
      <c r="M258"/>
    </row>
    <row r="259" spans="1:13">
      <c r="A259"/>
      <c r="B259"/>
      <c r="C259"/>
      <c r="D259"/>
      <c r="E259"/>
      <c r="F259"/>
      <c r="G259"/>
      <c r="H259"/>
      <c r="I259"/>
      <c r="J259"/>
      <c r="K259"/>
      <c r="L259"/>
      <c r="M259"/>
    </row>
    <row r="260" spans="1:13">
      <c r="A260" s="3426" t="s">
        <v>3755</v>
      </c>
      <c r="B260"/>
      <c r="C260"/>
      <c r="D260"/>
      <c r="E260"/>
      <c r="F260"/>
      <c r="G260"/>
      <c r="H260"/>
      <c r="I260"/>
      <c r="J260"/>
      <c r="K260"/>
      <c r="L260"/>
      <c r="M260"/>
    </row>
    <row r="261" spans="1:13" ht="14.25">
      <c r="A261" s="3668" t="s">
        <v>3622</v>
      </c>
      <c r="B261" s="3668" t="s">
        <v>3621</v>
      </c>
      <c r="C261" s="3668" t="s">
        <v>3620</v>
      </c>
      <c r="D261" s="3668" t="s">
        <v>3619</v>
      </c>
      <c r="E261" s="3668" t="s">
        <v>3618</v>
      </c>
      <c r="F261" s="3668" t="s">
        <v>3617</v>
      </c>
      <c r="G261" s="3668" t="s">
        <v>3616</v>
      </c>
      <c r="H261" s="3668" t="s">
        <v>3615</v>
      </c>
      <c r="I261" s="3668" t="s">
        <v>3614</v>
      </c>
      <c r="J261" s="3668" t="s">
        <v>3613</v>
      </c>
      <c r="K261" s="3668" t="s">
        <v>3612</v>
      </c>
      <c r="L261" s="3668" t="s">
        <v>3611</v>
      </c>
      <c r="M261"/>
    </row>
    <row r="262" spans="1:13" ht="14.25">
      <c r="A262" s="3669">
        <v>45639.333831018521</v>
      </c>
      <c r="B262" s="3668" t="s">
        <v>3677</v>
      </c>
      <c r="C262" s="3668"/>
      <c r="D262" s="3668"/>
      <c r="E262" s="3668">
        <v>-2</v>
      </c>
      <c r="F262" s="3668">
        <v>102</v>
      </c>
      <c r="G262" s="3668" t="s">
        <v>3676</v>
      </c>
      <c r="H262" s="3668" t="s">
        <v>3303</v>
      </c>
      <c r="I262" s="3668" t="s">
        <v>3669</v>
      </c>
      <c r="J262" s="3668">
        <v>366.84</v>
      </c>
      <c r="K262" s="3668">
        <v>3000</v>
      </c>
      <c r="L262" s="3668">
        <v>81780</v>
      </c>
      <c r="M262"/>
    </row>
    <row r="263" spans="1:13" ht="14.25">
      <c r="A263" s="3669">
        <v>45484.333831018521</v>
      </c>
      <c r="B263" s="3668" t="s">
        <v>3675</v>
      </c>
      <c r="C263" s="3668"/>
      <c r="D263" s="3668"/>
      <c r="E263" s="3668">
        <v>-2</v>
      </c>
      <c r="F263" s="3668">
        <v>101</v>
      </c>
      <c r="G263" s="3668" t="s">
        <v>3674</v>
      </c>
      <c r="H263" s="3668" t="s">
        <v>3303</v>
      </c>
      <c r="I263" s="3668" t="s">
        <v>3669</v>
      </c>
      <c r="J263" s="3668">
        <v>383.3</v>
      </c>
      <c r="K263" s="3668">
        <v>4326.07</v>
      </c>
      <c r="L263" s="3668">
        <v>112864</v>
      </c>
      <c r="M263"/>
    </row>
    <row r="264" spans="1:13">
      <c r="A264"/>
      <c r="B264"/>
      <c r="C264"/>
      <c r="D264"/>
      <c r="E264"/>
      <c r="F264"/>
      <c r="G264"/>
      <c r="H264"/>
      <c r="I264"/>
      <c r="J264"/>
      <c r="K264"/>
      <c r="L264"/>
      <c r="M264"/>
    </row>
    <row r="265" spans="1:13">
      <c r="A265" s="3426" t="s">
        <v>3761</v>
      </c>
      <c r="B265"/>
      <c r="C265"/>
      <c r="D265"/>
      <c r="E265"/>
      <c r="F265"/>
      <c r="G265"/>
      <c r="H265"/>
      <c r="I265"/>
      <c r="J265"/>
      <c r="K265"/>
      <c r="L265"/>
      <c r="M265"/>
    </row>
    <row r="266" spans="1:13" ht="14.25">
      <c r="A266" s="3668" t="s">
        <v>3622</v>
      </c>
      <c r="B266" s="3668" t="s">
        <v>3621</v>
      </c>
      <c r="C266" s="3668" t="s">
        <v>3620</v>
      </c>
      <c r="D266" s="3668" t="s">
        <v>3619</v>
      </c>
      <c r="E266" s="3668" t="s">
        <v>3618</v>
      </c>
      <c r="F266" s="3668" t="s">
        <v>3617</v>
      </c>
      <c r="G266" s="3668" t="s">
        <v>3616</v>
      </c>
      <c r="H266" s="3668" t="s">
        <v>3615</v>
      </c>
      <c r="I266" s="3668" t="s">
        <v>3614</v>
      </c>
      <c r="J266" s="3668" t="s">
        <v>3613</v>
      </c>
      <c r="K266" s="3668" t="s">
        <v>3612</v>
      </c>
      <c r="L266" s="3668" t="s">
        <v>3611</v>
      </c>
      <c r="M266"/>
    </row>
    <row r="267" spans="1:13" ht="14.25">
      <c r="A267" s="3669">
        <v>45614.333831018521</v>
      </c>
      <c r="B267" s="3668" t="s">
        <v>3610</v>
      </c>
      <c r="C267" s="3668"/>
      <c r="D267" s="3668"/>
      <c r="E267" s="3668">
        <v>-3</v>
      </c>
      <c r="F267" s="3668">
        <v>7</v>
      </c>
      <c r="G267" s="3668" t="s">
        <v>3609</v>
      </c>
      <c r="H267" s="3668" t="s">
        <v>3303</v>
      </c>
      <c r="I267" s="3668" t="s">
        <v>3608</v>
      </c>
      <c r="J267" s="3668">
        <v>500.98</v>
      </c>
      <c r="K267" s="3668">
        <v>2114</v>
      </c>
      <c r="L267" s="3668">
        <v>42197</v>
      </c>
      <c r="M267"/>
    </row>
    <row r="268" spans="1:13">
      <c r="A268"/>
      <c r="B268"/>
      <c r="C268"/>
      <c r="D268"/>
      <c r="E268"/>
      <c r="F268"/>
      <c r="G268"/>
      <c r="H268"/>
      <c r="I268"/>
      <c r="J268"/>
      <c r="K268"/>
      <c r="L268"/>
      <c r="M268"/>
    </row>
    <row r="269" spans="1:13">
      <c r="A269"/>
      <c r="B269"/>
      <c r="C269"/>
      <c r="D269"/>
      <c r="E269"/>
      <c r="F269"/>
      <c r="G269"/>
      <c r="H269"/>
      <c r="I269"/>
      <c r="J269"/>
      <c r="K269"/>
      <c r="L269"/>
      <c r="M269"/>
    </row>
    <row r="270" spans="1:13">
      <c r="A270" s="2749" t="s">
        <v>3762</v>
      </c>
      <c r="B270"/>
      <c r="C270"/>
      <c r="D270"/>
      <c r="E270"/>
      <c r="F270"/>
      <c r="G270"/>
      <c r="H270"/>
      <c r="I270"/>
      <c r="J270"/>
      <c r="K270"/>
      <c r="L270"/>
      <c r="M270"/>
    </row>
    <row r="271" spans="1:13" ht="14.25">
      <c r="A271" s="3668" t="s">
        <v>3622</v>
      </c>
      <c r="B271" s="3668" t="s">
        <v>3621</v>
      </c>
      <c r="C271" s="3668" t="s">
        <v>3620</v>
      </c>
      <c r="D271" s="3668" t="s">
        <v>3619</v>
      </c>
      <c r="E271" s="3668" t="s">
        <v>3618</v>
      </c>
      <c r="F271" s="3668" t="s">
        <v>3617</v>
      </c>
      <c r="G271" s="3668" t="s">
        <v>3616</v>
      </c>
      <c r="H271" s="3668" t="s">
        <v>3615</v>
      </c>
      <c r="I271" s="3668" t="s">
        <v>3614</v>
      </c>
      <c r="J271" s="3668" t="s">
        <v>3613</v>
      </c>
      <c r="K271" s="3668" t="s">
        <v>3612</v>
      </c>
      <c r="L271" s="3668" t="s">
        <v>3611</v>
      </c>
      <c r="M271"/>
    </row>
    <row r="272" spans="1:13" ht="14.25">
      <c r="A272" s="3669">
        <v>45653.333831018521</v>
      </c>
      <c r="B272" s="3668" t="s">
        <v>3763</v>
      </c>
      <c r="C272" s="3668"/>
      <c r="D272" s="3668"/>
      <c r="E272" s="3668">
        <v>1</v>
      </c>
      <c r="F272" s="3668" t="s">
        <v>3764</v>
      </c>
      <c r="G272" s="3668" t="s">
        <v>3630</v>
      </c>
      <c r="H272" s="3668" t="s">
        <v>3664</v>
      </c>
      <c r="I272" s="3668" t="s">
        <v>3765</v>
      </c>
      <c r="J272" s="3668">
        <v>200.72</v>
      </c>
      <c r="K272" s="3668">
        <v>1733.94</v>
      </c>
      <c r="L272" s="3668">
        <v>86386</v>
      </c>
      <c r="M272"/>
    </row>
    <row r="273" spans="1:13" ht="14.25">
      <c r="A273" s="3669">
        <v>45632.333831018521</v>
      </c>
      <c r="B273" s="3668" t="s">
        <v>3766</v>
      </c>
      <c r="C273" s="3668"/>
      <c r="D273" s="3668"/>
      <c r="E273" s="3668">
        <v>3</v>
      </c>
      <c r="F273" s="3668" t="s">
        <v>3635</v>
      </c>
      <c r="G273" s="3668" t="s">
        <v>3630</v>
      </c>
      <c r="H273" s="3668" t="s">
        <v>3664</v>
      </c>
      <c r="I273" s="3668" t="s">
        <v>3765</v>
      </c>
      <c r="J273" s="3668">
        <v>169.84</v>
      </c>
      <c r="K273" s="3668">
        <v>1421.32</v>
      </c>
      <c r="L273" s="3668">
        <v>83686</v>
      </c>
      <c r="M273"/>
    </row>
    <row r="274" spans="1:13" ht="14.25">
      <c r="A274" s="3669">
        <v>45630.333831018521</v>
      </c>
      <c r="B274" s="3668" t="s">
        <v>3763</v>
      </c>
      <c r="C274" s="3668"/>
      <c r="D274" s="3668"/>
      <c r="E274" s="3668">
        <v>4</v>
      </c>
      <c r="F274" s="3668" t="s">
        <v>3767</v>
      </c>
      <c r="G274" s="3668" t="s">
        <v>3630</v>
      </c>
      <c r="H274" s="3668" t="s">
        <v>3664</v>
      </c>
      <c r="I274" s="3668" t="s">
        <v>3768</v>
      </c>
      <c r="J274" s="3668">
        <v>211.09</v>
      </c>
      <c r="K274" s="3668">
        <v>1971.29</v>
      </c>
      <c r="L274" s="3668">
        <v>93386</v>
      </c>
      <c r="M274"/>
    </row>
    <row r="275" spans="1:13">
      <c r="A275"/>
      <c r="B275"/>
      <c r="C275"/>
      <c r="D275"/>
      <c r="E275"/>
      <c r="F275"/>
      <c r="G275"/>
      <c r="H275"/>
      <c r="I275"/>
      <c r="J275"/>
      <c r="K275"/>
      <c r="L275"/>
      <c r="M275"/>
    </row>
  </sheetData>
  <mergeCells count="588">
    <mergeCell ref="Z68"/>
    <mergeCell ref="AA68"/>
    <mergeCell ref="U68"/>
    <mergeCell ref="V68"/>
    <mergeCell ref="W68"/>
    <mergeCell ref="X68"/>
    <mergeCell ref="Y68"/>
    <mergeCell ref="X67"/>
    <mergeCell ref="Y67"/>
    <mergeCell ref="Z67"/>
    <mergeCell ref="AA67"/>
    <mergeCell ref="Z66"/>
    <mergeCell ref="AA66"/>
    <mergeCell ref="P67"/>
    <mergeCell ref="Q67"/>
    <mergeCell ref="R67"/>
    <mergeCell ref="S67"/>
    <mergeCell ref="T67"/>
    <mergeCell ref="U67"/>
    <mergeCell ref="V67"/>
    <mergeCell ref="W67"/>
    <mergeCell ref="X66"/>
    <mergeCell ref="Y66"/>
    <mergeCell ref="P66"/>
    <mergeCell ref="Q66"/>
    <mergeCell ref="R66"/>
    <mergeCell ref="S66"/>
    <mergeCell ref="T66"/>
    <mergeCell ref="W66"/>
    <mergeCell ref="U66"/>
    <mergeCell ref="V66"/>
    <mergeCell ref="X65"/>
    <mergeCell ref="Y65"/>
    <mergeCell ref="Z65"/>
    <mergeCell ref="AA65"/>
    <mergeCell ref="U64"/>
    <mergeCell ref="V64"/>
    <mergeCell ref="Z64"/>
    <mergeCell ref="AA64"/>
    <mergeCell ref="P65"/>
    <mergeCell ref="Q65"/>
    <mergeCell ref="R65"/>
    <mergeCell ref="S65"/>
    <mergeCell ref="T65"/>
    <mergeCell ref="U65"/>
    <mergeCell ref="V65"/>
    <mergeCell ref="W65"/>
    <mergeCell ref="X64"/>
    <mergeCell ref="Y64"/>
    <mergeCell ref="P64"/>
    <mergeCell ref="Q64"/>
    <mergeCell ref="R64"/>
    <mergeCell ref="S64"/>
    <mergeCell ref="T64"/>
    <mergeCell ref="W64"/>
    <mergeCell ref="P68"/>
    <mergeCell ref="Q68"/>
    <mergeCell ref="R68"/>
    <mergeCell ref="Q77"/>
    <mergeCell ref="R77"/>
    <mergeCell ref="S77"/>
    <mergeCell ref="T77"/>
    <mergeCell ref="P76"/>
    <mergeCell ref="Q76"/>
    <mergeCell ref="R76"/>
    <mergeCell ref="S76"/>
    <mergeCell ref="T76"/>
    <mergeCell ref="R75"/>
    <mergeCell ref="S75"/>
    <mergeCell ref="T75"/>
    <mergeCell ref="S68"/>
    <mergeCell ref="T68"/>
    <mergeCell ref="T71"/>
    <mergeCell ref="P75"/>
    <mergeCell ref="Q75"/>
    <mergeCell ref="Z92"/>
    <mergeCell ref="AA92"/>
    <mergeCell ref="Z119"/>
    <mergeCell ref="AA119"/>
    <mergeCell ref="U119"/>
    <mergeCell ref="V119"/>
    <mergeCell ref="W119"/>
    <mergeCell ref="X119"/>
    <mergeCell ref="Y119"/>
    <mergeCell ref="Z117"/>
    <mergeCell ref="V118"/>
    <mergeCell ref="W118"/>
    <mergeCell ref="X118"/>
    <mergeCell ref="Y118"/>
    <mergeCell ref="U92"/>
    <mergeCell ref="V92"/>
    <mergeCell ref="W92"/>
    <mergeCell ref="X92"/>
    <mergeCell ref="Y92"/>
    <mergeCell ref="Z118"/>
    <mergeCell ref="U117"/>
    <mergeCell ref="V117"/>
    <mergeCell ref="W117"/>
    <mergeCell ref="X117"/>
    <mergeCell ref="W154"/>
    <mergeCell ref="U154"/>
    <mergeCell ref="V154"/>
    <mergeCell ref="P118"/>
    <mergeCell ref="Q118"/>
    <mergeCell ref="R118"/>
    <mergeCell ref="S118"/>
    <mergeCell ref="T118"/>
    <mergeCell ref="S155"/>
    <mergeCell ref="T155"/>
    <mergeCell ref="U155"/>
    <mergeCell ref="V155"/>
    <mergeCell ref="P127"/>
    <mergeCell ref="R126"/>
    <mergeCell ref="S126"/>
    <mergeCell ref="T126"/>
    <mergeCell ref="R127"/>
    <mergeCell ref="S127"/>
    <mergeCell ref="T127"/>
    <mergeCell ref="R125"/>
    <mergeCell ref="S125"/>
    <mergeCell ref="T125"/>
    <mergeCell ref="P126"/>
    <mergeCell ref="Q126"/>
    <mergeCell ref="P154"/>
    <mergeCell ref="Q154"/>
    <mergeCell ref="R154"/>
    <mergeCell ref="S154"/>
    <mergeCell ref="T154"/>
    <mergeCell ref="P157"/>
    <mergeCell ref="Q157"/>
    <mergeCell ref="R157"/>
    <mergeCell ref="S157"/>
    <mergeCell ref="T157"/>
    <mergeCell ref="Z154"/>
    <mergeCell ref="AA154"/>
    <mergeCell ref="P155"/>
    <mergeCell ref="Q155"/>
    <mergeCell ref="R155"/>
    <mergeCell ref="Z157"/>
    <mergeCell ref="W158"/>
    <mergeCell ref="X158"/>
    <mergeCell ref="Y158"/>
    <mergeCell ref="Z158"/>
    <mergeCell ref="AA158"/>
    <mergeCell ref="U157"/>
    <mergeCell ref="V157"/>
    <mergeCell ref="W157"/>
    <mergeCell ref="X157"/>
    <mergeCell ref="Y157"/>
    <mergeCell ref="AA157"/>
    <mergeCell ref="X155"/>
    <mergeCell ref="Y155"/>
    <mergeCell ref="Z155"/>
    <mergeCell ref="AA155"/>
    <mergeCell ref="W155"/>
    <mergeCell ref="X154"/>
    <mergeCell ref="Y154"/>
    <mergeCell ref="Z159"/>
    <mergeCell ref="AA159"/>
    <mergeCell ref="U159"/>
    <mergeCell ref="V159"/>
    <mergeCell ref="W159"/>
    <mergeCell ref="X159"/>
    <mergeCell ref="Y159"/>
    <mergeCell ref="U158"/>
    <mergeCell ref="V158"/>
    <mergeCell ref="P160"/>
    <mergeCell ref="Q160"/>
    <mergeCell ref="R160"/>
    <mergeCell ref="S160"/>
    <mergeCell ref="T160"/>
    <mergeCell ref="P158"/>
    <mergeCell ref="Q158"/>
    <mergeCell ref="R158"/>
    <mergeCell ref="S158"/>
    <mergeCell ref="T158"/>
    <mergeCell ref="P159"/>
    <mergeCell ref="Q159"/>
    <mergeCell ref="R159"/>
    <mergeCell ref="S159"/>
    <mergeCell ref="T159"/>
    <mergeCell ref="X161"/>
    <mergeCell ref="Y161"/>
    <mergeCell ref="Z161"/>
    <mergeCell ref="AA161"/>
    <mergeCell ref="U160"/>
    <mergeCell ref="V160"/>
    <mergeCell ref="W160"/>
    <mergeCell ref="X160"/>
    <mergeCell ref="Y160"/>
    <mergeCell ref="Z160"/>
    <mergeCell ref="AA160"/>
    <mergeCell ref="P161"/>
    <mergeCell ref="Q161"/>
    <mergeCell ref="R161"/>
    <mergeCell ref="S161"/>
    <mergeCell ref="T161"/>
    <mergeCell ref="U161"/>
    <mergeCell ref="V161"/>
    <mergeCell ref="W161"/>
    <mergeCell ref="U71"/>
    <mergeCell ref="V71"/>
    <mergeCell ref="W71"/>
    <mergeCell ref="P73"/>
    <mergeCell ref="Q73"/>
    <mergeCell ref="R73"/>
    <mergeCell ref="S73"/>
    <mergeCell ref="T73"/>
    <mergeCell ref="V79"/>
    <mergeCell ref="W79"/>
    <mergeCell ref="P78"/>
    <mergeCell ref="Q78"/>
    <mergeCell ref="R78"/>
    <mergeCell ref="S78"/>
    <mergeCell ref="T78"/>
    <mergeCell ref="P77"/>
    <mergeCell ref="V72"/>
    <mergeCell ref="W72"/>
    <mergeCell ref="X72"/>
    <mergeCell ref="Y72"/>
    <mergeCell ref="P72"/>
    <mergeCell ref="Q72"/>
    <mergeCell ref="R72"/>
    <mergeCell ref="S72"/>
    <mergeCell ref="T72"/>
    <mergeCell ref="P79"/>
    <mergeCell ref="Q79"/>
    <mergeCell ref="R79"/>
    <mergeCell ref="S79"/>
    <mergeCell ref="T79"/>
    <mergeCell ref="U79"/>
    <mergeCell ref="Z72"/>
    <mergeCell ref="AA72"/>
    <mergeCell ref="Z71"/>
    <mergeCell ref="AA71"/>
    <mergeCell ref="Z73"/>
    <mergeCell ref="AA73"/>
    <mergeCell ref="U73"/>
    <mergeCell ref="V73"/>
    <mergeCell ref="W73"/>
    <mergeCell ref="X73"/>
    <mergeCell ref="Y73"/>
    <mergeCell ref="U72"/>
    <mergeCell ref="X71"/>
    <mergeCell ref="Y71"/>
    <mergeCell ref="P71"/>
    <mergeCell ref="Q71"/>
    <mergeCell ref="R71"/>
    <mergeCell ref="S71"/>
    <mergeCell ref="Y78"/>
    <mergeCell ref="AA78"/>
    <mergeCell ref="U77"/>
    <mergeCell ref="Z76"/>
    <mergeCell ref="W76"/>
    <mergeCell ref="X76"/>
    <mergeCell ref="Y76"/>
    <mergeCell ref="X79"/>
    <mergeCell ref="Y79"/>
    <mergeCell ref="Z79"/>
    <mergeCell ref="AA79"/>
    <mergeCell ref="AA80"/>
    <mergeCell ref="U75"/>
    <mergeCell ref="V75"/>
    <mergeCell ref="W75"/>
    <mergeCell ref="X75"/>
    <mergeCell ref="Y75"/>
    <mergeCell ref="AA76"/>
    <mergeCell ref="V77"/>
    <mergeCell ref="W77"/>
    <mergeCell ref="X77"/>
    <mergeCell ref="AA75"/>
    <mergeCell ref="Z75"/>
    <mergeCell ref="Y80"/>
    <mergeCell ref="Z80"/>
    <mergeCell ref="Z78"/>
    <mergeCell ref="U78"/>
    <mergeCell ref="V78"/>
    <mergeCell ref="Y77"/>
    <mergeCell ref="Z77"/>
    <mergeCell ref="AA77"/>
    <mergeCell ref="U76"/>
    <mergeCell ref="V76"/>
    <mergeCell ref="W78"/>
    <mergeCell ref="X78"/>
    <mergeCell ref="R80"/>
    <mergeCell ref="S80"/>
    <mergeCell ref="T80"/>
    <mergeCell ref="U80"/>
    <mergeCell ref="V80"/>
    <mergeCell ref="W80"/>
    <mergeCell ref="X80"/>
    <mergeCell ref="P94"/>
    <mergeCell ref="Q94"/>
    <mergeCell ref="R94"/>
    <mergeCell ref="S94"/>
    <mergeCell ref="T94"/>
    <mergeCell ref="P92"/>
    <mergeCell ref="Q92"/>
    <mergeCell ref="R92"/>
    <mergeCell ref="S92"/>
    <mergeCell ref="T92"/>
    <mergeCell ref="P80"/>
    <mergeCell ref="Q80"/>
    <mergeCell ref="P117"/>
    <mergeCell ref="Q117"/>
    <mergeCell ref="R117"/>
    <mergeCell ref="S117"/>
    <mergeCell ref="T117"/>
    <mergeCell ref="P119"/>
    <mergeCell ref="Q119"/>
    <mergeCell ref="R119"/>
    <mergeCell ref="S119"/>
    <mergeCell ref="T119"/>
    <mergeCell ref="AA127"/>
    <mergeCell ref="U94"/>
    <mergeCell ref="V94"/>
    <mergeCell ref="W94"/>
    <mergeCell ref="X94"/>
    <mergeCell ref="Y94"/>
    <mergeCell ref="AA118"/>
    <mergeCell ref="Y117"/>
    <mergeCell ref="AA117"/>
    <mergeCell ref="U118"/>
    <mergeCell ref="U127"/>
    <mergeCell ref="V127"/>
    <mergeCell ref="W127"/>
    <mergeCell ref="X127"/>
    <mergeCell ref="Y127"/>
    <mergeCell ref="Z127"/>
    <mergeCell ref="Y126"/>
    <mergeCell ref="Z94"/>
    <mergeCell ref="AA94"/>
    <mergeCell ref="AA129"/>
    <mergeCell ref="U129"/>
    <mergeCell ref="V129"/>
    <mergeCell ref="W129"/>
    <mergeCell ref="X129"/>
    <mergeCell ref="Y129"/>
    <mergeCell ref="P125"/>
    <mergeCell ref="Q125"/>
    <mergeCell ref="Q127"/>
    <mergeCell ref="AA128"/>
    <mergeCell ref="U125"/>
    <mergeCell ref="V125"/>
    <mergeCell ref="W125"/>
    <mergeCell ref="X125"/>
    <mergeCell ref="Y125"/>
    <mergeCell ref="U126"/>
    <mergeCell ref="V126"/>
    <mergeCell ref="W126"/>
    <mergeCell ref="X126"/>
    <mergeCell ref="AA125"/>
    <mergeCell ref="Z126"/>
    <mergeCell ref="AA126"/>
    <mergeCell ref="Z125"/>
    <mergeCell ref="Y128"/>
    <mergeCell ref="P129"/>
    <mergeCell ref="Q129"/>
    <mergeCell ref="R129"/>
    <mergeCell ref="S129"/>
    <mergeCell ref="T129"/>
    <mergeCell ref="Z129"/>
    <mergeCell ref="U128"/>
    <mergeCell ref="V128"/>
    <mergeCell ref="W128"/>
    <mergeCell ref="X128"/>
    <mergeCell ref="Z128"/>
    <mergeCell ref="P128"/>
    <mergeCell ref="Q128"/>
    <mergeCell ref="R128"/>
    <mergeCell ref="S128"/>
    <mergeCell ref="T128"/>
    <mergeCell ref="K263"/>
    <mergeCell ref="L263"/>
    <mergeCell ref="F263"/>
    <mergeCell ref="G263"/>
    <mergeCell ref="H263"/>
    <mergeCell ref="I263"/>
    <mergeCell ref="J263"/>
    <mergeCell ref="A263"/>
    <mergeCell ref="B263"/>
    <mergeCell ref="C263"/>
    <mergeCell ref="D263"/>
    <mergeCell ref="E263"/>
    <mergeCell ref="L261"/>
    <mergeCell ref="A262"/>
    <mergeCell ref="B262"/>
    <mergeCell ref="C262"/>
    <mergeCell ref="D262"/>
    <mergeCell ref="E262"/>
    <mergeCell ref="F262"/>
    <mergeCell ref="G262"/>
    <mergeCell ref="H262"/>
    <mergeCell ref="I262"/>
    <mergeCell ref="J262"/>
    <mergeCell ref="K262"/>
    <mergeCell ref="L262"/>
    <mergeCell ref="F261"/>
    <mergeCell ref="G261"/>
    <mergeCell ref="H261"/>
    <mergeCell ref="I261"/>
    <mergeCell ref="J261"/>
    <mergeCell ref="A261"/>
    <mergeCell ref="B261"/>
    <mergeCell ref="C261"/>
    <mergeCell ref="D261"/>
    <mergeCell ref="E261"/>
    <mergeCell ref="K261"/>
    <mergeCell ref="J255"/>
    <mergeCell ref="K255"/>
    <mergeCell ref="L255"/>
    <mergeCell ref="H256"/>
    <mergeCell ref="I256"/>
    <mergeCell ref="J256"/>
    <mergeCell ref="A256"/>
    <mergeCell ref="B256"/>
    <mergeCell ref="C256"/>
    <mergeCell ref="D256"/>
    <mergeCell ref="E256"/>
    <mergeCell ref="K256"/>
    <mergeCell ref="L256"/>
    <mergeCell ref="A255"/>
    <mergeCell ref="B255"/>
    <mergeCell ref="C255"/>
    <mergeCell ref="D255"/>
    <mergeCell ref="E255"/>
    <mergeCell ref="F255"/>
    <mergeCell ref="G255"/>
    <mergeCell ref="H255"/>
    <mergeCell ref="I255"/>
    <mergeCell ref="A257"/>
    <mergeCell ref="B257"/>
    <mergeCell ref="C257"/>
    <mergeCell ref="D257"/>
    <mergeCell ref="E257"/>
    <mergeCell ref="F257"/>
    <mergeCell ref="G257"/>
    <mergeCell ref="H257"/>
    <mergeCell ref="I257"/>
    <mergeCell ref="J257"/>
    <mergeCell ref="K257"/>
    <mergeCell ref="L257"/>
    <mergeCell ref="F256"/>
    <mergeCell ref="G256"/>
    <mergeCell ref="H249"/>
    <mergeCell ref="I249"/>
    <mergeCell ref="J249"/>
    <mergeCell ref="A249"/>
    <mergeCell ref="B249"/>
    <mergeCell ref="C249"/>
    <mergeCell ref="D249"/>
    <mergeCell ref="E249"/>
    <mergeCell ref="K249"/>
    <mergeCell ref="L249"/>
    <mergeCell ref="A250"/>
    <mergeCell ref="B250"/>
    <mergeCell ref="C250"/>
    <mergeCell ref="D250"/>
    <mergeCell ref="E250"/>
    <mergeCell ref="F250"/>
    <mergeCell ref="G250"/>
    <mergeCell ref="H250"/>
    <mergeCell ref="I250"/>
    <mergeCell ref="J250"/>
    <mergeCell ref="K250"/>
    <mergeCell ref="L250"/>
    <mergeCell ref="F249"/>
    <mergeCell ref="G249"/>
    <mergeCell ref="H251"/>
    <mergeCell ref="I251"/>
    <mergeCell ref="J251"/>
    <mergeCell ref="A251"/>
    <mergeCell ref="B251"/>
    <mergeCell ref="C251"/>
    <mergeCell ref="D251"/>
    <mergeCell ref="E251"/>
    <mergeCell ref="K251"/>
    <mergeCell ref="L251"/>
    <mergeCell ref="J252"/>
    <mergeCell ref="K252"/>
    <mergeCell ref="L252"/>
    <mergeCell ref="F251"/>
    <mergeCell ref="G251"/>
    <mergeCell ref="H253"/>
    <mergeCell ref="I253"/>
    <mergeCell ref="J253"/>
    <mergeCell ref="A253"/>
    <mergeCell ref="B253"/>
    <mergeCell ref="C253"/>
    <mergeCell ref="D253"/>
    <mergeCell ref="E253"/>
    <mergeCell ref="K253"/>
    <mergeCell ref="L253"/>
    <mergeCell ref="A252"/>
    <mergeCell ref="B252"/>
    <mergeCell ref="C252"/>
    <mergeCell ref="D252"/>
    <mergeCell ref="E252"/>
    <mergeCell ref="F252"/>
    <mergeCell ref="G252"/>
    <mergeCell ref="H252"/>
    <mergeCell ref="I252"/>
    <mergeCell ref="J254"/>
    <mergeCell ref="K254"/>
    <mergeCell ref="L254"/>
    <mergeCell ref="F253"/>
    <mergeCell ref="G253"/>
    <mergeCell ref="A254"/>
    <mergeCell ref="B254"/>
    <mergeCell ref="C254"/>
    <mergeCell ref="D254"/>
    <mergeCell ref="E254"/>
    <mergeCell ref="F254"/>
    <mergeCell ref="G254"/>
    <mergeCell ref="H254"/>
    <mergeCell ref="I254"/>
    <mergeCell ref="L266"/>
    <mergeCell ref="A267"/>
    <mergeCell ref="B267"/>
    <mergeCell ref="C267"/>
    <mergeCell ref="D267"/>
    <mergeCell ref="E267"/>
    <mergeCell ref="F267"/>
    <mergeCell ref="G267"/>
    <mergeCell ref="H267"/>
    <mergeCell ref="I267"/>
    <mergeCell ref="J267"/>
    <mergeCell ref="K267"/>
    <mergeCell ref="L267"/>
    <mergeCell ref="F266"/>
    <mergeCell ref="G266"/>
    <mergeCell ref="H266"/>
    <mergeCell ref="I266"/>
    <mergeCell ref="J266"/>
    <mergeCell ref="A266"/>
    <mergeCell ref="B266"/>
    <mergeCell ref="C266"/>
    <mergeCell ref="D266"/>
    <mergeCell ref="E266"/>
    <mergeCell ref="K266"/>
    <mergeCell ref="L273"/>
    <mergeCell ref="A274"/>
    <mergeCell ref="B274"/>
    <mergeCell ref="C274"/>
    <mergeCell ref="D274"/>
    <mergeCell ref="E274"/>
    <mergeCell ref="F274"/>
    <mergeCell ref="G274"/>
    <mergeCell ref="H274"/>
    <mergeCell ref="I274"/>
    <mergeCell ref="J274"/>
    <mergeCell ref="K274"/>
    <mergeCell ref="L274"/>
    <mergeCell ref="F273"/>
    <mergeCell ref="G273"/>
    <mergeCell ref="H273"/>
    <mergeCell ref="I273"/>
    <mergeCell ref="J273"/>
    <mergeCell ref="A273"/>
    <mergeCell ref="B273"/>
    <mergeCell ref="C273"/>
    <mergeCell ref="D273"/>
    <mergeCell ref="E273"/>
    <mergeCell ref="K273"/>
    <mergeCell ref="L271"/>
    <mergeCell ref="A272"/>
    <mergeCell ref="B272"/>
    <mergeCell ref="C272"/>
    <mergeCell ref="D272"/>
    <mergeCell ref="E272"/>
    <mergeCell ref="F272"/>
    <mergeCell ref="G272"/>
    <mergeCell ref="H272"/>
    <mergeCell ref="I272"/>
    <mergeCell ref="J272"/>
    <mergeCell ref="K272"/>
    <mergeCell ref="L272"/>
    <mergeCell ref="F271"/>
    <mergeCell ref="G271"/>
    <mergeCell ref="H271"/>
    <mergeCell ref="I271"/>
    <mergeCell ref="J271"/>
    <mergeCell ref="A271"/>
    <mergeCell ref="B271"/>
    <mergeCell ref="C271"/>
    <mergeCell ref="D271"/>
    <mergeCell ref="E271"/>
    <mergeCell ref="K271"/>
  </mergeCells>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J31"/>
  <sheetViews>
    <sheetView zoomScale="80" zoomScaleNormal="80" workbookViewId="0">
      <selection activeCell="D19" sqref="D19"/>
    </sheetView>
  </sheetViews>
  <sheetFormatPr defaultColWidth="8.875" defaultRowHeight="13.5"/>
  <cols>
    <col min="1" max="1" width="22.25" style="2235" customWidth="1"/>
    <col min="2" max="2" width="7.25" style="2235" customWidth="1"/>
    <col min="3" max="3" width="11" style="2235" customWidth="1"/>
    <col min="4" max="5" width="22.25" style="2235" customWidth="1"/>
    <col min="6" max="6" width="17.5" style="2235" customWidth="1"/>
    <col min="7" max="9" width="22.25" style="2235" customWidth="1"/>
    <col min="10" max="10" width="11.375" style="2235" customWidth="1"/>
    <col min="11" max="11" width="9.375" style="2235" customWidth="1"/>
    <col min="12" max="18" width="22.25" style="2235" customWidth="1"/>
    <col min="19" max="19" width="27.25" style="2235" customWidth="1"/>
    <col min="20" max="20" width="11.375" style="2235" customWidth="1"/>
    <col min="21" max="24" width="22.25" style="2235" customWidth="1"/>
    <col min="25" max="25" width="15.75" style="2235" customWidth="1"/>
    <col min="26" max="37" width="22.25" style="2235" customWidth="1"/>
    <col min="38" max="16384" width="8.875" style="2235"/>
  </cols>
  <sheetData>
    <row r="1" spans="1:36">
      <c r="A1" s="2235" t="s">
        <v>3342</v>
      </c>
      <c r="B1" s="2235" t="s">
        <v>3343</v>
      </c>
      <c r="C1" s="2235" t="s">
        <v>3344</v>
      </c>
      <c r="D1" s="2235" t="s">
        <v>3345</v>
      </c>
      <c r="E1" s="2235" t="s">
        <v>3346</v>
      </c>
      <c r="F1" s="2235" t="s">
        <v>3347</v>
      </c>
      <c r="G1" s="2235" t="s">
        <v>3348</v>
      </c>
      <c r="H1" s="2235" t="s">
        <v>3349</v>
      </c>
      <c r="I1" s="2235" t="s">
        <v>1550</v>
      </c>
      <c r="J1" s="2235" t="s">
        <v>3350</v>
      </c>
      <c r="K1" s="2235" t="s">
        <v>3351</v>
      </c>
      <c r="L1" s="2235" t="s">
        <v>3352</v>
      </c>
      <c r="M1" s="2235" t="s">
        <v>3353</v>
      </c>
      <c r="N1" s="2235" t="s">
        <v>3354</v>
      </c>
      <c r="O1" s="2235" t="s">
        <v>3355</v>
      </c>
      <c r="P1" s="2235" t="s">
        <v>3356</v>
      </c>
      <c r="Q1" s="2235" t="s">
        <v>3357</v>
      </c>
      <c r="R1" s="2235" t="s">
        <v>3358</v>
      </c>
      <c r="S1" s="2235" t="s">
        <v>3359</v>
      </c>
      <c r="T1" s="2235" t="s">
        <v>3360</v>
      </c>
      <c r="U1" s="2235" t="s">
        <v>3361</v>
      </c>
      <c r="V1" s="2235" t="s">
        <v>3362</v>
      </c>
      <c r="W1" s="2235" t="s">
        <v>3363</v>
      </c>
      <c r="X1" s="2235" t="s">
        <v>3364</v>
      </c>
      <c r="Y1" s="2235" t="s">
        <v>3365</v>
      </c>
      <c r="Z1" s="2235" t="s">
        <v>3366</v>
      </c>
      <c r="AA1" s="2235" t="s">
        <v>3367</v>
      </c>
      <c r="AB1" s="2235" t="s">
        <v>3368</v>
      </c>
      <c r="AC1" s="2235" t="s">
        <v>3369</v>
      </c>
      <c r="AD1" s="2235" t="s">
        <v>3370</v>
      </c>
      <c r="AE1" s="2235" t="s">
        <v>3371</v>
      </c>
      <c r="AF1" s="2235" t="s">
        <v>3372</v>
      </c>
      <c r="AG1" s="2235" t="s">
        <v>3373</v>
      </c>
      <c r="AH1" s="2235" t="s">
        <v>3374</v>
      </c>
      <c r="AI1" s="2235" t="s">
        <v>3375</v>
      </c>
      <c r="AJ1" s="2235" t="s">
        <v>3376</v>
      </c>
    </row>
    <row r="2" spans="1:36">
      <c r="A2" s="2235" t="s">
        <v>3377</v>
      </c>
      <c r="B2" s="2235" t="s">
        <v>3378</v>
      </c>
      <c r="C2" s="2235" t="s">
        <v>3379</v>
      </c>
      <c r="D2" s="2235" t="s">
        <v>3380</v>
      </c>
      <c r="E2" s="2235" t="s">
        <v>3381</v>
      </c>
      <c r="F2" s="2235" t="s">
        <v>3382</v>
      </c>
      <c r="G2" s="2235">
        <v>146982.88</v>
      </c>
      <c r="H2" s="2235">
        <v>394008.7</v>
      </c>
      <c r="I2" s="2235" t="s">
        <v>3383</v>
      </c>
      <c r="J2" s="2235">
        <v>3</v>
      </c>
      <c r="K2" s="2235" t="s">
        <v>3384</v>
      </c>
      <c r="L2" s="2235" t="s">
        <v>3385</v>
      </c>
      <c r="M2" s="2235" t="s">
        <v>3386</v>
      </c>
      <c r="O2" s="3398">
        <v>45583.333831018521</v>
      </c>
      <c r="P2" s="3398">
        <v>45611.333831018521</v>
      </c>
      <c r="Q2" s="3398">
        <v>45625.333831018521</v>
      </c>
      <c r="R2" s="3398">
        <v>45625.333831018521</v>
      </c>
      <c r="S2" s="2235" t="s">
        <v>3380</v>
      </c>
      <c r="T2" s="2235" t="s">
        <v>3387</v>
      </c>
      <c r="U2" s="2235" t="s">
        <v>3388</v>
      </c>
      <c r="V2" s="2235" t="s">
        <v>3389</v>
      </c>
      <c r="W2" s="2235" t="s">
        <v>3390</v>
      </c>
      <c r="Y2" s="2235">
        <v>1530000</v>
      </c>
      <c r="Z2" s="2235">
        <v>306000</v>
      </c>
      <c r="AA2" s="2235">
        <v>1533200</v>
      </c>
      <c r="AB2" s="2235">
        <v>6939.58</v>
      </c>
      <c r="AC2" s="2235">
        <v>6954.1</v>
      </c>
      <c r="AD2" s="2235">
        <v>38832</v>
      </c>
      <c r="AE2" s="2235">
        <v>38913</v>
      </c>
      <c r="AF2" s="2235">
        <v>2.0999999999999999E-3</v>
      </c>
      <c r="AG2" s="2235" t="s">
        <v>3391</v>
      </c>
      <c r="AH2" s="2235" t="s">
        <v>3392</v>
      </c>
    </row>
    <row r="3" spans="1:36">
      <c r="A3" s="2235" t="s">
        <v>3393</v>
      </c>
      <c r="B3" s="2235" t="s">
        <v>3378</v>
      </c>
      <c r="C3" s="2235" t="s">
        <v>3394</v>
      </c>
      <c r="D3" s="2235" t="s">
        <v>3395</v>
      </c>
      <c r="E3" s="2235" t="s">
        <v>3396</v>
      </c>
      <c r="F3" s="2235" t="s">
        <v>3382</v>
      </c>
      <c r="G3" s="2235">
        <v>47661.919999999998</v>
      </c>
      <c r="H3" s="2235">
        <v>125853.39</v>
      </c>
      <c r="I3" s="2235" t="s">
        <v>3397</v>
      </c>
      <c r="J3" s="2235">
        <v>2.8</v>
      </c>
      <c r="K3" s="2235" t="s">
        <v>3384</v>
      </c>
      <c r="L3" s="2235" t="s">
        <v>3398</v>
      </c>
      <c r="M3" s="2235" t="s">
        <v>3399</v>
      </c>
      <c r="O3" s="3398">
        <v>45433.333831018521</v>
      </c>
      <c r="P3" s="3398">
        <v>45454.333831018521</v>
      </c>
      <c r="Q3" s="3398">
        <v>45468.333831018521</v>
      </c>
      <c r="R3" s="3398">
        <v>45468.333831018521</v>
      </c>
      <c r="S3" s="2235" t="s">
        <v>3395</v>
      </c>
      <c r="T3" s="2235" t="s">
        <v>3387</v>
      </c>
      <c r="U3" s="2235" t="s">
        <v>3400</v>
      </c>
      <c r="V3" s="2235" t="s">
        <v>3401</v>
      </c>
      <c r="W3" s="2235" t="s">
        <v>3402</v>
      </c>
      <c r="Y3" s="2235">
        <v>638000</v>
      </c>
      <c r="Z3" s="2235">
        <v>128000</v>
      </c>
      <c r="AA3" s="2235">
        <v>638000</v>
      </c>
      <c r="AB3" s="2235">
        <v>8923.9699999999993</v>
      </c>
      <c r="AC3" s="2235">
        <v>8923.9699999999993</v>
      </c>
      <c r="AD3" s="2235">
        <v>50694</v>
      </c>
      <c r="AE3" s="2235">
        <v>50694</v>
      </c>
      <c r="AF3" s="2235">
        <v>0</v>
      </c>
      <c r="AG3" s="2235" t="s">
        <v>3403</v>
      </c>
      <c r="AH3" s="2235" t="s">
        <v>3392</v>
      </c>
    </row>
    <row r="4" spans="1:36">
      <c r="A4" s="2235" t="s">
        <v>3404</v>
      </c>
      <c r="B4" s="2235" t="s">
        <v>3378</v>
      </c>
      <c r="C4" s="2235" t="s">
        <v>3379</v>
      </c>
      <c r="D4" s="2235" t="s">
        <v>3405</v>
      </c>
      <c r="E4" s="2235" t="s">
        <v>3406</v>
      </c>
      <c r="F4" s="2235" t="s">
        <v>3382</v>
      </c>
      <c r="G4" s="2235">
        <v>156998.51</v>
      </c>
      <c r="H4" s="2235">
        <v>282977.15000000002</v>
      </c>
      <c r="I4" s="2235" t="s">
        <v>3407</v>
      </c>
      <c r="J4" s="2235">
        <v>2.5</v>
      </c>
      <c r="K4" s="2235" t="s">
        <v>3384</v>
      </c>
      <c r="L4" s="2235" t="s">
        <v>3408</v>
      </c>
      <c r="M4" s="2235" t="s">
        <v>3386</v>
      </c>
      <c r="N4" s="2235" t="s">
        <v>3409</v>
      </c>
      <c r="O4" s="3398">
        <v>45419.333831018521</v>
      </c>
      <c r="P4" s="3398">
        <v>45441.333831018521</v>
      </c>
      <c r="Q4" s="3398">
        <v>45456.333831018521</v>
      </c>
      <c r="R4" s="3398">
        <v>45456.333831018521</v>
      </c>
      <c r="S4" s="2235" t="s">
        <v>3405</v>
      </c>
      <c r="T4" s="2235" t="s">
        <v>3387</v>
      </c>
      <c r="U4" s="2235" t="s">
        <v>3410</v>
      </c>
      <c r="V4" s="2235" t="s">
        <v>3411</v>
      </c>
      <c r="W4" s="2235" t="s">
        <v>3412</v>
      </c>
      <c r="Y4" s="2235">
        <v>1120000</v>
      </c>
      <c r="Z4" s="2235">
        <v>224000</v>
      </c>
      <c r="AA4" s="2235">
        <v>1120000</v>
      </c>
      <c r="AB4" s="2235">
        <v>4755.88</v>
      </c>
      <c r="AC4" s="2235">
        <v>4755.88</v>
      </c>
      <c r="AD4" s="2235">
        <v>39579</v>
      </c>
      <c r="AE4" s="2235">
        <v>39579</v>
      </c>
      <c r="AF4" s="2235">
        <v>0</v>
      </c>
      <c r="AG4" s="2235" t="s">
        <v>3403</v>
      </c>
      <c r="AH4" s="2235" t="s">
        <v>3392</v>
      </c>
    </row>
    <row r="5" spans="1:36">
      <c r="A5" s="2235" t="s">
        <v>3413</v>
      </c>
      <c r="B5" s="2235" t="s">
        <v>3378</v>
      </c>
      <c r="C5" s="2235" t="s">
        <v>3394</v>
      </c>
      <c r="D5" s="2235" t="s">
        <v>3414</v>
      </c>
      <c r="E5" s="2235" t="s">
        <v>3396</v>
      </c>
      <c r="F5" s="2235" t="s">
        <v>3415</v>
      </c>
      <c r="G5" s="2235">
        <v>19800</v>
      </c>
      <c r="H5" s="2235">
        <v>55440</v>
      </c>
      <c r="I5" s="2235">
        <v>2.8</v>
      </c>
      <c r="J5" s="2235">
        <v>2.8</v>
      </c>
      <c r="K5" s="2235" t="s">
        <v>3384</v>
      </c>
      <c r="L5" s="2235" t="s">
        <v>3416</v>
      </c>
      <c r="M5" s="2235" t="s">
        <v>3386</v>
      </c>
      <c r="N5" s="2235" t="s">
        <v>3417</v>
      </c>
      <c r="O5" s="3398">
        <v>45162.333831018521</v>
      </c>
      <c r="P5" s="3398">
        <v>45182.333831018521</v>
      </c>
      <c r="Q5" s="3398">
        <v>45196.333831018521</v>
      </c>
      <c r="R5" s="3398">
        <v>45196.333831018521</v>
      </c>
      <c r="S5" s="2235" t="s">
        <v>3414</v>
      </c>
      <c r="T5" s="2235" t="s">
        <v>3387</v>
      </c>
      <c r="U5" s="2235" t="s">
        <v>3418</v>
      </c>
      <c r="V5" s="2235" t="s">
        <v>3419</v>
      </c>
      <c r="W5" s="2235" t="s">
        <v>3420</v>
      </c>
      <c r="Y5" s="2235">
        <v>250000</v>
      </c>
      <c r="Z5" s="2235">
        <v>50000</v>
      </c>
      <c r="AA5" s="2235">
        <v>287500</v>
      </c>
      <c r="AB5" s="2235">
        <v>8417.51</v>
      </c>
      <c r="AC5" s="2235">
        <v>9680.1299999999992</v>
      </c>
      <c r="AD5" s="2235">
        <v>45094</v>
      </c>
      <c r="AE5" s="2235">
        <v>51858</v>
      </c>
      <c r="AF5" s="2235">
        <v>0.15</v>
      </c>
      <c r="AG5" s="2235" t="s">
        <v>3421</v>
      </c>
      <c r="AH5" s="2235" t="s">
        <v>3392</v>
      </c>
    </row>
    <row r="6" spans="1:36">
      <c r="A6" s="2235" t="s">
        <v>3422</v>
      </c>
      <c r="B6" s="2235" t="s">
        <v>3378</v>
      </c>
      <c r="C6" s="2235" t="s">
        <v>3423</v>
      </c>
      <c r="D6" s="2235" t="s">
        <v>3424</v>
      </c>
      <c r="E6" s="2235" t="s">
        <v>3425</v>
      </c>
      <c r="F6" s="2235" t="s">
        <v>3382</v>
      </c>
      <c r="G6" s="2235">
        <v>22856.66</v>
      </c>
      <c r="H6" s="2235">
        <v>45084.65</v>
      </c>
      <c r="I6" s="2235" t="s">
        <v>3426</v>
      </c>
      <c r="J6" s="2235">
        <v>2.2000000000000002</v>
      </c>
      <c r="K6" s="2235" t="s">
        <v>3384</v>
      </c>
      <c r="L6" s="2235" t="s">
        <v>3398</v>
      </c>
      <c r="M6" s="2235" t="s">
        <v>3427</v>
      </c>
      <c r="N6" s="2235" t="s">
        <v>3428</v>
      </c>
      <c r="O6" s="3398">
        <v>45062.333831018521</v>
      </c>
      <c r="P6" s="3398">
        <v>45083.333831018521</v>
      </c>
      <c r="Q6" s="3398">
        <v>45097.333831018521</v>
      </c>
      <c r="R6" s="3398">
        <v>45097.333831018521</v>
      </c>
      <c r="S6" s="2235" t="s">
        <v>3424</v>
      </c>
      <c r="T6" s="2235" t="s">
        <v>3387</v>
      </c>
      <c r="U6" s="2235" t="s">
        <v>3429</v>
      </c>
      <c r="V6" s="2235" t="s">
        <v>3430</v>
      </c>
      <c r="W6" s="2235" t="s">
        <v>3431</v>
      </c>
      <c r="Y6" s="2235">
        <v>224000</v>
      </c>
      <c r="Z6" s="2235">
        <v>45000</v>
      </c>
      <c r="AA6" s="2235">
        <v>240000</v>
      </c>
      <c r="AB6" s="2235">
        <v>6533.47</v>
      </c>
      <c r="AC6" s="2235">
        <v>7000.15</v>
      </c>
      <c r="AD6" s="2235">
        <v>49684</v>
      </c>
      <c r="AE6" s="2235">
        <v>53233</v>
      </c>
      <c r="AF6" s="2235">
        <v>7.1399999999999991E-2</v>
      </c>
      <c r="AG6" s="2235" t="s">
        <v>3432</v>
      </c>
      <c r="AH6" s="2235" t="s">
        <v>3433</v>
      </c>
    </row>
    <row r="7" spans="1:36">
      <c r="A7" s="2235" t="s">
        <v>3434</v>
      </c>
      <c r="B7" s="2235" t="s">
        <v>3378</v>
      </c>
      <c r="C7" s="2235" t="s">
        <v>3423</v>
      </c>
      <c r="D7" s="2235" t="s">
        <v>3435</v>
      </c>
      <c r="E7" s="2235" t="s">
        <v>3425</v>
      </c>
      <c r="F7" s="2235" t="s">
        <v>3415</v>
      </c>
      <c r="G7" s="2235">
        <v>24387.06</v>
      </c>
      <c r="H7" s="2235">
        <v>58528.94</v>
      </c>
      <c r="I7" s="2235">
        <v>2.4</v>
      </c>
      <c r="J7" s="2235">
        <v>2.4</v>
      </c>
      <c r="K7" s="2235" t="s">
        <v>3384</v>
      </c>
      <c r="L7" s="2235" t="s">
        <v>3436</v>
      </c>
      <c r="M7" s="2235" t="s">
        <v>3427</v>
      </c>
      <c r="N7" s="2235" t="s">
        <v>3417</v>
      </c>
      <c r="O7" s="3398">
        <v>45062.333831018521</v>
      </c>
      <c r="P7" s="3398">
        <v>45083.333831018521</v>
      </c>
      <c r="Q7" s="3398">
        <v>45097.333831018521</v>
      </c>
      <c r="R7" s="3398">
        <v>45097.333831018521</v>
      </c>
      <c r="S7" s="2235" t="s">
        <v>3435</v>
      </c>
      <c r="T7" s="2235" t="s">
        <v>3387</v>
      </c>
      <c r="U7" s="2235" t="s">
        <v>3429</v>
      </c>
      <c r="V7" s="2235" t="s">
        <v>3430</v>
      </c>
      <c r="W7" s="2235" t="s">
        <v>3431</v>
      </c>
      <c r="Y7" s="2235">
        <v>315000</v>
      </c>
      <c r="Z7" s="2235">
        <v>63000</v>
      </c>
      <c r="AA7" s="2235">
        <v>332000</v>
      </c>
      <c r="AB7" s="2235">
        <v>8611.1200000000008</v>
      </c>
      <c r="AC7" s="2235">
        <v>9075.85</v>
      </c>
      <c r="AD7" s="2235">
        <v>53820</v>
      </c>
      <c r="AE7" s="2235">
        <v>56724</v>
      </c>
      <c r="AF7" s="2235">
        <v>5.4000000000000006E-2</v>
      </c>
      <c r="AG7" s="2235" t="s">
        <v>3437</v>
      </c>
      <c r="AH7" s="2235" t="s">
        <v>3433</v>
      </c>
    </row>
    <row r="8" spans="1:36">
      <c r="A8" s="2235" t="s">
        <v>3438</v>
      </c>
      <c r="B8" s="2235" t="s">
        <v>3378</v>
      </c>
      <c r="C8" s="2235" t="s">
        <v>3439</v>
      </c>
      <c r="D8" s="2235" t="s">
        <v>3440</v>
      </c>
      <c r="E8" s="2235" t="s">
        <v>3441</v>
      </c>
      <c r="F8" s="2235" t="s">
        <v>3382</v>
      </c>
      <c r="G8" s="2235">
        <v>71284.179999999993</v>
      </c>
      <c r="H8" s="2235">
        <v>105042</v>
      </c>
      <c r="I8" s="2235" t="s">
        <v>3442</v>
      </c>
      <c r="J8" s="2235">
        <v>1.61</v>
      </c>
      <c r="K8" s="2235" t="s">
        <v>3384</v>
      </c>
      <c r="L8" s="2235" t="s">
        <v>3443</v>
      </c>
      <c r="M8" s="2235" t="s">
        <v>3386</v>
      </c>
      <c r="N8" s="2235" t="s">
        <v>3444</v>
      </c>
      <c r="O8" s="3398">
        <v>45058.333831018521</v>
      </c>
      <c r="P8" s="3398">
        <v>45079.333831018521</v>
      </c>
      <c r="Q8" s="3398">
        <v>45093.333831018521</v>
      </c>
      <c r="R8" s="3398">
        <v>45093.333831018521</v>
      </c>
      <c r="S8" s="2235" t="s">
        <v>3445</v>
      </c>
      <c r="T8" s="2235" t="s">
        <v>3387</v>
      </c>
      <c r="U8" s="2235" t="s">
        <v>3446</v>
      </c>
      <c r="V8" s="2235" t="s">
        <v>3447</v>
      </c>
      <c r="W8" s="2235" t="s">
        <v>3402</v>
      </c>
      <c r="X8" s="2235" t="s">
        <v>3448</v>
      </c>
      <c r="Y8" s="2235">
        <v>300000</v>
      </c>
      <c r="Z8" s="2235">
        <v>60000</v>
      </c>
      <c r="AA8" s="2235">
        <v>345000</v>
      </c>
      <c r="AB8" s="2235">
        <v>2805.67</v>
      </c>
      <c r="AC8" s="2235">
        <v>3226.52</v>
      </c>
      <c r="AD8" s="2235">
        <v>28560</v>
      </c>
      <c r="AE8" s="2235">
        <v>32844</v>
      </c>
      <c r="AF8" s="2235">
        <v>0.15</v>
      </c>
      <c r="AG8" s="2235" t="s">
        <v>3449</v>
      </c>
      <c r="AH8" s="2235" t="s">
        <v>3433</v>
      </c>
    </row>
    <row r="9" spans="1:36">
      <c r="A9" s="2235" t="s">
        <v>3450</v>
      </c>
      <c r="B9" s="2235" t="s">
        <v>3378</v>
      </c>
      <c r="C9" s="2235" t="s">
        <v>3451</v>
      </c>
      <c r="D9" s="2235" t="s">
        <v>3452</v>
      </c>
      <c r="E9" s="2235" t="s">
        <v>3453</v>
      </c>
      <c r="F9" s="2235" t="s">
        <v>3415</v>
      </c>
      <c r="G9" s="2235">
        <v>61455.11</v>
      </c>
      <c r="H9" s="2235">
        <v>92183</v>
      </c>
      <c r="I9" s="2235">
        <v>1.5</v>
      </c>
      <c r="J9" s="2235">
        <v>1.5</v>
      </c>
      <c r="K9" s="2235" t="s">
        <v>3384</v>
      </c>
      <c r="L9" s="2235" t="s">
        <v>3436</v>
      </c>
      <c r="M9" s="2235" t="s">
        <v>3427</v>
      </c>
      <c r="N9" s="2235" t="s">
        <v>3428</v>
      </c>
      <c r="O9" s="3398">
        <v>45012.333831018521</v>
      </c>
      <c r="P9" s="3398">
        <v>45033.333831018521</v>
      </c>
      <c r="Q9" s="3398">
        <v>45044.333831018521</v>
      </c>
      <c r="R9" s="3398">
        <v>45044.333831018521</v>
      </c>
      <c r="S9" s="2235" t="s">
        <v>3454</v>
      </c>
      <c r="T9" s="2235" t="s">
        <v>3387</v>
      </c>
      <c r="U9" s="2235" t="s">
        <v>3455</v>
      </c>
      <c r="V9" s="2235" t="s">
        <v>3456</v>
      </c>
      <c r="W9" s="2235" t="s">
        <v>3390</v>
      </c>
      <c r="Y9" s="2235">
        <v>404000</v>
      </c>
      <c r="Z9" s="2235">
        <v>81000</v>
      </c>
      <c r="AA9" s="2235">
        <v>404000</v>
      </c>
      <c r="AB9" s="2235">
        <v>4382.6000000000004</v>
      </c>
      <c r="AC9" s="2235">
        <v>4382.6000000000004</v>
      </c>
      <c r="AD9" s="2235">
        <v>43826</v>
      </c>
      <c r="AE9" s="2235">
        <v>43826</v>
      </c>
      <c r="AF9" s="2235">
        <v>0</v>
      </c>
      <c r="AG9" s="2235" t="s">
        <v>3457</v>
      </c>
      <c r="AH9" s="2235" t="s">
        <v>3433</v>
      </c>
    </row>
    <row r="10" spans="1:36">
      <c r="A10" s="2235" t="s">
        <v>3458</v>
      </c>
      <c r="B10" s="2235" t="s">
        <v>3378</v>
      </c>
      <c r="C10" s="2235" t="s">
        <v>3459</v>
      </c>
      <c r="D10" s="2235" t="s">
        <v>3460</v>
      </c>
      <c r="E10" s="2235" t="s">
        <v>3461</v>
      </c>
      <c r="F10" s="2235" t="s">
        <v>3415</v>
      </c>
      <c r="G10" s="2235">
        <v>12060.05</v>
      </c>
      <c r="H10" s="2235">
        <v>30150</v>
      </c>
      <c r="I10" s="2235">
        <v>2.5</v>
      </c>
      <c r="J10" s="2235">
        <v>2.5</v>
      </c>
      <c r="K10" s="2235" t="s">
        <v>3384</v>
      </c>
      <c r="L10" s="2235" t="s">
        <v>3436</v>
      </c>
      <c r="M10" s="2235" t="s">
        <v>3427</v>
      </c>
      <c r="N10" s="2235" t="s">
        <v>3417</v>
      </c>
      <c r="O10" s="3398">
        <v>44925.333831018521</v>
      </c>
      <c r="P10" s="3398">
        <v>44945.333831018521</v>
      </c>
      <c r="Q10" s="3398">
        <v>44964.333831018521</v>
      </c>
      <c r="R10" s="3398">
        <v>44965.333831018521</v>
      </c>
      <c r="S10" s="2235" t="s">
        <v>3460</v>
      </c>
      <c r="T10" s="2235" t="s">
        <v>3387</v>
      </c>
      <c r="U10" s="2235" t="s">
        <v>3462</v>
      </c>
      <c r="V10" s="2235" t="s">
        <v>3463</v>
      </c>
      <c r="W10" s="2235" t="s">
        <v>3390</v>
      </c>
      <c r="Y10" s="2235">
        <v>124000</v>
      </c>
      <c r="Z10" s="2235">
        <v>25000</v>
      </c>
      <c r="AA10" s="2235">
        <v>142600</v>
      </c>
      <c r="AB10" s="2235">
        <v>6854.59</v>
      </c>
      <c r="AC10" s="2235">
        <v>7882.78</v>
      </c>
      <c r="AD10" s="2235">
        <v>41128</v>
      </c>
      <c r="AE10" s="2235">
        <v>47297</v>
      </c>
      <c r="AF10" s="2235">
        <v>0.15</v>
      </c>
      <c r="AG10" s="2235" t="s">
        <v>3437</v>
      </c>
      <c r="AH10" s="2235" t="s">
        <v>3464</v>
      </c>
    </row>
    <row r="11" spans="1:36">
      <c r="A11" s="2235" t="s">
        <v>3465</v>
      </c>
      <c r="B11" s="2235" t="s">
        <v>3378</v>
      </c>
      <c r="C11" s="2235" t="s">
        <v>3466</v>
      </c>
      <c r="D11" s="2235" t="s">
        <v>3467</v>
      </c>
      <c r="E11" s="2235" t="s">
        <v>3468</v>
      </c>
      <c r="F11" s="2235" t="s">
        <v>3415</v>
      </c>
      <c r="G11" s="2235">
        <v>18681.22</v>
      </c>
      <c r="H11" s="2235">
        <v>46703.06</v>
      </c>
      <c r="I11" s="2235">
        <v>2.5</v>
      </c>
      <c r="J11" s="2235">
        <v>2.5</v>
      </c>
      <c r="K11" s="2235" t="s">
        <v>3384</v>
      </c>
      <c r="L11" s="2235" t="s">
        <v>3436</v>
      </c>
      <c r="M11" s="2235" t="s">
        <v>3469</v>
      </c>
      <c r="N11" s="2235" t="s">
        <v>3469</v>
      </c>
      <c r="O11" s="3398">
        <v>44859.333831018521</v>
      </c>
      <c r="P11" s="3398">
        <v>44879.333831018521</v>
      </c>
      <c r="Q11" s="3398">
        <v>44893.333831018521</v>
      </c>
      <c r="R11" s="3398">
        <v>44894.333831018521</v>
      </c>
      <c r="S11" s="2235" t="s">
        <v>3467</v>
      </c>
      <c r="T11" s="2235" t="s">
        <v>3387</v>
      </c>
      <c r="U11" s="2235" t="s">
        <v>3470</v>
      </c>
      <c r="V11" s="2235" t="s">
        <v>3471</v>
      </c>
      <c r="W11" s="2235" t="s">
        <v>3402</v>
      </c>
      <c r="X11" s="2235" t="s">
        <v>3448</v>
      </c>
      <c r="Y11" s="2235">
        <v>212000</v>
      </c>
      <c r="Z11" s="2235">
        <v>43000</v>
      </c>
      <c r="AA11" s="2235">
        <v>243800</v>
      </c>
      <c r="AB11" s="2235">
        <v>7565.53</v>
      </c>
      <c r="AC11" s="2235">
        <v>8700.36</v>
      </c>
      <c r="AD11" s="2235">
        <v>45393</v>
      </c>
      <c r="AE11" s="2235">
        <v>52202</v>
      </c>
      <c r="AF11" s="2235">
        <v>0.15</v>
      </c>
      <c r="AG11" s="2235" t="s">
        <v>3457</v>
      </c>
      <c r="AH11" s="2235" t="s">
        <v>3433</v>
      </c>
    </row>
    <row r="12" spans="1:36">
      <c r="A12" s="2235" t="s">
        <v>3472</v>
      </c>
      <c r="B12" s="2235" t="s">
        <v>3378</v>
      </c>
      <c r="C12" s="2235" t="s">
        <v>3466</v>
      </c>
      <c r="D12" s="2235" t="s">
        <v>3473</v>
      </c>
      <c r="E12" s="2235" t="s">
        <v>3468</v>
      </c>
      <c r="F12" s="2235" t="s">
        <v>3415</v>
      </c>
      <c r="G12" s="2235">
        <v>19603.849999999999</v>
      </c>
      <c r="H12" s="2235">
        <v>49009.63</v>
      </c>
      <c r="I12" s="2235">
        <v>2.5</v>
      </c>
      <c r="J12" s="2235">
        <v>2.5</v>
      </c>
      <c r="K12" s="2235" t="s">
        <v>3384</v>
      </c>
      <c r="L12" s="2235" t="s">
        <v>3436</v>
      </c>
      <c r="M12" s="2235" t="s">
        <v>3469</v>
      </c>
      <c r="N12" s="2235" t="s">
        <v>3469</v>
      </c>
      <c r="O12" s="3398">
        <v>44859.333831018521</v>
      </c>
      <c r="P12" s="3398">
        <v>44879.333831018521</v>
      </c>
      <c r="Q12" s="3398">
        <v>44893.333831018521</v>
      </c>
      <c r="R12" s="3398">
        <v>44893.333831018521</v>
      </c>
      <c r="S12" s="2235" t="s">
        <v>3473</v>
      </c>
      <c r="T12" s="2235" t="s">
        <v>3387</v>
      </c>
      <c r="U12" s="2235" t="s">
        <v>3474</v>
      </c>
      <c r="V12" s="2235" t="s">
        <v>3475</v>
      </c>
      <c r="W12" s="2235" t="s">
        <v>3431</v>
      </c>
      <c r="X12" s="2235" t="s">
        <v>3476</v>
      </c>
      <c r="Y12" s="2235">
        <v>222000</v>
      </c>
      <c r="Z12" s="2235">
        <v>45000</v>
      </c>
      <c r="AA12" s="2235">
        <v>255300</v>
      </c>
      <c r="AB12" s="2235">
        <v>7549.54</v>
      </c>
      <c r="AC12" s="2235">
        <v>8681.9699999999993</v>
      </c>
      <c r="AD12" s="2235">
        <v>45297</v>
      </c>
      <c r="AE12" s="2235">
        <v>52092</v>
      </c>
      <c r="AF12" s="2235">
        <v>0.15</v>
      </c>
      <c r="AG12" s="2235" t="s">
        <v>3457</v>
      </c>
      <c r="AH12" s="2235" t="s">
        <v>3433</v>
      </c>
    </row>
    <row r="13" spans="1:36">
      <c r="A13" s="2235" t="s">
        <v>3477</v>
      </c>
      <c r="B13" s="2235" t="s">
        <v>3378</v>
      </c>
      <c r="C13" s="2235" t="s">
        <v>3439</v>
      </c>
      <c r="D13" s="2235" t="s">
        <v>3478</v>
      </c>
      <c r="E13" s="2235" t="s">
        <v>3479</v>
      </c>
      <c r="F13" s="2235" t="s">
        <v>3415</v>
      </c>
      <c r="G13" s="2235">
        <v>31920.74</v>
      </c>
      <c r="H13" s="2235">
        <v>70864</v>
      </c>
      <c r="I13" s="2235">
        <v>2.2200000000000002</v>
      </c>
      <c r="J13" s="2235">
        <v>2.2200000000000002</v>
      </c>
      <c r="K13" s="2235" t="s">
        <v>3384</v>
      </c>
      <c r="L13" s="2235" t="s">
        <v>3436</v>
      </c>
      <c r="M13" s="2235" t="s">
        <v>3469</v>
      </c>
      <c r="N13" s="2235" t="s">
        <v>3469</v>
      </c>
      <c r="O13" s="3398">
        <v>44859.333831018521</v>
      </c>
      <c r="P13" s="3398">
        <v>44879.333831018521</v>
      </c>
      <c r="Q13" s="3398">
        <v>44893.333831018521</v>
      </c>
      <c r="R13" s="3398">
        <v>44894.333831018521</v>
      </c>
      <c r="S13" s="2235" t="s">
        <v>3478</v>
      </c>
      <c r="T13" s="2235" t="s">
        <v>3387</v>
      </c>
      <c r="U13" s="2235" t="s">
        <v>3400</v>
      </c>
      <c r="V13" s="2235" t="s">
        <v>3401</v>
      </c>
      <c r="W13" s="2235" t="s">
        <v>3402</v>
      </c>
      <c r="Y13" s="2235">
        <v>281000</v>
      </c>
      <c r="Z13" s="2235">
        <v>57000</v>
      </c>
      <c r="AA13" s="2235">
        <v>323150</v>
      </c>
      <c r="AB13" s="2235">
        <v>5868.7</v>
      </c>
      <c r="AC13" s="2235">
        <v>6749.01</v>
      </c>
      <c r="AD13" s="2235">
        <v>39653</v>
      </c>
      <c r="AE13" s="2235">
        <v>45601</v>
      </c>
      <c r="AF13" s="2235">
        <v>0.15</v>
      </c>
      <c r="AG13" s="2235" t="s">
        <v>3457</v>
      </c>
      <c r="AH13" s="2235" t="s">
        <v>3433</v>
      </c>
    </row>
    <row r="14" spans="1:36">
      <c r="A14" s="2235" t="s">
        <v>3480</v>
      </c>
      <c r="B14" s="2235" t="s">
        <v>3378</v>
      </c>
      <c r="C14" s="2235" t="s">
        <v>3439</v>
      </c>
      <c r="D14" s="2235" t="s">
        <v>3481</v>
      </c>
      <c r="E14" s="2235" t="s">
        <v>3479</v>
      </c>
      <c r="F14" s="2235" t="s">
        <v>3415</v>
      </c>
      <c r="G14" s="2235">
        <v>40508.61</v>
      </c>
      <c r="H14" s="2235">
        <v>56712</v>
      </c>
      <c r="I14" s="2235" t="s">
        <v>3482</v>
      </c>
      <c r="J14" s="2235">
        <v>1.4</v>
      </c>
      <c r="K14" s="2235" t="s">
        <v>3384</v>
      </c>
      <c r="L14" s="2235" t="s">
        <v>3436</v>
      </c>
      <c r="M14" s="2235" t="s">
        <v>3483</v>
      </c>
      <c r="N14" s="2235" t="s">
        <v>3484</v>
      </c>
      <c r="O14" s="3398">
        <v>44670.333831018521</v>
      </c>
      <c r="P14" s="3398">
        <v>44691.333831018521</v>
      </c>
      <c r="Q14" s="3398">
        <v>44712.333831018521</v>
      </c>
      <c r="R14" s="3398">
        <v>44712.333831018521</v>
      </c>
      <c r="S14" s="2235" t="s">
        <v>3481</v>
      </c>
      <c r="T14" s="2235" t="s">
        <v>3387</v>
      </c>
      <c r="U14" s="2235" t="s">
        <v>3455</v>
      </c>
      <c r="V14" s="2235" t="s">
        <v>3456</v>
      </c>
      <c r="W14" s="2235" t="s">
        <v>3390</v>
      </c>
      <c r="Y14" s="2235">
        <v>263000</v>
      </c>
      <c r="Z14" s="2235">
        <v>53000</v>
      </c>
      <c r="AA14" s="2235">
        <v>298000</v>
      </c>
      <c r="AB14" s="2235">
        <v>4328.3</v>
      </c>
      <c r="AC14" s="2235">
        <v>4904.3100000000004</v>
      </c>
      <c r="AD14" s="2235">
        <v>46375</v>
      </c>
      <c r="AE14" s="2235">
        <v>52546</v>
      </c>
      <c r="AF14" s="2235">
        <v>0.1331</v>
      </c>
      <c r="AG14" s="2235" t="s">
        <v>3485</v>
      </c>
      <c r="AH14" s="2235" t="s">
        <v>3433</v>
      </c>
    </row>
    <row r="15" spans="1:36">
      <c r="A15" s="2235" t="s">
        <v>3486</v>
      </c>
      <c r="B15" s="2235" t="s">
        <v>3378</v>
      </c>
      <c r="C15" s="2235" t="s">
        <v>3394</v>
      </c>
      <c r="D15" s="2235" t="s">
        <v>3487</v>
      </c>
      <c r="E15" s="2235" t="s">
        <v>3396</v>
      </c>
      <c r="F15" s="2235" t="s">
        <v>3415</v>
      </c>
      <c r="G15" s="2235">
        <v>34502.36</v>
      </c>
      <c r="H15" s="2235">
        <v>86256</v>
      </c>
      <c r="I15" s="2235" t="s">
        <v>3488</v>
      </c>
      <c r="J15" s="2235">
        <v>2.5</v>
      </c>
      <c r="K15" s="2235" t="s">
        <v>3384</v>
      </c>
      <c r="L15" s="2235" t="s">
        <v>3436</v>
      </c>
      <c r="M15" s="2235" t="s">
        <v>3489</v>
      </c>
      <c r="N15" s="2235" t="s">
        <v>3484</v>
      </c>
      <c r="O15" s="3398">
        <v>44670.333831018521</v>
      </c>
      <c r="P15" s="3398">
        <v>44691.333831018521</v>
      </c>
      <c r="Q15" s="3398">
        <v>44712.333831018521</v>
      </c>
      <c r="R15" s="3398">
        <v>44712.333831018521</v>
      </c>
      <c r="S15" s="2235" t="s">
        <v>3487</v>
      </c>
      <c r="T15" s="2235" t="s">
        <v>3387</v>
      </c>
      <c r="U15" s="2235" t="s">
        <v>3490</v>
      </c>
      <c r="V15" s="2235" t="s">
        <v>3491</v>
      </c>
      <c r="W15" s="2235" t="s">
        <v>3492</v>
      </c>
      <c r="X15" s="2235" t="s">
        <v>3493</v>
      </c>
      <c r="Y15" s="2235">
        <v>388000</v>
      </c>
      <c r="Z15" s="2235">
        <v>78000</v>
      </c>
      <c r="AA15" s="2235">
        <v>388000</v>
      </c>
      <c r="AB15" s="2235">
        <v>7497.07</v>
      </c>
      <c r="AC15" s="2235">
        <v>7497.07</v>
      </c>
      <c r="AD15" s="2235">
        <v>44982</v>
      </c>
      <c r="AE15" s="2235">
        <v>44982</v>
      </c>
      <c r="AF15" s="2235">
        <v>0</v>
      </c>
      <c r="AG15" s="2235" t="s">
        <v>3485</v>
      </c>
      <c r="AH15" s="2235" t="s">
        <v>3392</v>
      </c>
    </row>
    <row r="16" spans="1:36">
      <c r="A16" s="2235" t="s">
        <v>3494</v>
      </c>
      <c r="B16" s="2235" t="s">
        <v>3378</v>
      </c>
      <c r="C16" s="2235" t="s">
        <v>3495</v>
      </c>
      <c r="D16" s="2235" t="s">
        <v>3496</v>
      </c>
      <c r="E16" s="2235" t="s">
        <v>3497</v>
      </c>
      <c r="F16" s="2235" t="s">
        <v>3415</v>
      </c>
      <c r="G16" s="2235">
        <v>27039.75</v>
      </c>
      <c r="H16" s="2235">
        <v>75711.3</v>
      </c>
      <c r="I16" s="2235" t="s">
        <v>3498</v>
      </c>
      <c r="J16" s="2235">
        <v>2.8</v>
      </c>
      <c r="K16" s="2235" t="s">
        <v>3384</v>
      </c>
      <c r="L16" s="2235" t="s">
        <v>3436</v>
      </c>
      <c r="M16" s="2235" t="s">
        <v>3499</v>
      </c>
      <c r="N16" s="2235" t="s">
        <v>3499</v>
      </c>
      <c r="O16" s="3398">
        <v>44670.333831018521</v>
      </c>
      <c r="P16" s="3398">
        <v>44691.333831018521</v>
      </c>
      <c r="Q16" s="3398">
        <v>44712.333831018521</v>
      </c>
      <c r="R16" s="3398">
        <v>44713.333831018521</v>
      </c>
      <c r="S16" s="2235" t="s">
        <v>3496</v>
      </c>
      <c r="T16" s="2235" t="s">
        <v>3387</v>
      </c>
      <c r="U16" s="2235" t="s">
        <v>3500</v>
      </c>
      <c r="V16" s="2235" t="s">
        <v>3501</v>
      </c>
      <c r="W16" s="2235" t="s">
        <v>3390</v>
      </c>
      <c r="Y16" s="2235">
        <v>581000</v>
      </c>
      <c r="Z16" s="2235">
        <v>116200</v>
      </c>
      <c r="AA16" s="2235">
        <v>668150</v>
      </c>
      <c r="AB16" s="2235">
        <v>14324.59</v>
      </c>
      <c r="AC16" s="2235">
        <v>16473.28</v>
      </c>
      <c r="AD16" s="2235">
        <v>76739</v>
      </c>
      <c r="AE16" s="2235">
        <v>88250</v>
      </c>
      <c r="AF16" s="2235">
        <v>0.15</v>
      </c>
      <c r="AG16" s="2235" t="s">
        <v>3485</v>
      </c>
      <c r="AH16" s="2235" t="s">
        <v>3464</v>
      </c>
    </row>
    <row r="17" spans="1:36">
      <c r="A17" s="2235" t="s">
        <v>3502</v>
      </c>
      <c r="B17" s="2235" t="s">
        <v>3378</v>
      </c>
      <c r="C17" s="2235" t="s">
        <v>3439</v>
      </c>
      <c r="D17" s="2235" t="s">
        <v>3503</v>
      </c>
      <c r="E17" s="2235" t="s">
        <v>3479</v>
      </c>
      <c r="F17" s="2235" t="s">
        <v>3382</v>
      </c>
      <c r="G17" s="2235">
        <v>44618.19</v>
      </c>
      <c r="H17" s="2235">
        <v>93514</v>
      </c>
      <c r="I17" s="2235" t="s">
        <v>3504</v>
      </c>
      <c r="J17" s="2235">
        <v>2.2000000000000002</v>
      </c>
      <c r="K17" s="2235" t="s">
        <v>3384</v>
      </c>
      <c r="L17" s="2235" t="s">
        <v>3398</v>
      </c>
      <c r="M17" s="2235" t="s">
        <v>3505</v>
      </c>
      <c r="N17" s="2235" t="s">
        <v>3484</v>
      </c>
      <c r="O17" s="3398">
        <v>44670.333831018521</v>
      </c>
      <c r="P17" s="3398">
        <v>44691.333831018521</v>
      </c>
      <c r="Q17" s="3398">
        <v>44712.333831018521</v>
      </c>
      <c r="R17" s="3398">
        <v>44712.333831018521</v>
      </c>
      <c r="S17" s="2235" t="s">
        <v>3503</v>
      </c>
      <c r="T17" s="2235" t="s">
        <v>3387</v>
      </c>
      <c r="U17" s="2235" t="s">
        <v>3506</v>
      </c>
      <c r="V17" s="2235" t="s">
        <v>3507</v>
      </c>
      <c r="W17" s="2235" t="s">
        <v>3402</v>
      </c>
      <c r="Y17" s="2235">
        <v>394000</v>
      </c>
      <c r="Z17" s="2235">
        <v>79000</v>
      </c>
      <c r="AA17" s="2235">
        <v>400000</v>
      </c>
      <c r="AB17" s="2235">
        <v>5886.99</v>
      </c>
      <c r="AC17" s="2235">
        <v>5976.64</v>
      </c>
      <c r="AD17" s="2235">
        <v>42133</v>
      </c>
      <c r="AE17" s="2235">
        <v>42774</v>
      </c>
      <c r="AF17" s="2235">
        <v>1.52E-2</v>
      </c>
      <c r="AG17" s="2235" t="s">
        <v>3508</v>
      </c>
      <c r="AH17" s="2235" t="s">
        <v>3433</v>
      </c>
    </row>
    <row r="18" spans="1:36">
      <c r="A18" s="2235" t="s">
        <v>3509</v>
      </c>
      <c r="B18" s="2235" t="s">
        <v>3378</v>
      </c>
      <c r="C18" s="2235" t="s">
        <v>3423</v>
      </c>
      <c r="D18" s="2235" t="s">
        <v>3510</v>
      </c>
      <c r="E18" s="2235" t="s">
        <v>3479</v>
      </c>
      <c r="F18" s="2235" t="s">
        <v>3382</v>
      </c>
      <c r="G18" s="2235">
        <v>41146.67</v>
      </c>
      <c r="H18" s="2235">
        <v>92406</v>
      </c>
      <c r="I18" s="2235" t="s">
        <v>3511</v>
      </c>
      <c r="J18" s="2235">
        <v>2.5</v>
      </c>
      <c r="K18" s="2235" t="s">
        <v>3384</v>
      </c>
      <c r="L18" s="2235" t="s">
        <v>3512</v>
      </c>
      <c r="M18" s="2235" t="s">
        <v>3513</v>
      </c>
      <c r="N18" s="2235" t="s">
        <v>3514</v>
      </c>
      <c r="O18" s="3398">
        <v>44568.333831018521</v>
      </c>
      <c r="P18" s="3398">
        <v>44589.333831018521</v>
      </c>
      <c r="Q18" s="3398">
        <v>44608.333831018521</v>
      </c>
      <c r="R18" s="3398">
        <v>44609.333831018521</v>
      </c>
      <c r="S18" s="2235" t="s">
        <v>3510</v>
      </c>
      <c r="T18" s="2235" t="s">
        <v>3387</v>
      </c>
      <c r="U18" s="2235" t="s">
        <v>3515</v>
      </c>
      <c r="V18" s="2235" t="s">
        <v>3516</v>
      </c>
      <c r="W18" s="2235" t="s">
        <v>3517</v>
      </c>
      <c r="Y18" s="2235">
        <v>378000</v>
      </c>
      <c r="Z18" s="2235">
        <v>76000</v>
      </c>
      <c r="AA18" s="2235">
        <v>434700</v>
      </c>
      <c r="AB18" s="2235">
        <v>6124.43</v>
      </c>
      <c r="AC18" s="2235">
        <v>7043.1</v>
      </c>
      <c r="AD18" s="2235">
        <v>40906</v>
      </c>
      <c r="AE18" s="2235">
        <v>47042</v>
      </c>
      <c r="AF18" s="2235">
        <v>0.15</v>
      </c>
      <c r="AG18" s="2235" t="s">
        <v>3518</v>
      </c>
      <c r="AH18" s="2235" t="s">
        <v>3433</v>
      </c>
      <c r="AI18" s="2235" t="s">
        <v>3519</v>
      </c>
      <c r="AJ18" s="2235" t="s">
        <v>3520</v>
      </c>
    </row>
    <row r="19" spans="1:36">
      <c r="A19" s="2235" t="s">
        <v>3521</v>
      </c>
      <c r="B19" s="2235" t="s">
        <v>3378</v>
      </c>
      <c r="C19" s="2235" t="s">
        <v>3522</v>
      </c>
      <c r="D19" s="2235" t="s">
        <v>3523</v>
      </c>
      <c r="E19" s="2235" t="s">
        <v>3524</v>
      </c>
      <c r="F19" s="2235" t="s">
        <v>3415</v>
      </c>
      <c r="G19" s="2235">
        <v>36848.99</v>
      </c>
      <c r="H19" s="2235">
        <v>92122</v>
      </c>
      <c r="I19" s="2235">
        <v>2.5</v>
      </c>
      <c r="J19" s="2235">
        <v>2.5</v>
      </c>
      <c r="K19" s="2235" t="s">
        <v>3384</v>
      </c>
      <c r="L19" s="2235" t="s">
        <v>3436</v>
      </c>
      <c r="M19" s="2235" t="s">
        <v>3525</v>
      </c>
      <c r="N19" s="2235" t="s">
        <v>3484</v>
      </c>
      <c r="O19" s="3398">
        <v>44568.333831018521</v>
      </c>
      <c r="P19" s="3398">
        <v>44589.333831018521</v>
      </c>
      <c r="Q19" s="3398">
        <v>44608.333831018521</v>
      </c>
      <c r="R19" s="3398">
        <v>44609.333831018521</v>
      </c>
      <c r="S19" s="2235" t="s">
        <v>3523</v>
      </c>
      <c r="T19" s="2235" t="s">
        <v>3387</v>
      </c>
      <c r="U19" s="2235" t="s">
        <v>3526</v>
      </c>
      <c r="V19" s="2235" t="s">
        <v>3527</v>
      </c>
      <c r="W19" s="2235" t="s">
        <v>3528</v>
      </c>
      <c r="Y19" s="2235">
        <v>392000</v>
      </c>
      <c r="Z19" s="2235">
        <v>78500</v>
      </c>
      <c r="AA19" s="2235">
        <v>424000</v>
      </c>
      <c r="AB19" s="2235">
        <v>7092.01</v>
      </c>
      <c r="AC19" s="2235">
        <v>7670.95</v>
      </c>
      <c r="AD19" s="2235">
        <v>42552</v>
      </c>
      <c r="AE19" s="2235">
        <v>46026</v>
      </c>
      <c r="AF19" s="2235">
        <v>8.1600000000000006E-2</v>
      </c>
      <c r="AG19" s="2235" t="s">
        <v>3421</v>
      </c>
      <c r="AH19" s="2235" t="s">
        <v>3392</v>
      </c>
    </row>
    <row r="20" spans="1:36">
      <c r="A20" s="2235" t="s">
        <v>3529</v>
      </c>
      <c r="B20" s="2235" t="s">
        <v>3378</v>
      </c>
      <c r="C20" s="2235" t="s">
        <v>3530</v>
      </c>
      <c r="D20" s="2235" t="s">
        <v>3531</v>
      </c>
      <c r="E20" s="2235" t="s">
        <v>3532</v>
      </c>
      <c r="F20" s="2235" t="s">
        <v>3382</v>
      </c>
      <c r="G20" s="2235">
        <v>12533.84</v>
      </c>
      <c r="H20" s="2235">
        <v>40108</v>
      </c>
      <c r="I20" s="2235">
        <v>3.2</v>
      </c>
      <c r="J20" s="2235">
        <v>3.2</v>
      </c>
      <c r="K20" s="2235" t="s">
        <v>3384</v>
      </c>
      <c r="L20" s="2235" t="s">
        <v>3533</v>
      </c>
      <c r="M20" s="2235" t="s">
        <v>3534</v>
      </c>
      <c r="N20" s="2235" t="s">
        <v>3484</v>
      </c>
      <c r="O20" s="3398">
        <v>44519.333831018521</v>
      </c>
      <c r="P20" s="3398">
        <v>44540.333831018521</v>
      </c>
      <c r="Q20" s="3398">
        <v>44554.333831018521</v>
      </c>
      <c r="R20" s="3398">
        <v>44554.333831018521</v>
      </c>
      <c r="S20" s="2235" t="s">
        <v>3531</v>
      </c>
      <c r="T20" s="2235" t="s">
        <v>3387</v>
      </c>
      <c r="U20" s="2235" t="s">
        <v>3535</v>
      </c>
      <c r="V20" s="2235" t="s">
        <v>3536</v>
      </c>
      <c r="W20" s="2235" t="s">
        <v>3390</v>
      </c>
      <c r="Y20" s="2235">
        <v>114000</v>
      </c>
      <c r="Z20" s="2235">
        <v>23000</v>
      </c>
      <c r="AA20" s="2235">
        <v>114000</v>
      </c>
      <c r="AB20" s="2235">
        <v>6063.58</v>
      </c>
      <c r="AC20" s="2235">
        <v>6063.58</v>
      </c>
      <c r="AD20" s="2235">
        <v>28423</v>
      </c>
      <c r="AE20" s="2235">
        <v>28423</v>
      </c>
      <c r="AF20" s="2235">
        <v>0</v>
      </c>
      <c r="AG20" s="2235" t="s">
        <v>3537</v>
      </c>
      <c r="AH20" s="2235" t="s">
        <v>3464</v>
      </c>
    </row>
    <row r="21" spans="1:36">
      <c r="A21" s="2235" t="s">
        <v>3538</v>
      </c>
      <c r="B21" s="2235" t="s">
        <v>3378</v>
      </c>
      <c r="C21" s="2235" t="s">
        <v>3423</v>
      </c>
      <c r="D21" s="2235" t="s">
        <v>3539</v>
      </c>
      <c r="E21" s="2235" t="s">
        <v>3540</v>
      </c>
      <c r="F21" s="2235" t="s">
        <v>3415</v>
      </c>
      <c r="G21" s="2235">
        <v>57220.14</v>
      </c>
      <c r="H21" s="2235">
        <v>132000</v>
      </c>
      <c r="I21" s="2235">
        <v>2.2999999999999998</v>
      </c>
      <c r="J21" s="2235">
        <v>2.2999999999999998</v>
      </c>
      <c r="K21" s="2235" t="s">
        <v>3384</v>
      </c>
      <c r="L21" s="2235" t="s">
        <v>3436</v>
      </c>
      <c r="M21" s="2235" t="s">
        <v>3541</v>
      </c>
      <c r="N21" s="2235" t="s">
        <v>3484</v>
      </c>
      <c r="O21" s="3398">
        <v>44519.333831018521</v>
      </c>
      <c r="P21" s="3398">
        <v>44540.333831018521</v>
      </c>
      <c r="Q21" s="3398">
        <v>44554.333831018521</v>
      </c>
      <c r="R21" s="3398">
        <v>44554.333831018521</v>
      </c>
      <c r="S21" s="2235" t="s">
        <v>3539</v>
      </c>
      <c r="T21" s="2235" t="s">
        <v>3387</v>
      </c>
      <c r="U21" s="2235" t="s">
        <v>3542</v>
      </c>
      <c r="V21" s="2235" t="s">
        <v>3543</v>
      </c>
      <c r="W21" s="2235" t="s">
        <v>3544</v>
      </c>
      <c r="X21" s="2235" t="s">
        <v>3476</v>
      </c>
      <c r="Y21" s="2235">
        <v>561000</v>
      </c>
      <c r="Z21" s="2235">
        <v>112200</v>
      </c>
      <c r="AA21" s="2235">
        <v>561000</v>
      </c>
      <c r="AB21" s="2235">
        <v>6536.16</v>
      </c>
      <c r="AC21" s="2235">
        <v>6536.16</v>
      </c>
      <c r="AD21" s="2235">
        <v>42500</v>
      </c>
      <c r="AE21" s="2235">
        <v>42500</v>
      </c>
      <c r="AF21" s="2235">
        <v>0</v>
      </c>
      <c r="AG21" s="2235" t="s">
        <v>3545</v>
      </c>
      <c r="AH21" s="2235" t="s">
        <v>3433</v>
      </c>
      <c r="AI21" s="2235" t="s">
        <v>3519</v>
      </c>
      <c r="AJ21" s="2235" t="s">
        <v>3520</v>
      </c>
    </row>
    <row r="22" spans="1:36">
      <c r="A22" s="2235" t="s">
        <v>3546</v>
      </c>
      <c r="B22" s="2235" t="s">
        <v>3378</v>
      </c>
      <c r="C22" s="2235" t="s">
        <v>3423</v>
      </c>
      <c r="D22" s="2235" t="s">
        <v>3547</v>
      </c>
      <c r="E22" s="2235" t="s">
        <v>3540</v>
      </c>
      <c r="F22" s="2235" t="s">
        <v>3415</v>
      </c>
      <c r="G22" s="2235">
        <v>76681.88</v>
      </c>
      <c r="H22" s="2235">
        <v>137000</v>
      </c>
      <c r="I22" s="2235">
        <v>1.8</v>
      </c>
      <c r="J22" s="2235">
        <v>1.8</v>
      </c>
      <c r="K22" s="2235" t="s">
        <v>3384</v>
      </c>
      <c r="L22" s="2235" t="s">
        <v>3436</v>
      </c>
      <c r="M22" s="2235" t="s">
        <v>3541</v>
      </c>
      <c r="N22" s="2235" t="s">
        <v>3484</v>
      </c>
      <c r="O22" s="3398">
        <v>44519.333831018521</v>
      </c>
      <c r="P22" s="3398">
        <v>44540.333831018521</v>
      </c>
      <c r="Q22" s="3398">
        <v>44554.333831018521</v>
      </c>
      <c r="R22" s="3398">
        <v>44554.333831018521</v>
      </c>
      <c r="S22" s="2235" t="s">
        <v>3547</v>
      </c>
      <c r="T22" s="2235" t="s">
        <v>3387</v>
      </c>
      <c r="U22" s="2235" t="s">
        <v>3542</v>
      </c>
      <c r="V22" s="2235" t="s">
        <v>3548</v>
      </c>
      <c r="W22" s="2235" t="s">
        <v>3549</v>
      </c>
      <c r="X22" s="2235" t="s">
        <v>3493</v>
      </c>
      <c r="Y22" s="2235">
        <v>707000</v>
      </c>
      <c r="Z22" s="2235">
        <v>142000</v>
      </c>
      <c r="AA22" s="2235">
        <v>707000</v>
      </c>
      <c r="AB22" s="2235">
        <v>6146.61</v>
      </c>
      <c r="AC22" s="2235">
        <v>6146.61</v>
      </c>
      <c r="AD22" s="2235">
        <v>51606</v>
      </c>
      <c r="AE22" s="2235">
        <v>51606</v>
      </c>
      <c r="AF22" s="2235">
        <v>0</v>
      </c>
      <c r="AG22" s="2235" t="s">
        <v>3550</v>
      </c>
      <c r="AH22" s="2235" t="s">
        <v>3433</v>
      </c>
    </row>
    <row r="23" spans="1:36">
      <c r="A23" s="2235" t="s">
        <v>3551</v>
      </c>
      <c r="B23" s="2235" t="s">
        <v>3378</v>
      </c>
      <c r="C23" s="2235" t="s">
        <v>3552</v>
      </c>
      <c r="D23" s="2235" t="s">
        <v>3553</v>
      </c>
      <c r="E23" s="2235" t="s">
        <v>3554</v>
      </c>
      <c r="F23" s="2235" t="s">
        <v>3415</v>
      </c>
      <c r="G23" s="2235">
        <v>21711.13</v>
      </c>
      <c r="H23" s="2235">
        <v>47764</v>
      </c>
      <c r="I23" s="2235">
        <v>2.2000000000000002</v>
      </c>
      <c r="J23" s="2235">
        <v>2.2000000000000002</v>
      </c>
      <c r="K23" s="2235" t="s">
        <v>3384</v>
      </c>
      <c r="L23" s="2235" t="s">
        <v>3436</v>
      </c>
      <c r="M23" s="2235" t="s">
        <v>3541</v>
      </c>
      <c r="N23" s="2235" t="s">
        <v>3484</v>
      </c>
      <c r="O23" s="3398">
        <v>44519.333831018521</v>
      </c>
      <c r="P23" s="3398">
        <v>44540.333831018521</v>
      </c>
      <c r="Q23" s="3398">
        <v>44554.333831018521</v>
      </c>
      <c r="R23" s="3398">
        <v>44554.333831018521</v>
      </c>
      <c r="S23" s="2235" t="s">
        <v>3553</v>
      </c>
      <c r="T23" s="2235" t="s">
        <v>3387</v>
      </c>
      <c r="U23" s="2235" t="s">
        <v>3555</v>
      </c>
      <c r="V23" s="2235" t="s">
        <v>3556</v>
      </c>
      <c r="W23" s="2235" t="s">
        <v>3549</v>
      </c>
      <c r="Y23" s="2235">
        <v>208000</v>
      </c>
      <c r="Z23" s="2235">
        <v>42000</v>
      </c>
      <c r="AA23" s="2235">
        <v>208000</v>
      </c>
      <c r="AB23" s="2235">
        <v>6386.89</v>
      </c>
      <c r="AC23" s="2235">
        <v>6386.89</v>
      </c>
      <c r="AD23" s="2235">
        <v>43547</v>
      </c>
      <c r="AE23" s="2235">
        <v>43547</v>
      </c>
      <c r="AF23" s="2235">
        <v>0</v>
      </c>
      <c r="AG23" s="2235" t="s">
        <v>3557</v>
      </c>
      <c r="AH23" s="2235" t="s">
        <v>3433</v>
      </c>
    </row>
    <row r="24" spans="1:36">
      <c r="A24" s="2235" t="s">
        <v>3558</v>
      </c>
      <c r="B24" s="2235" t="s">
        <v>3378</v>
      </c>
      <c r="C24" s="2235" t="s">
        <v>3423</v>
      </c>
      <c r="D24" s="2235" t="s">
        <v>3559</v>
      </c>
      <c r="E24" s="2235" t="s">
        <v>3540</v>
      </c>
      <c r="F24" s="2235" t="s">
        <v>3415</v>
      </c>
      <c r="G24" s="2235">
        <v>63959.72</v>
      </c>
      <c r="H24" s="2235">
        <v>94000</v>
      </c>
      <c r="I24" s="2235">
        <v>1.47</v>
      </c>
      <c r="J24" s="2235">
        <v>1.47</v>
      </c>
      <c r="K24" s="2235" t="s">
        <v>3384</v>
      </c>
      <c r="L24" s="2235" t="s">
        <v>3436</v>
      </c>
      <c r="M24" s="2235" t="s">
        <v>3541</v>
      </c>
      <c r="N24" s="2235" t="s">
        <v>3484</v>
      </c>
      <c r="O24" s="3398">
        <v>44519.333831018521</v>
      </c>
      <c r="P24" s="3398">
        <v>44540.333831018521</v>
      </c>
      <c r="Q24" s="3398">
        <v>44554.333831018521</v>
      </c>
      <c r="R24" s="3398">
        <v>44554.333831018521</v>
      </c>
      <c r="S24" s="2235" t="s">
        <v>3559</v>
      </c>
      <c r="T24" s="2235" t="s">
        <v>3387</v>
      </c>
      <c r="U24" s="2235" t="s">
        <v>3542</v>
      </c>
      <c r="V24" s="2235" t="s">
        <v>3548</v>
      </c>
      <c r="W24" s="2235" t="s">
        <v>3549</v>
      </c>
      <c r="X24" s="2235" t="s">
        <v>3493</v>
      </c>
      <c r="Y24" s="2235">
        <v>485000</v>
      </c>
      <c r="Z24" s="2235">
        <v>97000</v>
      </c>
      <c r="AA24" s="2235">
        <v>485000</v>
      </c>
      <c r="AB24" s="2235">
        <v>5055.26</v>
      </c>
      <c r="AC24" s="2235">
        <v>5055.26</v>
      </c>
      <c r="AD24" s="2235">
        <v>51596</v>
      </c>
      <c r="AE24" s="2235">
        <v>51596</v>
      </c>
      <c r="AF24" s="2235">
        <v>0</v>
      </c>
      <c r="AG24" s="2235" t="s">
        <v>3560</v>
      </c>
      <c r="AH24" s="2235" t="s">
        <v>3433</v>
      </c>
    </row>
    <row r="25" spans="1:36">
      <c r="A25" s="2235" t="s">
        <v>3561</v>
      </c>
      <c r="B25" s="2235" t="s">
        <v>3378</v>
      </c>
      <c r="C25" s="2235" t="s">
        <v>3394</v>
      </c>
      <c r="D25" s="2235" t="s">
        <v>3562</v>
      </c>
      <c r="E25" s="2235" t="s">
        <v>3396</v>
      </c>
      <c r="F25" s="2235" t="s">
        <v>3415</v>
      </c>
      <c r="G25" s="2235">
        <v>27366.58</v>
      </c>
      <c r="H25" s="2235">
        <v>68416</v>
      </c>
      <c r="I25" s="2235">
        <v>2.5</v>
      </c>
      <c r="J25" s="2235">
        <v>2.5</v>
      </c>
      <c r="K25" s="2235" t="s">
        <v>3384</v>
      </c>
      <c r="L25" s="2235" t="s">
        <v>3436</v>
      </c>
      <c r="M25" s="2235" t="s">
        <v>3563</v>
      </c>
      <c r="N25" s="2235" t="s">
        <v>3564</v>
      </c>
      <c r="O25" s="3398">
        <v>44438.333831018521</v>
      </c>
      <c r="P25" s="3398">
        <v>44462.333831018521</v>
      </c>
      <c r="Q25" s="3398">
        <v>44481.333831018521</v>
      </c>
      <c r="R25" s="3398">
        <v>44481.333831018521</v>
      </c>
      <c r="S25" s="2235" t="s">
        <v>3562</v>
      </c>
      <c r="T25" s="2235" t="s">
        <v>3387</v>
      </c>
      <c r="U25" s="2235" t="s">
        <v>3565</v>
      </c>
      <c r="V25" s="2235" t="s">
        <v>3566</v>
      </c>
      <c r="W25" s="2235" t="s">
        <v>3492</v>
      </c>
      <c r="Y25" s="2235">
        <v>376000</v>
      </c>
      <c r="Z25" s="2235">
        <v>75500</v>
      </c>
      <c r="AA25" s="2235">
        <v>376000</v>
      </c>
      <c r="AB25" s="2235">
        <v>9159.59</v>
      </c>
      <c r="AC25" s="2235">
        <v>9159.59</v>
      </c>
      <c r="AD25" s="2235">
        <v>54958</v>
      </c>
      <c r="AE25" s="2235">
        <v>54958</v>
      </c>
      <c r="AF25" s="2235">
        <v>0</v>
      </c>
      <c r="AG25" s="2235" t="s">
        <v>3485</v>
      </c>
      <c r="AH25" s="2235" t="s">
        <v>3392</v>
      </c>
    </row>
    <row r="26" spans="1:36">
      <c r="A26" s="2235" t="s">
        <v>3567</v>
      </c>
      <c r="B26" s="2235" t="s">
        <v>3378</v>
      </c>
      <c r="C26" s="2235" t="s">
        <v>3423</v>
      </c>
      <c r="D26" s="2235" t="s">
        <v>3568</v>
      </c>
      <c r="E26" s="2235" t="s">
        <v>3479</v>
      </c>
      <c r="F26" s="2235" t="s">
        <v>3382</v>
      </c>
      <c r="G26" s="2235">
        <v>23471.66</v>
      </c>
      <c r="H26" s="2235">
        <v>70415</v>
      </c>
      <c r="I26" s="2235" t="s">
        <v>3569</v>
      </c>
      <c r="J26" s="2235">
        <v>3</v>
      </c>
      <c r="K26" s="2235" t="s">
        <v>3384</v>
      </c>
      <c r="L26" s="2235" t="s">
        <v>3570</v>
      </c>
      <c r="M26" s="2235" t="s">
        <v>3571</v>
      </c>
      <c r="N26" s="2235" t="s">
        <v>3571</v>
      </c>
      <c r="O26" s="3398">
        <v>44286.333831018521</v>
      </c>
      <c r="P26" s="3398">
        <v>44308.333831018521</v>
      </c>
      <c r="Q26" s="3398">
        <v>44324.333831018521</v>
      </c>
      <c r="R26" s="3398">
        <v>44343.333831018521</v>
      </c>
      <c r="S26" s="2235" t="s">
        <v>3568</v>
      </c>
      <c r="T26" s="2235" t="s">
        <v>3387</v>
      </c>
      <c r="U26" s="2235" t="s">
        <v>3572</v>
      </c>
      <c r="V26" s="2235" t="s">
        <v>3573</v>
      </c>
      <c r="W26" s="2235" t="s">
        <v>3402</v>
      </c>
      <c r="Y26" s="2235">
        <v>243500</v>
      </c>
      <c r="Z26" s="2235">
        <v>49000</v>
      </c>
      <c r="AA26" s="2235">
        <v>280000</v>
      </c>
      <c r="AB26" s="2235">
        <v>6916.14</v>
      </c>
      <c r="AC26" s="2235">
        <v>7952.85</v>
      </c>
      <c r="AD26" s="2235">
        <v>34581</v>
      </c>
      <c r="AE26" s="2235">
        <v>39764</v>
      </c>
      <c r="AF26" s="2235">
        <v>0.14990000000000001</v>
      </c>
      <c r="AG26" s="2235" t="s">
        <v>3391</v>
      </c>
      <c r="AH26" s="2235" t="s">
        <v>3433</v>
      </c>
      <c r="AI26" s="2235" t="s">
        <v>3574</v>
      </c>
    </row>
    <row r="27" spans="1:36">
      <c r="A27" s="2235" t="s">
        <v>3575</v>
      </c>
      <c r="B27" s="2235" t="s">
        <v>3378</v>
      </c>
      <c r="C27" s="2235" t="s">
        <v>3576</v>
      </c>
      <c r="D27" s="2235" t="s">
        <v>3577</v>
      </c>
      <c r="E27" s="2235" t="s">
        <v>3578</v>
      </c>
      <c r="F27" s="2235" t="s">
        <v>3382</v>
      </c>
      <c r="G27" s="2235">
        <v>85059.12</v>
      </c>
      <c r="H27" s="2235">
        <v>242377.36</v>
      </c>
      <c r="I27" s="2235" t="s">
        <v>3498</v>
      </c>
      <c r="J27" s="2235">
        <v>2.8</v>
      </c>
      <c r="K27" s="2235" t="s">
        <v>3384</v>
      </c>
      <c r="L27" s="2235" t="s">
        <v>3570</v>
      </c>
      <c r="M27" s="2235" t="s">
        <v>3571</v>
      </c>
      <c r="N27" s="2235" t="s">
        <v>3571</v>
      </c>
      <c r="O27" s="3398">
        <v>44286.333831018521</v>
      </c>
      <c r="P27" s="3398">
        <v>44308.333831018521</v>
      </c>
      <c r="Q27" s="3398">
        <v>44324.333831018521</v>
      </c>
      <c r="R27" s="3398">
        <v>44342.333831018521</v>
      </c>
      <c r="S27" s="2235" t="s">
        <v>3577</v>
      </c>
      <c r="T27" s="2235" t="s">
        <v>3387</v>
      </c>
      <c r="U27" s="2235" t="s">
        <v>3579</v>
      </c>
      <c r="V27" s="2235" t="s">
        <v>3516</v>
      </c>
      <c r="W27" s="2235" t="s">
        <v>3517</v>
      </c>
      <c r="Y27" s="2235">
        <v>593000</v>
      </c>
      <c r="Z27" s="2235">
        <v>120000</v>
      </c>
      <c r="AA27" s="2235">
        <v>682000</v>
      </c>
      <c r="AB27" s="2235">
        <v>4647.75</v>
      </c>
      <c r="AC27" s="2235">
        <v>5345.3</v>
      </c>
      <c r="AD27" s="2235">
        <v>24466</v>
      </c>
      <c r="AE27" s="2235">
        <v>28138</v>
      </c>
      <c r="AF27" s="2235">
        <v>0.15010000000000001</v>
      </c>
      <c r="AG27" s="2235" t="s">
        <v>3391</v>
      </c>
      <c r="AH27" s="2235" t="s">
        <v>3433</v>
      </c>
    </row>
    <row r="28" spans="1:36">
      <c r="A28" s="2235" t="s">
        <v>3580</v>
      </c>
      <c r="B28" s="2235" t="s">
        <v>3378</v>
      </c>
      <c r="C28" s="2235" t="s">
        <v>3522</v>
      </c>
      <c r="D28" s="2235" t="s">
        <v>3581</v>
      </c>
      <c r="E28" s="2235" t="s">
        <v>3524</v>
      </c>
      <c r="F28" s="2235" t="s">
        <v>3415</v>
      </c>
      <c r="G28" s="2235">
        <v>32382.01</v>
      </c>
      <c r="H28" s="2235">
        <v>80955</v>
      </c>
      <c r="I28" s="2235" t="s">
        <v>3582</v>
      </c>
      <c r="J28" s="2235">
        <v>2.5</v>
      </c>
      <c r="K28" s="2235" t="s">
        <v>3384</v>
      </c>
      <c r="L28" s="2235" t="s">
        <v>3436</v>
      </c>
      <c r="M28" s="2235" t="s">
        <v>3583</v>
      </c>
      <c r="N28" s="2235" t="s">
        <v>3583</v>
      </c>
      <c r="O28" s="3398">
        <v>44286.333831018521</v>
      </c>
      <c r="P28" s="3398">
        <v>44308.333831018521</v>
      </c>
      <c r="Q28" s="3398">
        <v>44324.333831018521</v>
      </c>
      <c r="R28" s="3398">
        <v>44340.333831018521</v>
      </c>
      <c r="S28" s="2235" t="s">
        <v>3581</v>
      </c>
      <c r="T28" s="2235" t="s">
        <v>3387</v>
      </c>
      <c r="U28" s="2235" t="s">
        <v>3584</v>
      </c>
      <c r="V28" s="2235" t="s">
        <v>3585</v>
      </c>
      <c r="W28" s="2235" t="s">
        <v>3586</v>
      </c>
      <c r="Y28" s="2235">
        <v>300000</v>
      </c>
      <c r="Z28" s="2235">
        <v>60000</v>
      </c>
      <c r="AA28" s="2235">
        <v>315000</v>
      </c>
      <c r="AB28" s="2235">
        <v>6176.27</v>
      </c>
      <c r="AC28" s="2235">
        <v>6485.08</v>
      </c>
      <c r="AD28" s="2235">
        <v>37058</v>
      </c>
      <c r="AE28" s="2235">
        <v>38911</v>
      </c>
      <c r="AF28" s="2235">
        <v>0.05</v>
      </c>
      <c r="AG28" s="2235" t="s">
        <v>3391</v>
      </c>
      <c r="AH28" s="2235" t="s">
        <v>3392</v>
      </c>
      <c r="AI28" s="2235" t="s">
        <v>3587</v>
      </c>
      <c r="AJ28" s="2235" t="s">
        <v>3588</v>
      </c>
    </row>
    <row r="29" spans="1:36">
      <c r="A29" s="2235" t="s">
        <v>3589</v>
      </c>
      <c r="B29" s="2235" t="s">
        <v>3378</v>
      </c>
      <c r="C29" s="2235" t="s">
        <v>3423</v>
      </c>
      <c r="D29" s="2235" t="s">
        <v>3590</v>
      </c>
      <c r="E29" s="2235" t="s">
        <v>3479</v>
      </c>
      <c r="F29" s="2235" t="s">
        <v>3415</v>
      </c>
      <c r="G29" s="2235">
        <v>41186.94</v>
      </c>
      <c r="H29" s="2235">
        <v>102967</v>
      </c>
      <c r="I29" s="2235" t="s">
        <v>3488</v>
      </c>
      <c r="J29" s="2235">
        <v>2.5</v>
      </c>
      <c r="K29" s="2235" t="s">
        <v>3384</v>
      </c>
      <c r="L29" s="2235" t="s">
        <v>3436</v>
      </c>
      <c r="M29" s="2235" t="s">
        <v>3583</v>
      </c>
      <c r="N29" s="2235" t="s">
        <v>3591</v>
      </c>
      <c r="O29" s="3398">
        <v>44286.333831018521</v>
      </c>
      <c r="P29" s="3398">
        <v>44308.333831018521</v>
      </c>
      <c r="Q29" s="3398">
        <v>44324.333831018521</v>
      </c>
      <c r="R29" s="3398">
        <v>44326.333831018521</v>
      </c>
      <c r="S29" s="2235" t="s">
        <v>3590</v>
      </c>
      <c r="T29" s="2235" t="s">
        <v>3387</v>
      </c>
      <c r="U29" s="2235" t="s">
        <v>3592</v>
      </c>
      <c r="V29" s="2235" t="s">
        <v>3593</v>
      </c>
      <c r="W29" s="2235" t="s">
        <v>3594</v>
      </c>
      <c r="Y29" s="2235">
        <v>443000</v>
      </c>
      <c r="Z29" s="2235">
        <v>89000</v>
      </c>
      <c r="AA29" s="2235">
        <v>509400</v>
      </c>
      <c r="AB29" s="2235">
        <v>7170.56</v>
      </c>
      <c r="AC29" s="2235">
        <v>8245.33</v>
      </c>
      <c r="AD29" s="2235">
        <v>43023</v>
      </c>
      <c r="AE29" s="2235">
        <v>49472</v>
      </c>
      <c r="AF29" s="2235">
        <v>0.14990000000000001</v>
      </c>
      <c r="AG29" s="2235" t="s">
        <v>3391</v>
      </c>
      <c r="AH29" s="2235" t="s">
        <v>3433</v>
      </c>
      <c r="AI29" s="2235" t="s">
        <v>3587</v>
      </c>
      <c r="AJ29" s="2235" t="s">
        <v>3588</v>
      </c>
    </row>
    <row r="30" spans="1:36">
      <c r="A30" s="2235" t="s">
        <v>3595</v>
      </c>
      <c r="B30" s="2235" t="s">
        <v>3378</v>
      </c>
      <c r="C30" s="2235" t="s">
        <v>3522</v>
      </c>
      <c r="D30" s="2235" t="s">
        <v>3596</v>
      </c>
      <c r="E30" s="2235" t="s">
        <v>3524</v>
      </c>
      <c r="F30" s="2235" t="s">
        <v>3415</v>
      </c>
      <c r="G30" s="2235">
        <v>48808.67</v>
      </c>
      <c r="H30" s="2235">
        <v>122022</v>
      </c>
      <c r="I30" s="2235" t="s">
        <v>3582</v>
      </c>
      <c r="J30" s="2235">
        <v>2.5</v>
      </c>
      <c r="K30" s="2235" t="s">
        <v>3384</v>
      </c>
      <c r="L30" s="2235" t="s">
        <v>3436</v>
      </c>
      <c r="M30" s="2235" t="s">
        <v>3583</v>
      </c>
      <c r="N30" s="2235" t="s">
        <v>3583</v>
      </c>
      <c r="O30" s="3398">
        <v>44286.333831018521</v>
      </c>
      <c r="P30" s="3398">
        <v>44308.333831018521</v>
      </c>
      <c r="Q30" s="3398">
        <v>44324.333831018521</v>
      </c>
      <c r="R30" s="3398">
        <v>44343.333831018521</v>
      </c>
      <c r="S30" s="2235" t="s">
        <v>3596</v>
      </c>
      <c r="T30" s="2235" t="s">
        <v>3387</v>
      </c>
      <c r="U30" s="2235" t="s">
        <v>3597</v>
      </c>
      <c r="V30" s="2235" t="s">
        <v>3598</v>
      </c>
      <c r="W30" s="2235" t="s">
        <v>3599</v>
      </c>
      <c r="X30" s="2235" t="s">
        <v>3493</v>
      </c>
      <c r="Y30" s="2235">
        <v>519000</v>
      </c>
      <c r="Z30" s="2235">
        <v>104000</v>
      </c>
      <c r="AA30" s="2235">
        <v>545000</v>
      </c>
      <c r="AB30" s="2235">
        <v>7088.9</v>
      </c>
      <c r="AC30" s="2235">
        <v>7444.03</v>
      </c>
      <c r="AD30" s="2235">
        <v>42533</v>
      </c>
      <c r="AE30" s="2235">
        <v>44664</v>
      </c>
      <c r="AF30" s="2235">
        <v>5.0099999999999999E-2</v>
      </c>
      <c r="AG30" s="2235" t="s">
        <v>3391</v>
      </c>
      <c r="AH30" s="2235" t="s">
        <v>3392</v>
      </c>
      <c r="AI30" s="2235" t="s">
        <v>3587</v>
      </c>
      <c r="AJ30" s="2235" t="s">
        <v>3588</v>
      </c>
    </row>
    <row r="31" spans="1:36">
      <c r="A31" s="2235" t="s">
        <v>3600</v>
      </c>
      <c r="B31" s="2235" t="s">
        <v>3378</v>
      </c>
      <c r="C31" s="2235" t="s">
        <v>3451</v>
      </c>
      <c r="D31" s="2235" t="s">
        <v>3601</v>
      </c>
      <c r="E31" s="2235" t="s">
        <v>3602</v>
      </c>
      <c r="F31" s="2235" t="s">
        <v>3415</v>
      </c>
      <c r="G31" s="2235">
        <v>38953.300000000003</v>
      </c>
      <c r="H31" s="2235">
        <v>50639</v>
      </c>
      <c r="I31" s="2235" t="s">
        <v>3603</v>
      </c>
      <c r="J31" s="2235">
        <v>1.3</v>
      </c>
      <c r="K31" s="2235" t="s">
        <v>3384</v>
      </c>
      <c r="L31" s="2235" t="s">
        <v>3436</v>
      </c>
      <c r="M31" s="2235" t="s">
        <v>3604</v>
      </c>
      <c r="N31" s="2235" t="s">
        <v>3409</v>
      </c>
      <c r="O31" s="3398">
        <v>44286.333831018521</v>
      </c>
      <c r="P31" s="3398">
        <v>44308.333831018521</v>
      </c>
      <c r="Q31" s="3398">
        <v>44324.333831018521</v>
      </c>
      <c r="R31" s="3398">
        <v>44326.333831018521</v>
      </c>
      <c r="S31" s="2235" t="s">
        <v>3601</v>
      </c>
      <c r="T31" s="2235" t="s">
        <v>3387</v>
      </c>
      <c r="U31" s="2235" t="s">
        <v>3605</v>
      </c>
      <c r="V31" s="2235" t="s">
        <v>3606</v>
      </c>
      <c r="W31" s="2235" t="s">
        <v>3607</v>
      </c>
      <c r="Y31" s="2235">
        <v>258300</v>
      </c>
      <c r="Z31" s="2235">
        <v>51660</v>
      </c>
      <c r="AA31" s="2235">
        <v>268300</v>
      </c>
      <c r="AB31" s="2235">
        <v>4420.68</v>
      </c>
      <c r="AC31" s="2235">
        <v>4591.82</v>
      </c>
      <c r="AD31" s="2235">
        <v>51008</v>
      </c>
      <c r="AE31" s="2235">
        <v>52983</v>
      </c>
      <c r="AF31" s="2235">
        <v>3.8699999999999998E-2</v>
      </c>
      <c r="AG31" s="2235" t="s">
        <v>3391</v>
      </c>
      <c r="AH31" s="2235" t="s">
        <v>3433</v>
      </c>
    </row>
  </sheetData>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C258"/>
  <sheetViews>
    <sheetView view="pageBreakPreview" zoomScale="90" zoomScaleNormal="95" zoomScaleSheetLayoutView="90" workbookViewId="0">
      <selection activeCell="B17" sqref="B1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F67</f>
        <v>#DIV/0!</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t="e">
        <f>ROUND(B2*10000/'数据-汇总表'!E3,0)</f>
        <v>#DIV/0!</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t="e">
        <f>IF(B48="单位面积地价",C50,ROUND(B2*10000/'数据-汇总表'!D3,0))</f>
        <v>#DIV/0!</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40" t="s">
        <v>471</v>
      </c>
      <c r="D6" s="3641"/>
      <c r="E6" s="3640" t="s">
        <v>472</v>
      </c>
      <c r="F6" s="3641"/>
      <c r="G6" s="3640" t="s">
        <v>473</v>
      </c>
      <c r="H6" s="3641"/>
      <c r="I6" s="3640" t="s">
        <v>474</v>
      </c>
      <c r="J6" s="3641"/>
      <c r="K6" s="465" t="s">
        <v>475</v>
      </c>
      <c r="L6" s="1741"/>
      <c r="M6" s="1740"/>
      <c r="N6" s="1740"/>
      <c r="O6" s="1742"/>
      <c r="P6" s="3644" t="s">
        <v>476</v>
      </c>
      <c r="Q6" s="3645"/>
      <c r="R6" s="3650" t="s">
        <v>472</v>
      </c>
      <c r="S6" s="3651"/>
      <c r="T6" s="3650" t="s">
        <v>473</v>
      </c>
      <c r="U6" s="3651"/>
      <c r="V6" s="3631" t="s">
        <v>474</v>
      </c>
      <c r="W6" s="3631"/>
      <c r="X6" s="1302"/>
      <c r="Y6" s="3650" t="s">
        <v>476</v>
      </c>
      <c r="Z6" s="3651"/>
      <c r="AA6" s="3637" t="s">
        <v>472</v>
      </c>
      <c r="AB6" s="3638" t="s">
        <v>473</v>
      </c>
      <c r="AC6" s="3637" t="s">
        <v>474</v>
      </c>
    </row>
    <row r="7" spans="1:29" ht="20.25">
      <c r="A7" s="466"/>
      <c r="B7" s="467"/>
      <c r="C7" s="3658" t="s">
        <v>2192</v>
      </c>
      <c r="D7" s="3659"/>
      <c r="E7" s="3658" t="s">
        <v>2193</v>
      </c>
      <c r="F7" s="3659"/>
      <c r="G7" s="3658" t="s">
        <v>2194</v>
      </c>
      <c r="H7" s="3659"/>
      <c r="I7" s="3658" t="s">
        <v>2195</v>
      </c>
      <c r="J7" s="3659"/>
      <c r="K7" s="465"/>
      <c r="L7" s="1741"/>
      <c r="M7" s="1740"/>
      <c r="N7" s="1740"/>
      <c r="O7" s="1742"/>
      <c r="P7" s="3646"/>
      <c r="Q7" s="3647"/>
      <c r="R7" s="3652"/>
      <c r="S7" s="3653"/>
      <c r="T7" s="3652"/>
      <c r="U7" s="3653"/>
      <c r="V7" s="3631"/>
      <c r="W7" s="3631"/>
      <c r="X7" s="1302"/>
      <c r="Y7" s="3652"/>
      <c r="Z7" s="3653"/>
      <c r="AA7" s="3638"/>
      <c r="AB7" s="3638"/>
      <c r="AC7" s="3638"/>
    </row>
    <row r="8" spans="1:29" ht="21" thickBot="1">
      <c r="A8" s="466"/>
      <c r="B8" s="467"/>
      <c r="C8" s="3679" t="s">
        <v>2196</v>
      </c>
      <c r="D8" s="3680"/>
      <c r="E8" s="3679" t="s">
        <v>2196</v>
      </c>
      <c r="F8" s="3680"/>
      <c r="G8" s="3656" t="s">
        <v>2196</v>
      </c>
      <c r="H8" s="3657"/>
      <c r="I8" s="3656" t="s">
        <v>2196</v>
      </c>
      <c r="J8" s="3657"/>
      <c r="K8" s="465" t="s">
        <v>477</v>
      </c>
      <c r="L8" s="1741"/>
      <c r="M8" s="1740"/>
      <c r="N8" s="1740"/>
      <c r="O8" s="1742"/>
      <c r="P8" s="3648"/>
      <c r="Q8" s="3649"/>
      <c r="R8" s="3652"/>
      <c r="S8" s="3653"/>
      <c r="T8" s="3654"/>
      <c r="U8" s="3655"/>
      <c r="V8" s="3631"/>
      <c r="W8" s="3631"/>
      <c r="X8" s="1302"/>
      <c r="Y8" s="3654"/>
      <c r="Z8" s="3655"/>
      <c r="AA8" s="3639"/>
      <c r="AB8" s="3639"/>
      <c r="AC8" s="3639"/>
    </row>
    <row r="9" spans="1:29" s="1059" customFormat="1" ht="21" thickBot="1">
      <c r="A9" s="2209"/>
      <c r="B9" s="2216" t="s">
        <v>478</v>
      </c>
      <c r="C9" s="2208">
        <f>'数据-取费表'!B2</f>
        <v>45637</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660" t="s">
        <v>479</v>
      </c>
      <c r="Q9" s="3662"/>
      <c r="R9" s="1303" t="s">
        <v>5</v>
      </c>
      <c r="S9" s="1304">
        <f t="shared" ref="S9:S17" si="0">F9</f>
        <v>0</v>
      </c>
      <c r="T9" s="1303" t="s">
        <v>5</v>
      </c>
      <c r="U9" s="1304">
        <f t="shared" ref="U9:U17" si="1">H9</f>
        <v>0</v>
      </c>
      <c r="V9" s="1303" t="s">
        <v>5</v>
      </c>
      <c r="W9" s="1304">
        <f t="shared" ref="W9:W17" si="2">J9</f>
        <v>0</v>
      </c>
      <c r="X9" s="1305"/>
      <c r="Y9" s="3660" t="s">
        <v>479</v>
      </c>
      <c r="Z9" s="3661"/>
      <c r="AA9" s="996" t="e">
        <f>D9/F9</f>
        <v>#DIV/0!</v>
      </c>
      <c r="AB9" s="996" t="e">
        <f>D9/H9</f>
        <v>#DIV/0!</v>
      </c>
      <c r="AC9" s="996" t="e">
        <f>D9/J9</f>
        <v>#DIV/0!</v>
      </c>
    </row>
    <row r="10" spans="1:29" s="1059"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660" t="s">
        <v>482</v>
      </c>
      <c r="Q10" s="3661"/>
      <c r="R10" s="1303" t="s">
        <v>5</v>
      </c>
      <c r="S10" s="1304">
        <f t="shared" si="0"/>
        <v>0</v>
      </c>
      <c r="T10" s="1303" t="s">
        <v>5</v>
      </c>
      <c r="U10" s="1304">
        <f t="shared" si="1"/>
        <v>0</v>
      </c>
      <c r="V10" s="1303" t="s">
        <v>5</v>
      </c>
      <c r="W10" s="1304">
        <f t="shared" si="2"/>
        <v>0</v>
      </c>
      <c r="X10" s="1305"/>
      <c r="Y10" s="3660" t="s">
        <v>482</v>
      </c>
      <c r="Z10" s="3661"/>
      <c r="AA10" s="996" t="e">
        <f t="shared" ref="AA10:AA47" si="3">D10/F10</f>
        <v>#DIV/0!</v>
      </c>
      <c r="AB10" s="996" t="e">
        <f t="shared" ref="AB10:AB47" si="4">D10/H10</f>
        <v>#DIV/0!</v>
      </c>
      <c r="AC10" s="996" t="e">
        <f t="shared" ref="AC10:AC47" si="5">D10/J10</f>
        <v>#DIV/0!</v>
      </c>
    </row>
    <row r="11" spans="1:29" s="1059"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30" t="s">
        <v>484</v>
      </c>
      <c r="Q11" s="817" t="str">
        <f t="shared" ref="Q11:Q17" si="6">B11</f>
        <v>用途</v>
      </c>
      <c r="R11" s="1303" t="s">
        <v>5</v>
      </c>
      <c r="S11" s="1304">
        <f t="shared" si="0"/>
        <v>100</v>
      </c>
      <c r="T11" s="1303" t="s">
        <v>5</v>
      </c>
      <c r="U11" s="1304">
        <f t="shared" si="1"/>
        <v>100</v>
      </c>
      <c r="V11" s="1303" t="s">
        <v>5</v>
      </c>
      <c r="W11" s="1304">
        <f t="shared" si="2"/>
        <v>100</v>
      </c>
      <c r="X11" s="1305"/>
      <c r="Y11" s="3557" t="s">
        <v>485</v>
      </c>
      <c r="Z11" s="996" t="str">
        <f t="shared" ref="Z11:Z17" si="7">Q11</f>
        <v>用途</v>
      </c>
      <c r="AA11" s="996">
        <f t="shared" si="3"/>
        <v>1</v>
      </c>
      <c r="AB11" s="996">
        <f t="shared" si="4"/>
        <v>1</v>
      </c>
      <c r="AC11" s="996">
        <f t="shared" si="5"/>
        <v>1</v>
      </c>
    </row>
    <row r="12" spans="1:29" s="1132" customFormat="1" ht="27">
      <c r="A12" s="2212"/>
      <c r="B12" s="2217" t="s">
        <v>2039</v>
      </c>
      <c r="C12" s="832"/>
      <c r="D12" s="235">
        <v>100</v>
      </c>
      <c r="E12" s="479"/>
      <c r="F12" s="235">
        <f>ROUND(100/'数据-取费表'!G16,0)</f>
        <v>111</v>
      </c>
      <c r="G12" s="480"/>
      <c r="H12" s="235">
        <f>ROUND(100/'数据-取费表'!G16,0)</f>
        <v>111</v>
      </c>
      <c r="I12" s="480"/>
      <c r="J12" s="235">
        <f>ROUND(100/'数据-取费表'!G16,0)</f>
        <v>111</v>
      </c>
      <c r="K12" s="481"/>
      <c r="L12" s="1745"/>
      <c r="M12" s="1740"/>
      <c r="N12" s="1740"/>
      <c r="O12" s="1746"/>
      <c r="P12" s="3630"/>
      <c r="Q12" s="817" t="str">
        <f t="shared" si="6"/>
        <v>土地使用年限（年）</v>
      </c>
      <c r="R12" s="1303" t="s">
        <v>5</v>
      </c>
      <c r="S12" s="1304">
        <f t="shared" si="0"/>
        <v>111</v>
      </c>
      <c r="T12" s="1303" t="s">
        <v>5</v>
      </c>
      <c r="U12" s="1304">
        <f t="shared" si="1"/>
        <v>111</v>
      </c>
      <c r="V12" s="1303" t="s">
        <v>5</v>
      </c>
      <c r="W12" s="1304">
        <f t="shared" si="2"/>
        <v>111</v>
      </c>
      <c r="X12" s="1305"/>
      <c r="Y12" s="3557"/>
      <c r="Z12" s="996" t="str">
        <f t="shared" si="7"/>
        <v>土地使用年限（年）</v>
      </c>
      <c r="AA12" s="996">
        <f t="shared" si="3"/>
        <v>0.90090090090090091</v>
      </c>
      <c r="AB12" s="996">
        <f t="shared" si="4"/>
        <v>0.90090090090090091</v>
      </c>
      <c r="AC12" s="996">
        <f t="shared" si="5"/>
        <v>0.90090090090090091</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30"/>
      <c r="Q13" s="817" t="str">
        <f t="shared" si="6"/>
        <v>容积率</v>
      </c>
      <c r="R13" s="1303" t="s">
        <v>5</v>
      </c>
      <c r="S13" s="1304" t="e">
        <f t="shared" si="0"/>
        <v>#N/A</v>
      </c>
      <c r="T13" s="1303" t="s">
        <v>5</v>
      </c>
      <c r="U13" s="1304" t="e">
        <f t="shared" si="1"/>
        <v>#N/A</v>
      </c>
      <c r="V13" s="1303" t="s">
        <v>5</v>
      </c>
      <c r="W13" s="1304" t="e">
        <f t="shared" si="2"/>
        <v>#N/A</v>
      </c>
      <c r="X13" s="1305"/>
      <c r="Y13" s="3557"/>
      <c r="Z13" s="996" t="str">
        <f t="shared" si="7"/>
        <v>容积率</v>
      </c>
      <c r="AA13" s="996" t="e">
        <f t="shared" si="3"/>
        <v>#N/A</v>
      </c>
      <c r="AB13" s="996" t="e">
        <f t="shared" si="4"/>
        <v>#N/A</v>
      </c>
      <c r="AC13" s="996" t="e">
        <f t="shared" si="5"/>
        <v>#N/A</v>
      </c>
    </row>
    <row r="14" spans="1:29" s="1059" customFormat="1" ht="20.25">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30"/>
      <c r="Q14" s="817" t="str">
        <f t="shared" si="6"/>
        <v>配建</v>
      </c>
      <c r="R14" s="1303" t="s">
        <v>5</v>
      </c>
      <c r="S14" s="1304">
        <f t="shared" si="0"/>
        <v>100</v>
      </c>
      <c r="T14" s="1303" t="s">
        <v>5</v>
      </c>
      <c r="U14" s="1304">
        <f t="shared" si="1"/>
        <v>100</v>
      </c>
      <c r="V14" s="1303" t="s">
        <v>5</v>
      </c>
      <c r="W14" s="1304">
        <f t="shared" si="2"/>
        <v>100</v>
      </c>
      <c r="X14" s="1305"/>
      <c r="Y14" s="3557"/>
      <c r="Z14" s="996" t="str">
        <f t="shared" si="7"/>
        <v>配建</v>
      </c>
      <c r="AA14" s="996">
        <f>D14/F14</f>
        <v>1</v>
      </c>
      <c r="AB14" s="996">
        <f>D14/H14</f>
        <v>1</v>
      </c>
      <c r="AC14" s="996">
        <f>D14/J14</f>
        <v>1</v>
      </c>
    </row>
    <row r="15" spans="1:29" ht="20.25">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30"/>
      <c r="Q15" s="817">
        <f t="shared" si="6"/>
        <v>111</v>
      </c>
      <c r="R15" s="1303" t="s">
        <v>5</v>
      </c>
      <c r="S15" s="1304">
        <f t="shared" si="0"/>
        <v>100</v>
      </c>
      <c r="T15" s="1303" t="s">
        <v>5</v>
      </c>
      <c r="U15" s="1304">
        <f t="shared" si="1"/>
        <v>100</v>
      </c>
      <c r="V15" s="1303" t="s">
        <v>5</v>
      </c>
      <c r="W15" s="1304">
        <f t="shared" si="2"/>
        <v>100</v>
      </c>
      <c r="X15" s="1305"/>
      <c r="Y15" s="3557"/>
      <c r="Z15" s="996">
        <f t="shared" si="7"/>
        <v>111</v>
      </c>
      <c r="AA15" s="996">
        <f>D15/F15</f>
        <v>1</v>
      </c>
      <c r="AB15" s="996">
        <f>D15/H15</f>
        <v>1</v>
      </c>
      <c r="AC15" s="996">
        <f>D15/J15</f>
        <v>1</v>
      </c>
    </row>
    <row r="16" spans="1:29" ht="2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30"/>
      <c r="Q16" s="817">
        <f t="shared" si="6"/>
        <v>111</v>
      </c>
      <c r="R16" s="1303" t="s">
        <v>5</v>
      </c>
      <c r="S16" s="1304">
        <f t="shared" si="0"/>
        <v>100</v>
      </c>
      <c r="T16" s="1303" t="s">
        <v>5</v>
      </c>
      <c r="U16" s="1304">
        <f t="shared" si="1"/>
        <v>100</v>
      </c>
      <c r="V16" s="1303" t="s">
        <v>5</v>
      </c>
      <c r="W16" s="1304">
        <f t="shared" si="2"/>
        <v>100</v>
      </c>
      <c r="X16" s="1305"/>
      <c r="Y16" s="3557"/>
      <c r="Z16" s="996">
        <f t="shared" si="7"/>
        <v>111</v>
      </c>
      <c r="AA16" s="996">
        <f>D16/F16</f>
        <v>1</v>
      </c>
      <c r="AB16" s="996">
        <f>D16/H16</f>
        <v>1</v>
      </c>
      <c r="AC16" s="996">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32" t="s">
        <v>489</v>
      </c>
      <c r="Q17" s="1306" t="str">
        <f t="shared" si="6"/>
        <v>居住社区成熟度</v>
      </c>
      <c r="R17" s="1307" t="s">
        <v>5</v>
      </c>
      <c r="S17" s="1308">
        <f t="shared" si="0"/>
        <v>100</v>
      </c>
      <c r="T17" s="1307" t="s">
        <v>5</v>
      </c>
      <c r="U17" s="1308">
        <f t="shared" si="1"/>
        <v>100</v>
      </c>
      <c r="V17" s="1307" t="s">
        <v>5</v>
      </c>
      <c r="W17" s="1308">
        <f t="shared" si="2"/>
        <v>100</v>
      </c>
      <c r="X17" s="1302"/>
      <c r="Y17" s="3632"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33"/>
      <c r="Q18" s="1306"/>
      <c r="R18" s="1307"/>
      <c r="S18" s="1308"/>
      <c r="T18" s="1307"/>
      <c r="U18" s="1308"/>
      <c r="V18" s="1307"/>
      <c r="W18" s="1308"/>
      <c r="X18" s="1302"/>
      <c r="Y18" s="3633"/>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3"/>
      <c r="Q19" s="1306" t="str">
        <f>B19</f>
        <v>商业繁华度</v>
      </c>
      <c r="R19" s="1307" t="s">
        <v>5</v>
      </c>
      <c r="S19" s="1308">
        <f>F19</f>
        <v>100</v>
      </c>
      <c r="T19" s="1307" t="s">
        <v>5</v>
      </c>
      <c r="U19" s="1308">
        <f>H19</f>
        <v>100</v>
      </c>
      <c r="V19" s="1307" t="s">
        <v>5</v>
      </c>
      <c r="W19" s="1308">
        <f>J19</f>
        <v>100</v>
      </c>
      <c r="X19" s="1302"/>
      <c r="Y19" s="3633"/>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33"/>
      <c r="Q20" s="1306"/>
      <c r="R20" s="1307"/>
      <c r="S20" s="1308"/>
      <c r="T20" s="1307"/>
      <c r="U20" s="1308"/>
      <c r="V20" s="1307"/>
      <c r="W20" s="1308"/>
      <c r="X20" s="1302"/>
      <c r="Y20" s="3633"/>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3"/>
      <c r="Q21" s="1306" t="str">
        <f>B21</f>
        <v>办公集聚程度</v>
      </c>
      <c r="R21" s="1307" t="s">
        <v>5</v>
      </c>
      <c r="S21" s="1308">
        <f>F21</f>
        <v>100</v>
      </c>
      <c r="T21" s="1307" t="s">
        <v>5</v>
      </c>
      <c r="U21" s="1308">
        <f>H21</f>
        <v>100</v>
      </c>
      <c r="V21" s="1307" t="s">
        <v>5</v>
      </c>
      <c r="W21" s="1308">
        <f>J21</f>
        <v>100</v>
      </c>
      <c r="X21" s="1302"/>
      <c r="Y21" s="3633"/>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33"/>
      <c r="Q22" s="1306"/>
      <c r="R22" s="1307"/>
      <c r="S22" s="1308"/>
      <c r="T22" s="1307"/>
      <c r="U22" s="1308"/>
      <c r="V22" s="1307"/>
      <c r="W22" s="1308"/>
      <c r="X22" s="1302"/>
      <c r="Y22" s="3633"/>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33"/>
      <c r="Q23" s="1306" t="str">
        <f>B23</f>
        <v>交通便捷度</v>
      </c>
      <c r="R23" s="1307" t="s">
        <v>5</v>
      </c>
      <c r="S23" s="1308">
        <f>F23</f>
        <v>100</v>
      </c>
      <c r="T23" s="1307" t="s">
        <v>5</v>
      </c>
      <c r="U23" s="1308">
        <f>H23</f>
        <v>100</v>
      </c>
      <c r="V23" s="1307" t="s">
        <v>5</v>
      </c>
      <c r="W23" s="1308">
        <f>J23</f>
        <v>100</v>
      </c>
      <c r="X23" s="1302"/>
      <c r="Y23" s="3633"/>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633"/>
      <c r="Q24" s="1306"/>
      <c r="R24" s="1307"/>
      <c r="S24" s="1308"/>
      <c r="T24" s="1307"/>
      <c r="U24" s="1308"/>
      <c r="V24" s="1307"/>
      <c r="W24" s="1308"/>
      <c r="X24" s="1302"/>
      <c r="Y24" s="3633"/>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33"/>
      <c r="Q25" s="1306" t="str">
        <f t="shared" ref="Q25:Q39" si="8">B25</f>
        <v>区域土地利用方向</v>
      </c>
      <c r="R25" s="1307" t="s">
        <v>5</v>
      </c>
      <c r="S25" s="1308">
        <f>F25</f>
        <v>100</v>
      </c>
      <c r="T25" s="1307" t="s">
        <v>5</v>
      </c>
      <c r="U25" s="1308">
        <f>H25</f>
        <v>100</v>
      </c>
      <c r="V25" s="1307" t="s">
        <v>5</v>
      </c>
      <c r="W25" s="1308">
        <f>J25</f>
        <v>100</v>
      </c>
      <c r="X25" s="1302"/>
      <c r="Y25" s="3633"/>
      <c r="Z25" s="1309" t="str">
        <f>Q25</f>
        <v>区域土地利用方向</v>
      </c>
      <c r="AA25" s="1309">
        <f t="shared" si="3"/>
        <v>1</v>
      </c>
      <c r="AB25" s="1309">
        <f t="shared" si="4"/>
        <v>1</v>
      </c>
      <c r="AC25" s="1309">
        <f t="shared" si="5"/>
        <v>1</v>
      </c>
    </row>
    <row r="26" spans="1:29" ht="20.25">
      <c r="A26" s="466"/>
      <c r="B26" s="918"/>
      <c r="C26" s="504"/>
      <c r="D26" s="507"/>
      <c r="E26" s="508"/>
      <c r="F26" s="505"/>
      <c r="G26" s="506"/>
      <c r="H26" s="505"/>
      <c r="I26" s="508"/>
      <c r="J26" s="505"/>
      <c r="K26" s="481"/>
      <c r="L26" s="1749"/>
      <c r="M26" s="1740"/>
      <c r="N26" s="1740"/>
      <c r="O26" s="1748"/>
      <c r="P26" s="3633"/>
      <c r="Q26" s="1306"/>
      <c r="R26" s="1307"/>
      <c r="S26" s="1308"/>
      <c r="T26" s="1307"/>
      <c r="U26" s="1308"/>
      <c r="V26" s="1307"/>
      <c r="W26" s="1308"/>
      <c r="X26" s="1302"/>
      <c r="Y26" s="3633"/>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33"/>
      <c r="Q27" s="1306" t="str">
        <f t="shared" si="8"/>
        <v>自然及人文环境状况</v>
      </c>
      <c r="R27" s="1307" t="s">
        <v>5</v>
      </c>
      <c r="S27" s="1308">
        <f>F27</f>
        <v>100</v>
      </c>
      <c r="T27" s="1307" t="s">
        <v>5</v>
      </c>
      <c r="U27" s="1308">
        <f>H27</f>
        <v>100</v>
      </c>
      <c r="V27" s="1307" t="s">
        <v>5</v>
      </c>
      <c r="W27" s="1308">
        <f>J27</f>
        <v>100</v>
      </c>
      <c r="X27" s="1302"/>
      <c r="Y27" s="3633"/>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633"/>
      <c r="Q28" s="1306"/>
      <c r="R28" s="1307"/>
      <c r="S28" s="1308"/>
      <c r="T28" s="1307"/>
      <c r="U28" s="1308"/>
      <c r="V28" s="1307"/>
      <c r="W28" s="1308"/>
      <c r="X28" s="1302"/>
      <c r="Y28" s="3633"/>
      <c r="Z28" s="1309"/>
      <c r="AA28" s="1309">
        <v>1</v>
      </c>
      <c r="AB28" s="1309">
        <v>1</v>
      </c>
      <c r="AC28" s="1309">
        <v>1</v>
      </c>
    </row>
    <row r="29" spans="1:29" s="1059"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33"/>
      <c r="Q29" s="817" t="str">
        <f t="shared" si="8"/>
        <v>公共配套设施</v>
      </c>
      <c r="R29" s="1303" t="s">
        <v>5</v>
      </c>
      <c r="S29" s="1304">
        <f>F29</f>
        <v>100</v>
      </c>
      <c r="T29" s="1303" t="s">
        <v>5</v>
      </c>
      <c r="U29" s="1304">
        <f>H29</f>
        <v>100</v>
      </c>
      <c r="V29" s="1303" t="s">
        <v>5</v>
      </c>
      <c r="W29" s="1304">
        <f>J29</f>
        <v>100</v>
      </c>
      <c r="X29" s="1305"/>
      <c r="Y29" s="3633"/>
      <c r="Z29" s="996" t="str">
        <f>Q29</f>
        <v>公共配套设施</v>
      </c>
      <c r="AA29" s="1309">
        <f>D29/F29</f>
        <v>1</v>
      </c>
      <c r="AB29" s="1309">
        <f>D29/H29</f>
        <v>1</v>
      </c>
      <c r="AC29" s="1309">
        <f>D29/J29</f>
        <v>1</v>
      </c>
    </row>
    <row r="30" spans="1:29" s="1059" customFormat="1" ht="20.25">
      <c r="A30" s="527"/>
      <c r="B30" s="516"/>
      <c r="C30" s="529"/>
      <c r="D30" s="507"/>
      <c r="E30" s="526"/>
      <c r="F30" s="505"/>
      <c r="G30" s="504"/>
      <c r="H30" s="505"/>
      <c r="I30" s="526"/>
      <c r="J30" s="505"/>
      <c r="K30" s="481"/>
      <c r="L30" s="1743"/>
      <c r="M30" s="1740"/>
      <c r="N30" s="1740"/>
      <c r="O30" s="1744"/>
      <c r="P30" s="3633"/>
      <c r="Q30" s="817"/>
      <c r="R30" s="1303"/>
      <c r="S30" s="1304"/>
      <c r="T30" s="1303"/>
      <c r="U30" s="1304"/>
      <c r="V30" s="1303"/>
      <c r="W30" s="1304"/>
      <c r="X30" s="1305"/>
      <c r="Y30" s="3633"/>
      <c r="Z30" s="996"/>
      <c r="AA30" s="1309">
        <v>1</v>
      </c>
      <c r="AB30" s="1309">
        <v>1</v>
      </c>
      <c r="AC30" s="1309">
        <v>1</v>
      </c>
    </row>
    <row r="31" spans="1:29" s="1059"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33"/>
      <c r="Q31" s="817" t="str">
        <f>B31</f>
        <v>基础设施水平</v>
      </c>
      <c r="R31" s="1303" t="s">
        <v>5</v>
      </c>
      <c r="S31" s="1304">
        <f>F31</f>
        <v>100</v>
      </c>
      <c r="T31" s="1303" t="s">
        <v>5</v>
      </c>
      <c r="U31" s="1304">
        <f>H31</f>
        <v>100</v>
      </c>
      <c r="V31" s="1303" t="s">
        <v>5</v>
      </c>
      <c r="W31" s="1304">
        <f>J31</f>
        <v>100</v>
      </c>
      <c r="X31" s="1305"/>
      <c r="Y31" s="3633"/>
      <c r="Z31" s="996" t="str">
        <f>Q31</f>
        <v>基础设施水平</v>
      </c>
      <c r="AA31" s="1309">
        <f>D31/F31</f>
        <v>1</v>
      </c>
      <c r="AB31" s="1309">
        <f>D31/H31</f>
        <v>1</v>
      </c>
      <c r="AC31" s="1309">
        <f>D31/J31</f>
        <v>1</v>
      </c>
    </row>
    <row r="32" spans="1:29" s="1059" customFormat="1" ht="20.25">
      <c r="A32" s="527"/>
      <c r="B32" s="516"/>
      <c r="C32" s="529"/>
      <c r="D32" s="507"/>
      <c r="E32" s="2051"/>
      <c r="F32" s="505"/>
      <c r="G32" s="529"/>
      <c r="H32" s="505"/>
      <c r="I32" s="529"/>
      <c r="J32" s="505"/>
      <c r="K32" s="481"/>
      <c r="L32" s="1743"/>
      <c r="M32" s="1740"/>
      <c r="N32" s="1740"/>
      <c r="O32" s="1744"/>
      <c r="P32" s="3633"/>
      <c r="Q32" s="817"/>
      <c r="R32" s="1303"/>
      <c r="S32" s="1304"/>
      <c r="T32" s="1303"/>
      <c r="U32" s="1304"/>
      <c r="V32" s="1303"/>
      <c r="W32" s="1304"/>
      <c r="X32" s="1305"/>
      <c r="Y32" s="3633"/>
      <c r="Z32" s="996"/>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3"/>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3"/>
      <c r="Q34" s="1306" t="str">
        <f t="shared" si="8"/>
        <v>毗邻道路的类型与等级</v>
      </c>
      <c r="R34" s="1307" t="s">
        <v>5</v>
      </c>
      <c r="S34" s="1308">
        <f t="shared" si="9"/>
        <v>100</v>
      </c>
      <c r="T34" s="1307" t="s">
        <v>5</v>
      </c>
      <c r="U34" s="1308">
        <f t="shared" si="10"/>
        <v>100</v>
      </c>
      <c r="V34" s="1307" t="s">
        <v>5</v>
      </c>
      <c r="W34" s="1308">
        <f t="shared" si="11"/>
        <v>100</v>
      </c>
      <c r="X34" s="1302"/>
      <c r="Y34" s="3633"/>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33"/>
      <c r="Q35" s="1306"/>
      <c r="R35" s="1307"/>
      <c r="S35" s="1308"/>
      <c r="T35" s="1307"/>
      <c r="U35" s="1308"/>
      <c r="V35" s="1307"/>
      <c r="W35" s="1308"/>
      <c r="X35" s="1302"/>
      <c r="Y35" s="3633"/>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3"/>
      <c r="Q36" s="1306" t="str">
        <f t="shared" si="8"/>
        <v>土地级别</v>
      </c>
      <c r="R36" s="1307" t="s">
        <v>5</v>
      </c>
      <c r="S36" s="1308">
        <f t="shared" si="9"/>
        <v>100</v>
      </c>
      <c r="T36" s="1307" t="s">
        <v>5</v>
      </c>
      <c r="U36" s="1308">
        <f t="shared" si="10"/>
        <v>100</v>
      </c>
      <c r="V36" s="1307" t="s">
        <v>5</v>
      </c>
      <c r="W36" s="1308">
        <f t="shared" si="11"/>
        <v>100</v>
      </c>
      <c r="X36" s="1302"/>
      <c r="Y36" s="3633"/>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3"/>
      <c r="Q37" s="1306">
        <f t="shared" si="8"/>
        <v>111</v>
      </c>
      <c r="R37" s="1307" t="s">
        <v>5</v>
      </c>
      <c r="S37" s="1308">
        <f t="shared" si="9"/>
        <v>100</v>
      </c>
      <c r="T37" s="1307" t="s">
        <v>5</v>
      </c>
      <c r="U37" s="1308">
        <f t="shared" si="10"/>
        <v>100</v>
      </c>
      <c r="V37" s="1307" t="s">
        <v>5</v>
      </c>
      <c r="W37" s="1308">
        <f t="shared" si="11"/>
        <v>100</v>
      </c>
      <c r="X37" s="1302"/>
      <c r="Y37" s="3633"/>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4" t="s">
        <v>499</v>
      </c>
      <c r="Q38" s="1306">
        <f t="shared" si="8"/>
        <v>111</v>
      </c>
      <c r="R38" s="1307" t="s">
        <v>5</v>
      </c>
      <c r="S38" s="1308">
        <f t="shared" si="9"/>
        <v>100</v>
      </c>
      <c r="T38" s="1307" t="s">
        <v>5</v>
      </c>
      <c r="U38" s="1308">
        <f t="shared" si="10"/>
        <v>100</v>
      </c>
      <c r="V38" s="1307" t="s">
        <v>5</v>
      </c>
      <c r="W38" s="1308">
        <f t="shared" si="11"/>
        <v>100</v>
      </c>
      <c r="X38" s="1302"/>
      <c r="Y38" s="3635" t="s">
        <v>499</v>
      </c>
      <c r="Z38" s="1309">
        <f t="shared" si="12"/>
        <v>111</v>
      </c>
      <c r="AA38" s="1309">
        <f t="shared" si="3"/>
        <v>1</v>
      </c>
      <c r="AB38" s="1309">
        <f t="shared" si="4"/>
        <v>1</v>
      </c>
      <c r="AC38" s="1309">
        <f t="shared" si="5"/>
        <v>1</v>
      </c>
    </row>
    <row r="39" spans="1:29" s="1133"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5"/>
      <c r="Q39" s="1306">
        <f t="shared" si="8"/>
        <v>111</v>
      </c>
      <c r="R39" s="1310" t="s">
        <v>5</v>
      </c>
      <c r="S39" s="1311">
        <f t="shared" si="9"/>
        <v>100</v>
      </c>
      <c r="T39" s="1310" t="s">
        <v>5</v>
      </c>
      <c r="U39" s="1311">
        <f t="shared" si="10"/>
        <v>100</v>
      </c>
      <c r="V39" s="1310" t="s">
        <v>5</v>
      </c>
      <c r="W39" s="1311">
        <f t="shared" si="11"/>
        <v>100</v>
      </c>
      <c r="X39" s="1312"/>
      <c r="Y39" s="3635"/>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35"/>
      <c r="Q40" s="1306" t="str">
        <f>B40</f>
        <v>宗地面积</v>
      </c>
      <c r="R40" s="1307" t="s">
        <v>5</v>
      </c>
      <c r="S40" s="1308" t="e">
        <f t="shared" si="9"/>
        <v>#N/A</v>
      </c>
      <c r="T40" s="1307" t="s">
        <v>5</v>
      </c>
      <c r="U40" s="1308" t="e">
        <f t="shared" si="10"/>
        <v>#N/A</v>
      </c>
      <c r="V40" s="1307" t="s">
        <v>5</v>
      </c>
      <c r="W40" s="1308" t="e">
        <f t="shared" si="11"/>
        <v>#N/A</v>
      </c>
      <c r="X40" s="1302"/>
      <c r="Y40" s="3635"/>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35"/>
      <c r="Q41" s="1306" t="str">
        <f t="shared" ref="Q41:Q47" si="13">B41</f>
        <v>宗地形状</v>
      </c>
      <c r="R41" s="1307" t="s">
        <v>5</v>
      </c>
      <c r="S41" s="1308">
        <f t="shared" si="9"/>
        <v>100</v>
      </c>
      <c r="T41" s="1307" t="s">
        <v>5</v>
      </c>
      <c r="U41" s="1308">
        <f t="shared" si="10"/>
        <v>100</v>
      </c>
      <c r="V41" s="1307" t="s">
        <v>5</v>
      </c>
      <c r="W41" s="1308">
        <f t="shared" si="11"/>
        <v>100</v>
      </c>
      <c r="X41" s="1302"/>
      <c r="Y41" s="3635"/>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5"/>
      <c r="Q42" s="1306" t="str">
        <f t="shared" si="13"/>
        <v>临街宽度及深度</v>
      </c>
      <c r="R42" s="1307" t="s">
        <v>5</v>
      </c>
      <c r="S42" s="1308">
        <f t="shared" si="9"/>
        <v>100</v>
      </c>
      <c r="T42" s="1307" t="s">
        <v>5</v>
      </c>
      <c r="U42" s="1308">
        <f t="shared" si="10"/>
        <v>100</v>
      </c>
      <c r="V42" s="1307" t="s">
        <v>5</v>
      </c>
      <c r="W42" s="1308">
        <f t="shared" si="11"/>
        <v>100</v>
      </c>
      <c r="X42" s="1302"/>
      <c r="Y42" s="3635"/>
      <c r="Z42" s="1309" t="str">
        <f t="shared" si="12"/>
        <v>临街宽度及深度</v>
      </c>
      <c r="AA42" s="1309">
        <f t="shared" si="3"/>
        <v>1</v>
      </c>
      <c r="AB42" s="1309">
        <f t="shared" si="4"/>
        <v>1</v>
      </c>
      <c r="AC42" s="1309">
        <f t="shared" si="5"/>
        <v>1</v>
      </c>
    </row>
    <row r="43" spans="1:29" s="1059"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35"/>
      <c r="Q43" s="1306" t="str">
        <f t="shared" si="13"/>
        <v>宗地开发程度</v>
      </c>
      <c r="R43" s="1303" t="s">
        <v>5</v>
      </c>
      <c r="S43" s="1304">
        <f t="shared" si="9"/>
        <v>100</v>
      </c>
      <c r="T43" s="1303" t="s">
        <v>5</v>
      </c>
      <c r="U43" s="1304">
        <f t="shared" si="10"/>
        <v>100</v>
      </c>
      <c r="V43" s="1303" t="s">
        <v>5</v>
      </c>
      <c r="W43" s="1304">
        <f t="shared" si="11"/>
        <v>100</v>
      </c>
      <c r="X43" s="1305"/>
      <c r="Y43" s="3635"/>
      <c r="Z43" s="996" t="str">
        <f t="shared" si="12"/>
        <v>宗地开发程度</v>
      </c>
      <c r="AA43" s="996">
        <f t="shared" si="3"/>
        <v>1</v>
      </c>
      <c r="AB43" s="996">
        <f t="shared" si="4"/>
        <v>1</v>
      </c>
      <c r="AC43" s="996">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35" t="s">
        <v>499</v>
      </c>
      <c r="Q44" s="1306" t="str">
        <f t="shared" si="13"/>
        <v>工程地质条件</v>
      </c>
      <c r="R44" s="1307" t="s">
        <v>5</v>
      </c>
      <c r="S44" s="1308">
        <f t="shared" si="9"/>
        <v>100</v>
      </c>
      <c r="T44" s="1307" t="s">
        <v>5</v>
      </c>
      <c r="U44" s="1308">
        <f t="shared" si="10"/>
        <v>100</v>
      </c>
      <c r="V44" s="1307" t="s">
        <v>5</v>
      </c>
      <c r="W44" s="1308">
        <f t="shared" si="11"/>
        <v>100</v>
      </c>
      <c r="X44" s="1302"/>
      <c r="Y44" s="3635"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5"/>
      <c r="Q45" s="1306">
        <f t="shared" si="13"/>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5"/>
      <c r="Q46" s="1306">
        <f t="shared" si="13"/>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5"/>
      <c r="Q47" s="1306">
        <f t="shared" si="13"/>
        <v>111</v>
      </c>
      <c r="R47" s="1310" t="s">
        <v>5</v>
      </c>
      <c r="S47" s="1311">
        <f t="shared" si="9"/>
        <v>100</v>
      </c>
      <c r="T47" s="1310" t="s">
        <v>5</v>
      </c>
      <c r="U47" s="1311">
        <f t="shared" si="10"/>
        <v>100</v>
      </c>
      <c r="V47" s="1310" t="s">
        <v>5</v>
      </c>
      <c r="W47" s="1311">
        <f t="shared" si="11"/>
        <v>100</v>
      </c>
      <c r="X47" s="1312"/>
      <c r="Y47" s="3635"/>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4"/>
      <c r="L48" s="1751"/>
      <c r="M48" s="1740"/>
      <c r="N48" s="1740"/>
      <c r="O48" s="1742"/>
      <c r="P48" s="3630" t="str">
        <f>A48</f>
        <v>成交单价</v>
      </c>
      <c r="Q48" s="3630"/>
      <c r="R48" s="3631">
        <f>E48</f>
        <v>0</v>
      </c>
      <c r="S48" s="3631"/>
      <c r="T48" s="3631">
        <f>G48</f>
        <v>0</v>
      </c>
      <c r="U48" s="3631"/>
      <c r="V48" s="3631">
        <f>I48</f>
        <v>0</v>
      </c>
      <c r="W48" s="3631"/>
      <c r="X48" s="799"/>
      <c r="Y48" s="1314"/>
      <c r="Z48" s="799"/>
      <c r="AA48" s="799"/>
      <c r="AB48" s="799"/>
      <c r="AC48" s="799"/>
    </row>
    <row r="49" spans="1:29" ht="21" thickBot="1">
      <c r="A49" s="564" t="s">
        <v>1975</v>
      </c>
      <c r="B49" s="565"/>
      <c r="C49" s="566" t="e">
        <f>R50</f>
        <v>#DIV/0!</v>
      </c>
      <c r="D49" s="2550" t="s">
        <v>2261</v>
      </c>
      <c r="E49" s="566" t="e">
        <f>R49</f>
        <v>#DIV/0!</v>
      </c>
      <c r="F49" s="2551"/>
      <c r="G49" s="567" t="e">
        <f>T49</f>
        <v>#DIV/0!</v>
      </c>
      <c r="H49" s="2551"/>
      <c r="I49" s="566" t="e">
        <f>V49</f>
        <v>#DIV/0!</v>
      </c>
      <c r="J49" s="2551"/>
      <c r="K49" s="2552">
        <f>F49+H49+J49</f>
        <v>0</v>
      </c>
      <c r="L49" s="1751"/>
      <c r="M49" s="1740"/>
      <c r="N49" s="1740"/>
      <c r="O49" s="1742"/>
      <c r="P49" s="3630" t="str">
        <f>A49</f>
        <v>比较价格（元/平方米）</v>
      </c>
      <c r="Q49" s="3630"/>
      <c r="R49" s="3678" t="e">
        <f>ROUND(PRODUCT(R48,AA9:AA47),0)</f>
        <v>#DIV/0!</v>
      </c>
      <c r="S49" s="3678"/>
      <c r="T49" s="3678" t="e">
        <f>ROUND(PRODUCT(T48,AB9:AB47),0)</f>
        <v>#DIV/0!</v>
      </c>
      <c r="U49" s="3678"/>
      <c r="V49" s="3678" t="e">
        <f>ROUND(PRODUCT(V48,AC9:AC47),0)</f>
        <v>#DIV/0!</v>
      </c>
      <c r="W49" s="3678"/>
      <c r="X49" s="799"/>
      <c r="Y49" s="799"/>
      <c r="Z49" s="799"/>
      <c r="AA49" s="799"/>
      <c r="AB49" s="799"/>
      <c r="AC49" s="799"/>
    </row>
    <row r="50" spans="1:29" ht="21" thickBot="1">
      <c r="A50" s="568" t="s">
        <v>2198</v>
      </c>
      <c r="B50" s="569"/>
      <c r="C50" s="570" t="e">
        <f>R50</f>
        <v>#DIV/0!</v>
      </c>
      <c r="D50" s="570"/>
      <c r="E50" s="570"/>
      <c r="F50" s="570"/>
      <c r="G50" s="570"/>
      <c r="H50" s="570"/>
      <c r="I50" s="570"/>
      <c r="J50" s="570"/>
      <c r="K50" s="1135"/>
      <c r="L50" s="1751"/>
      <c r="M50" s="1740"/>
      <c r="N50" s="1740"/>
      <c r="O50" s="1742"/>
      <c r="P50" s="3627" t="str">
        <f>A50</f>
        <v>估价对象XX用房的比较价格（楼面单价，元/平方米）</v>
      </c>
      <c r="Q50" s="3628"/>
      <c r="R50" s="3677" t="e">
        <f>ROUND(IF(D49="简单平均",AVERAGE(R49:W49),R49*F49+T49*H49+V49*J49),0)</f>
        <v>#DIV/0!</v>
      </c>
      <c r="S50" s="3677"/>
      <c r="T50" s="3677"/>
      <c r="U50" s="3677"/>
      <c r="V50" s="3677"/>
      <c r="W50" s="3677"/>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81" t="s">
        <v>1639</v>
      </c>
      <c r="H57" s="3682"/>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t="e">
        <f>C50</f>
        <v>#DIV/0!</v>
      </c>
      <c r="C58" s="582">
        <v>1</v>
      </c>
      <c r="D58" s="1822">
        <v>1</v>
      </c>
      <c r="E58" s="582">
        <f>'数据-汇总表'!E8+'数据-汇总表'!E9</f>
        <v>604.25</v>
      </c>
      <c r="F58" s="583" t="e">
        <f t="shared" ref="F58:F66" si="14">ROUND(B58*E58/10000,0)</f>
        <v>#DIV/0!</v>
      </c>
      <c r="G58" s="3683"/>
      <c r="H58" s="3684"/>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t="e">
        <f>ROUND($C$50*C59*D59,0)</f>
        <v>#DIV/0!</v>
      </c>
      <c r="C59" s="348">
        <f t="shared" ref="C59:C66" si="15">IF($C$57="北京市系数",I59,J59)</f>
        <v>0</v>
      </c>
      <c r="D59" s="1823">
        <v>0.25</v>
      </c>
      <c r="E59" s="586">
        <v>0</v>
      </c>
      <c r="F59" s="583" t="e">
        <f t="shared" si="14"/>
        <v>#DIV/0!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t="e">
        <f t="shared" ref="B60:B66" si="16">ROUND($C$50*C60*D60,0)</f>
        <v>#DIV/0!</v>
      </c>
      <c r="C60" s="348">
        <f t="shared" si="15"/>
        <v>0</v>
      </c>
      <c r="D60" s="1823">
        <v>0.25</v>
      </c>
      <c r="E60" s="586">
        <v>0</v>
      </c>
      <c r="F60" s="583" t="e">
        <f t="shared" si="14"/>
        <v>#DIV/0!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t="e">
        <f t="shared" si="16"/>
        <v>#DIV/0!</v>
      </c>
      <c r="C61" s="348">
        <f t="shared" si="15"/>
        <v>0</v>
      </c>
      <c r="D61" s="1823">
        <v>0.25</v>
      </c>
      <c r="E61" s="586">
        <v>0</v>
      </c>
      <c r="F61" s="583" t="e">
        <f t="shared" si="14"/>
        <v>#DIV/0!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t="e">
        <f t="shared" si="16"/>
        <v>#DIV/0!</v>
      </c>
      <c r="C63" s="348">
        <f t="shared" si="15"/>
        <v>0</v>
      </c>
      <c r="D63" s="1823">
        <v>0.25</v>
      </c>
      <c r="E63" s="588">
        <f>'数据-汇总表'!E12</f>
        <v>337.34</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t="e">
        <f t="shared" si="16"/>
        <v>#DIV/0!</v>
      </c>
      <c r="C64" s="348">
        <f t="shared" si="15"/>
        <v>0.15</v>
      </c>
      <c r="D64" s="1823">
        <v>0.25</v>
      </c>
      <c r="E64" s="588">
        <f>'数据-汇总表'!E13</f>
        <v>0</v>
      </c>
      <c r="F64" s="583" t="e">
        <f t="shared" si="14"/>
        <v>#DIV/0!</v>
      </c>
      <c r="G64" s="1605" t="s">
        <v>851</v>
      </c>
      <c r="H64" s="1603" t="str">
        <f>IF(G64="商业",项目基本情况!B43,IF(G64="办公",项目基本情况!C43,IF(G64="住宅",项目基本情况!D43,项目基本情况!E43)))</f>
        <v>六级</v>
      </c>
      <c r="I64" s="1298">
        <f>SUMIF(修正!$A$57:$A$68,H64,修正!G57:G68)</f>
        <v>0.15</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659.99</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2024-12-1</v>
      </c>
      <c r="D69" s="2111">
        <f>EDATE(C69,-3)</f>
        <v>45536</v>
      </c>
      <c r="E69" s="2111">
        <f t="shared" ref="E69:N69" si="17">EDATE(D69,-3)</f>
        <v>45444</v>
      </c>
      <c r="F69" s="2111">
        <f t="shared" si="17"/>
        <v>45352</v>
      </c>
      <c r="G69" s="2111">
        <f t="shared" si="17"/>
        <v>45261</v>
      </c>
      <c r="H69" s="2111">
        <f t="shared" si="17"/>
        <v>45170</v>
      </c>
      <c r="I69" s="2111">
        <f t="shared" si="17"/>
        <v>45078</v>
      </c>
      <c r="J69" s="2111">
        <f t="shared" si="17"/>
        <v>44986</v>
      </c>
      <c r="K69" s="2111">
        <f t="shared" si="17"/>
        <v>44896</v>
      </c>
      <c r="L69" s="2111">
        <f t="shared" si="17"/>
        <v>44805</v>
      </c>
      <c r="M69" s="2111">
        <f t="shared" si="17"/>
        <v>44713</v>
      </c>
      <c r="N69" s="2111">
        <f t="shared" si="17"/>
        <v>44621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C27" xr:uid="{00000000-0002-0000-1A00-000000000000}">
      <formula1>住宅朝向</formula1>
    </dataValidation>
    <dataValidation type="list" allowBlank="1" showInputMessage="1" showErrorMessage="1" sqref="E30 C30 I30 G30" xr:uid="{00000000-0002-0000-1A00-000001000000}">
      <formula1>公共配套设施</formula1>
    </dataValidation>
    <dataValidation type="list" allowBlank="1" showInputMessage="1" showErrorMessage="1" sqref="E24 C24 G24 I24" xr:uid="{00000000-0002-0000-1A00-000002000000}">
      <formula1>交通便捷度</formula1>
    </dataValidation>
    <dataValidation type="list" allowBlank="1" showInputMessage="1" showErrorMessage="1" sqref="E18 G18 I18 C18" xr:uid="{00000000-0002-0000-1A00-000003000000}">
      <formula1>居住社区成熟度</formula1>
    </dataValidation>
    <dataValidation type="list" allowBlank="1" showInputMessage="1" showErrorMessage="1" sqref="C28 E28 G28 I28" xr:uid="{00000000-0002-0000-1A00-000004000000}">
      <formula1>环境</formula1>
    </dataValidation>
    <dataValidation type="list" allowBlank="1" showInputMessage="1" showErrorMessage="1" sqref="B48" xr:uid="{00000000-0002-0000-1A00-000005000000}">
      <formula1>单价内涵</formula1>
    </dataValidation>
    <dataValidation type="list" allowBlank="1" showInputMessage="1" showErrorMessage="1" sqref="C10 E10 G10 I10" xr:uid="{00000000-0002-0000-1A00-000006000000}">
      <formula1>套综交易情况</formula1>
    </dataValidation>
    <dataValidation type="list" allowBlank="1" showInputMessage="1" showErrorMessage="1" sqref="C11 E11 G11 I11" xr:uid="{00000000-0002-0000-1A00-000007000000}">
      <formula1>套综用途</formula1>
    </dataValidation>
    <dataValidation type="list" allowBlank="1" showInputMessage="1" showErrorMessage="1" sqref="E20 C20 G20 I20" xr:uid="{00000000-0002-0000-1A00-000008000000}">
      <formula1>商业繁华度</formula1>
    </dataValidation>
    <dataValidation type="list" allowBlank="1" showInputMessage="1" showErrorMessage="1" sqref="E22 C22 G22 I22" xr:uid="{00000000-0002-0000-1A00-000009000000}">
      <formula1>办公集聚程度</formula1>
    </dataValidation>
    <dataValidation type="list" allowBlank="1" showInputMessage="1" showErrorMessage="1" sqref="C35 E35 G35 I35" xr:uid="{00000000-0002-0000-1A00-00000A000000}">
      <formula1>套综道路等级</formula1>
    </dataValidation>
    <dataValidation type="list" allowBlank="1" showInputMessage="1" showErrorMessage="1" sqref="C36 E36 G36 I36" xr:uid="{00000000-0002-0000-1A00-00000B000000}">
      <formula1>套综土地级别</formula1>
    </dataValidation>
    <dataValidation type="list" allowBlank="1" showInputMessage="1" showErrorMessage="1" sqref="C41 E41 G41 I41" xr:uid="{00000000-0002-0000-1A00-00000C000000}">
      <formula1>套综宗地形状</formula1>
    </dataValidation>
    <dataValidation type="list" allowBlank="1" showInputMessage="1" showErrorMessage="1" sqref="C42 E42 G42 I42" xr:uid="{00000000-0002-0000-1A00-00000D000000}">
      <formula1>套综临街宽度及深度</formula1>
    </dataValidation>
    <dataValidation type="list" allowBlank="1" showInputMessage="1" showErrorMessage="1" sqref="C43 E43 G43 I43" xr:uid="{00000000-0002-0000-1A00-00000E000000}">
      <formula1>套综宗地内开发程度</formula1>
    </dataValidation>
    <dataValidation type="list" allowBlank="1" showInputMessage="1" showErrorMessage="1" sqref="C44 E44 G44 I44" xr:uid="{00000000-0002-0000-1A00-00000F000000}">
      <formula1>套综工程地质条件</formula1>
    </dataValidation>
    <dataValidation type="list" allowBlank="1" showInputMessage="1" showErrorMessage="1" sqref="C33 E33 G33 I33" xr:uid="{00000000-0002-0000-1A00-000010000000}">
      <formula1>临街状况</formula1>
    </dataValidation>
    <dataValidation type="list" allowBlank="1" showInputMessage="1" showErrorMessage="1" sqref="E26 G26 I26 C26" xr:uid="{00000000-0002-0000-1A00-000011000000}">
      <formula1>区域土地利用方向</formula1>
    </dataValidation>
    <dataValidation type="list" allowBlank="1" showInputMessage="1" showErrorMessage="1" sqref="C57" xr:uid="{00000000-0002-0000-1A00-000012000000}">
      <formula1>"北京市系数,其他省市系数"</formula1>
    </dataValidation>
    <dataValidation type="list" allowBlank="1" showInputMessage="1" showErrorMessage="1" sqref="G64" xr:uid="{00000000-0002-0000-1A00-000013000000}">
      <formula1>"住宅,工业"</formula1>
    </dataValidation>
    <dataValidation type="list" allowBlank="1" showInputMessage="1" showErrorMessage="1" sqref="G63" xr:uid="{00000000-0002-0000-1A00-000014000000}">
      <formula1>"商业,办公,住宅,工业"</formula1>
    </dataValidation>
    <dataValidation type="list" allowBlank="1" showInputMessage="1" showErrorMessage="1" sqref="C32 E32 G32 I32" xr:uid="{00000000-0002-0000-1A00-000015000000}">
      <formula1>基础设施水平</formula1>
    </dataValidation>
    <dataValidation type="list" allowBlank="1" showInputMessage="1" showErrorMessage="1" sqref="A72" xr:uid="{00000000-0002-0000-1A00-000016000000}">
      <formula1>"综合,商业,办公,住宅"</formula1>
    </dataValidation>
    <dataValidation type="list" allowBlank="1" showInputMessage="1" showErrorMessage="1" sqref="D49" xr:uid="{00000000-0002-0000-1A00-000017000000}">
      <formula1>"简单平均,加权平均"</formula1>
    </dataValidation>
    <dataValidation type="list" allowBlank="1" showInputMessage="1" showErrorMessage="1" sqref="D59:D66" xr:uid="{00000000-0002-0000-1A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40" t="s">
        <v>471</v>
      </c>
      <c r="D6" s="3641"/>
      <c r="E6" s="3642" t="s">
        <v>472</v>
      </c>
      <c r="F6" s="3643"/>
      <c r="G6" s="3640" t="s">
        <v>473</v>
      </c>
      <c r="H6" s="3641"/>
      <c r="I6" s="3640" t="s">
        <v>474</v>
      </c>
      <c r="J6" s="3641"/>
      <c r="K6" s="465" t="s">
        <v>475</v>
      </c>
      <c r="L6" s="1741"/>
      <c r="M6" s="1742"/>
      <c r="N6" s="1742"/>
      <c r="O6" s="1742"/>
      <c r="P6" s="3644" t="s">
        <v>476</v>
      </c>
      <c r="Q6" s="3645"/>
      <c r="R6" s="3650" t="s">
        <v>472</v>
      </c>
      <c r="S6" s="3651"/>
      <c r="T6" s="3650" t="s">
        <v>473</v>
      </c>
      <c r="U6" s="3651"/>
      <c r="V6" s="3631" t="s">
        <v>474</v>
      </c>
      <c r="W6" s="3631"/>
      <c r="X6" s="1302"/>
      <c r="Y6" s="3650" t="s">
        <v>476</v>
      </c>
      <c r="Z6" s="3651"/>
      <c r="AA6" s="3637" t="s">
        <v>472</v>
      </c>
      <c r="AB6" s="3638" t="s">
        <v>473</v>
      </c>
      <c r="AC6" s="3637" t="s">
        <v>474</v>
      </c>
    </row>
    <row r="7" spans="1:29" ht="15">
      <c r="A7" s="466"/>
      <c r="B7" s="467"/>
      <c r="C7" s="3658" t="s">
        <v>2192</v>
      </c>
      <c r="D7" s="3659"/>
      <c r="E7" s="3666" t="s">
        <v>2193</v>
      </c>
      <c r="F7" s="3667"/>
      <c r="G7" s="3658" t="s">
        <v>2194</v>
      </c>
      <c r="H7" s="3659"/>
      <c r="I7" s="3658" t="s">
        <v>2195</v>
      </c>
      <c r="J7" s="3659"/>
      <c r="K7" s="465"/>
      <c r="L7" s="1741"/>
      <c r="M7" s="1742"/>
      <c r="N7" s="1742"/>
      <c r="O7" s="1742"/>
      <c r="P7" s="3646"/>
      <c r="Q7" s="3647"/>
      <c r="R7" s="3652"/>
      <c r="S7" s="3653"/>
      <c r="T7" s="3652"/>
      <c r="U7" s="3653"/>
      <c r="V7" s="3631"/>
      <c r="W7" s="3631"/>
      <c r="X7" s="1302"/>
      <c r="Y7" s="3652"/>
      <c r="Z7" s="3653"/>
      <c r="AA7" s="3638"/>
      <c r="AB7" s="3638"/>
      <c r="AC7" s="3638"/>
    </row>
    <row r="8" spans="1:29" ht="15.75" thickBot="1">
      <c r="A8" s="468"/>
      <c r="B8" s="469"/>
      <c r="C8" s="3656" t="s">
        <v>2196</v>
      </c>
      <c r="D8" s="3657"/>
      <c r="E8" s="3664" t="s">
        <v>2196</v>
      </c>
      <c r="F8" s="3665"/>
      <c r="G8" s="3656" t="s">
        <v>2196</v>
      </c>
      <c r="H8" s="3657"/>
      <c r="I8" s="3656" t="s">
        <v>2196</v>
      </c>
      <c r="J8" s="3657"/>
      <c r="K8" s="465" t="s">
        <v>477</v>
      </c>
      <c r="L8" s="1741"/>
      <c r="M8" s="1742"/>
      <c r="N8" s="1742"/>
      <c r="O8" s="1742"/>
      <c r="P8" s="3648"/>
      <c r="Q8" s="3649"/>
      <c r="R8" s="3652"/>
      <c r="S8" s="3653"/>
      <c r="T8" s="3654"/>
      <c r="U8" s="3655"/>
      <c r="V8" s="3631"/>
      <c r="W8" s="3631"/>
      <c r="X8" s="1302"/>
      <c r="Y8" s="3654"/>
      <c r="Z8" s="3655"/>
      <c r="AA8" s="3639"/>
      <c r="AB8" s="3639"/>
      <c r="AC8" s="3639"/>
    </row>
    <row r="9" spans="1:29" s="1059" customFormat="1" ht="15.75" thickBot="1">
      <c r="A9" s="2209"/>
      <c r="B9" s="2216" t="s">
        <v>478</v>
      </c>
      <c r="C9" s="470">
        <f>'数据-取费表'!B2</f>
        <v>45637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60" t="s">
        <v>479</v>
      </c>
      <c r="Q9" s="3662"/>
      <c r="R9" s="1303" t="s">
        <v>5</v>
      </c>
      <c r="S9" s="1304">
        <f t="shared" ref="S9:S17" si="0">F9</f>
        <v>0</v>
      </c>
      <c r="T9" s="1303" t="s">
        <v>5</v>
      </c>
      <c r="U9" s="1304">
        <f t="shared" ref="U9:U17" si="1">H9</f>
        <v>0</v>
      </c>
      <c r="V9" s="1303" t="s">
        <v>5</v>
      </c>
      <c r="W9" s="1304">
        <f t="shared" ref="W9:W17" si="2">J9</f>
        <v>0</v>
      </c>
      <c r="X9" s="1305"/>
      <c r="Y9" s="3660" t="s">
        <v>479</v>
      </c>
      <c r="Z9" s="3661"/>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60" t="s">
        <v>482</v>
      </c>
      <c r="Q10" s="3661"/>
      <c r="R10" s="1303" t="s">
        <v>5</v>
      </c>
      <c r="S10" s="1304">
        <f t="shared" si="0"/>
        <v>0</v>
      </c>
      <c r="T10" s="1303" t="s">
        <v>5</v>
      </c>
      <c r="U10" s="1304">
        <f t="shared" si="1"/>
        <v>0</v>
      </c>
      <c r="V10" s="1303" t="s">
        <v>5</v>
      </c>
      <c r="W10" s="1304">
        <f t="shared" si="2"/>
        <v>0</v>
      </c>
      <c r="X10" s="1305"/>
      <c r="Y10" s="3660" t="s">
        <v>482</v>
      </c>
      <c r="Z10" s="3661"/>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30" t="s">
        <v>484</v>
      </c>
      <c r="Q11" s="817" t="str">
        <f t="shared" ref="Q11:Q17" si="6">B11</f>
        <v>用途</v>
      </c>
      <c r="R11" s="1303" t="s">
        <v>5</v>
      </c>
      <c r="S11" s="1304">
        <f t="shared" si="0"/>
        <v>100</v>
      </c>
      <c r="T11" s="1303" t="s">
        <v>5</v>
      </c>
      <c r="U11" s="1304">
        <f t="shared" si="1"/>
        <v>100</v>
      </c>
      <c r="V11" s="1303" t="s">
        <v>5</v>
      </c>
      <c r="W11" s="1304">
        <f t="shared" si="2"/>
        <v>100</v>
      </c>
      <c r="X11" s="1305"/>
      <c r="Y11" s="3557"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111</v>
      </c>
      <c r="G12" s="478"/>
      <c r="H12" s="235">
        <f>ROUND(100/'数据-取费表'!G16,0)</f>
        <v>111</v>
      </c>
      <c r="I12" s="478"/>
      <c r="J12" s="235">
        <f>ROUND(100/'数据-取费表'!G16,0)</f>
        <v>111</v>
      </c>
      <c r="K12" s="481"/>
      <c r="L12" s="1745"/>
      <c r="M12" s="1778"/>
      <c r="N12" s="1778"/>
      <c r="O12" s="1746"/>
      <c r="P12" s="3630"/>
      <c r="Q12" s="817" t="str">
        <f t="shared" si="6"/>
        <v>土地使用年限（年）</v>
      </c>
      <c r="R12" s="1303" t="s">
        <v>5</v>
      </c>
      <c r="S12" s="1304">
        <f t="shared" si="0"/>
        <v>111</v>
      </c>
      <c r="T12" s="1303" t="s">
        <v>5</v>
      </c>
      <c r="U12" s="1304">
        <f t="shared" si="1"/>
        <v>111</v>
      </c>
      <c r="V12" s="1303" t="s">
        <v>5</v>
      </c>
      <c r="W12" s="1304">
        <f t="shared" si="2"/>
        <v>111</v>
      </c>
      <c r="X12" s="1305"/>
      <c r="Y12" s="3557"/>
      <c r="Z12" s="996" t="str">
        <f t="shared" si="7"/>
        <v>土地使用年限（年）</v>
      </c>
      <c r="AA12" s="996">
        <f t="shared" si="3"/>
        <v>0.90090090090090091</v>
      </c>
      <c r="AB12" s="996">
        <f t="shared" si="4"/>
        <v>0.90090090090090091</v>
      </c>
      <c r="AC12" s="996">
        <f t="shared" si="5"/>
        <v>0.90090090090090091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30"/>
      <c r="Q13" s="817" t="str">
        <f t="shared" si="6"/>
        <v>容积率</v>
      </c>
      <c r="R13" s="1303" t="s">
        <v>5</v>
      </c>
      <c r="S13" s="1304" t="e">
        <f t="shared" si="0"/>
        <v>#N/A</v>
      </c>
      <c r="T13" s="1303" t="s">
        <v>5</v>
      </c>
      <c r="U13" s="1304" t="e">
        <f t="shared" si="1"/>
        <v>#N/A</v>
      </c>
      <c r="V13" s="1303" t="s">
        <v>5</v>
      </c>
      <c r="W13" s="1304" t="e">
        <f t="shared" si="2"/>
        <v>#N/A</v>
      </c>
      <c r="X13" s="1305"/>
      <c r="Y13" s="3557"/>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30"/>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30"/>
      <c r="Q15" s="817">
        <f t="shared" si="6"/>
        <v>111</v>
      </c>
      <c r="R15" s="1303" t="s">
        <v>5</v>
      </c>
      <c r="S15" s="1304">
        <f t="shared" si="0"/>
        <v>100</v>
      </c>
      <c r="T15" s="1303" t="s">
        <v>5</v>
      </c>
      <c r="U15" s="1304">
        <f t="shared" si="1"/>
        <v>100</v>
      </c>
      <c r="V15" s="1303" t="s">
        <v>5</v>
      </c>
      <c r="W15" s="1304">
        <f t="shared" si="2"/>
        <v>100</v>
      </c>
      <c r="X15" s="1305"/>
      <c r="Y15" s="3557"/>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30"/>
      <c r="Q16" s="817">
        <f t="shared" si="6"/>
        <v>111</v>
      </c>
      <c r="R16" s="1303" t="s">
        <v>5</v>
      </c>
      <c r="S16" s="1304">
        <f t="shared" si="0"/>
        <v>100</v>
      </c>
      <c r="T16" s="1303" t="s">
        <v>5</v>
      </c>
      <c r="U16" s="1304">
        <f t="shared" si="1"/>
        <v>100</v>
      </c>
      <c r="V16" s="1303" t="s">
        <v>5</v>
      </c>
      <c r="W16" s="1304">
        <f t="shared" si="2"/>
        <v>100</v>
      </c>
      <c r="X16" s="1305"/>
      <c r="Y16" s="3557"/>
      <c r="Z16" s="996">
        <f t="shared" si="7"/>
        <v>111</v>
      </c>
      <c r="AA16" s="996">
        <f t="shared" si="3"/>
        <v>1</v>
      </c>
      <c r="AB16" s="996">
        <f t="shared" si="4"/>
        <v>1</v>
      </c>
      <c r="AC16" s="996">
        <f t="shared" si="5"/>
        <v>1</v>
      </c>
    </row>
    <row r="17" spans="1:29" ht="57">
      <c r="A17" s="2207" t="s">
        <v>2036</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2" t="s">
        <v>489</v>
      </c>
      <c r="Q17" s="1306" t="str">
        <f t="shared" si="6"/>
        <v>产业集聚程度</v>
      </c>
      <c r="R17" s="1307" t="s">
        <v>5</v>
      </c>
      <c r="S17" s="1308">
        <f t="shared" si="0"/>
        <v>100</v>
      </c>
      <c r="T17" s="1307" t="s">
        <v>5</v>
      </c>
      <c r="U17" s="1308">
        <f t="shared" si="1"/>
        <v>100</v>
      </c>
      <c r="V17" s="1307" t="s">
        <v>5</v>
      </c>
      <c r="W17" s="1308">
        <f t="shared" si="2"/>
        <v>100</v>
      </c>
      <c r="X17" s="1302"/>
      <c r="Y17" s="363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3"/>
      <c r="Q18" s="1306"/>
      <c r="R18" s="1307"/>
      <c r="S18" s="1308"/>
      <c r="T18" s="1307"/>
      <c r="U18" s="1308"/>
      <c r="V18" s="1307"/>
      <c r="W18" s="1308"/>
      <c r="X18" s="1302"/>
      <c r="Y18" s="3633"/>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3"/>
      <c r="Q19" s="1306" t="str">
        <f>B19</f>
        <v>交通便捷度</v>
      </c>
      <c r="R19" s="1307" t="s">
        <v>5</v>
      </c>
      <c r="S19" s="1308">
        <f>F19</f>
        <v>100</v>
      </c>
      <c r="T19" s="1307" t="s">
        <v>5</v>
      </c>
      <c r="U19" s="1308">
        <f>H19</f>
        <v>100</v>
      </c>
      <c r="V19" s="1307" t="s">
        <v>5</v>
      </c>
      <c r="W19" s="1308">
        <f>J19</f>
        <v>100</v>
      </c>
      <c r="X19" s="1302"/>
      <c r="Y19" s="3633"/>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33"/>
      <c r="Q20" s="1306"/>
      <c r="R20" s="1307"/>
      <c r="S20" s="1308"/>
      <c r="T20" s="1307"/>
      <c r="U20" s="1308"/>
      <c r="V20" s="1307"/>
      <c r="W20" s="1308"/>
      <c r="X20" s="1302"/>
      <c r="Y20" s="3633"/>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33"/>
      <c r="Q21" s="1306" t="str">
        <f t="shared" ref="Q21:Q35" si="8">B21</f>
        <v>区域土地利用方向</v>
      </c>
      <c r="R21" s="1307" t="s">
        <v>5</v>
      </c>
      <c r="S21" s="1308">
        <f>F21</f>
        <v>100</v>
      </c>
      <c r="T21" s="1307" t="s">
        <v>5</v>
      </c>
      <c r="U21" s="1308">
        <f>H21</f>
        <v>100</v>
      </c>
      <c r="V21" s="1307" t="s">
        <v>5</v>
      </c>
      <c r="W21" s="1308">
        <f>J21</f>
        <v>100</v>
      </c>
      <c r="X21" s="1302"/>
      <c r="Y21" s="363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33"/>
      <c r="Q22" s="1306"/>
      <c r="R22" s="1307"/>
      <c r="S22" s="1308"/>
      <c r="T22" s="1307"/>
      <c r="U22" s="1308"/>
      <c r="V22" s="1307"/>
      <c r="W22" s="1308"/>
      <c r="X22" s="1302"/>
      <c r="Y22" s="3633"/>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3"/>
      <c r="Q23" s="1306" t="str">
        <f t="shared" si="8"/>
        <v>环境状况</v>
      </c>
      <c r="R23" s="1307" t="s">
        <v>5</v>
      </c>
      <c r="S23" s="1308">
        <f>F23</f>
        <v>100</v>
      </c>
      <c r="T23" s="1307" t="s">
        <v>5</v>
      </c>
      <c r="U23" s="1308">
        <f>H23</f>
        <v>100</v>
      </c>
      <c r="V23" s="1307" t="s">
        <v>5</v>
      </c>
      <c r="W23" s="1308">
        <f>J23</f>
        <v>100</v>
      </c>
      <c r="X23" s="1302"/>
      <c r="Y23" s="363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3"/>
      <c r="Q24" s="1306"/>
      <c r="R24" s="1307"/>
      <c r="S24" s="1308"/>
      <c r="T24" s="1307"/>
      <c r="U24" s="1308"/>
      <c r="V24" s="1307"/>
      <c r="W24" s="1308"/>
      <c r="X24" s="1302"/>
      <c r="Y24" s="3633"/>
      <c r="Z24" s="1309"/>
      <c r="AA24" s="1309">
        <v>1</v>
      </c>
      <c r="AB24" s="1309">
        <v>1</v>
      </c>
      <c r="AC24" s="1309">
        <v>1</v>
      </c>
    </row>
    <row r="25" spans="1:29" s="1059"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3"/>
      <c r="Q25" s="817" t="str">
        <f t="shared" si="8"/>
        <v>公共配套设施</v>
      </c>
      <c r="R25" s="1303" t="s">
        <v>5</v>
      </c>
      <c r="S25" s="1304">
        <f>F25</f>
        <v>100</v>
      </c>
      <c r="T25" s="1303" t="s">
        <v>5</v>
      </c>
      <c r="U25" s="1304">
        <f>H25</f>
        <v>100</v>
      </c>
      <c r="V25" s="1303" t="s">
        <v>5</v>
      </c>
      <c r="W25" s="1304">
        <f>J25</f>
        <v>100</v>
      </c>
      <c r="X25" s="1305"/>
      <c r="Y25" s="3633"/>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33"/>
      <c r="Q26" s="817"/>
      <c r="R26" s="1303"/>
      <c r="S26" s="1304"/>
      <c r="T26" s="1303"/>
      <c r="U26" s="1304"/>
      <c r="V26" s="1303"/>
      <c r="W26" s="1304"/>
      <c r="X26" s="1305"/>
      <c r="Y26" s="3633"/>
      <c r="Z26" s="996"/>
      <c r="AA26" s="996">
        <v>1</v>
      </c>
      <c r="AB26" s="996">
        <v>1</v>
      </c>
      <c r="AC26" s="996">
        <v>1</v>
      </c>
    </row>
    <row r="27" spans="1:29" s="1059"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3"/>
      <c r="Q27" s="817" t="str">
        <f>B27</f>
        <v>基础设施水平</v>
      </c>
      <c r="R27" s="1303" t="s">
        <v>5</v>
      </c>
      <c r="S27" s="1304">
        <f>F27</f>
        <v>100</v>
      </c>
      <c r="T27" s="1303" t="s">
        <v>5</v>
      </c>
      <c r="U27" s="1304">
        <f>H27</f>
        <v>100</v>
      </c>
      <c r="V27" s="1303" t="s">
        <v>5</v>
      </c>
      <c r="W27" s="1304">
        <f>J27</f>
        <v>100</v>
      </c>
      <c r="X27" s="1305"/>
      <c r="Y27" s="3633"/>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33"/>
      <c r="Q28" s="817"/>
      <c r="R28" s="1303"/>
      <c r="S28" s="1304"/>
      <c r="T28" s="1303"/>
      <c r="U28" s="1304"/>
      <c r="V28" s="1303"/>
      <c r="W28" s="1304"/>
      <c r="X28" s="1305"/>
      <c r="Y28" s="3633"/>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3"/>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3"/>
      <c r="Q30" s="1306" t="str">
        <f t="shared" si="8"/>
        <v>毗邻道路的类型与等级</v>
      </c>
      <c r="R30" s="1307" t="s">
        <v>5</v>
      </c>
      <c r="S30" s="1308">
        <f t="shared" si="9"/>
        <v>100</v>
      </c>
      <c r="T30" s="1307" t="s">
        <v>5</v>
      </c>
      <c r="U30" s="1308">
        <f t="shared" si="10"/>
        <v>100</v>
      </c>
      <c r="V30" s="1307" t="s">
        <v>5</v>
      </c>
      <c r="W30" s="1308">
        <f t="shared" si="11"/>
        <v>100</v>
      </c>
      <c r="X30" s="1302"/>
      <c r="Y30" s="363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3"/>
      <c r="Q31" s="1306"/>
      <c r="R31" s="1307"/>
      <c r="S31" s="1308"/>
      <c r="T31" s="1307"/>
      <c r="U31" s="1308"/>
      <c r="V31" s="1307"/>
      <c r="W31" s="1308"/>
      <c r="X31" s="1302"/>
      <c r="Y31" s="363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3"/>
      <c r="Q32" s="1306" t="str">
        <f t="shared" si="8"/>
        <v>土地级别</v>
      </c>
      <c r="R32" s="1307" t="s">
        <v>5</v>
      </c>
      <c r="S32" s="1308">
        <f t="shared" si="9"/>
        <v>100</v>
      </c>
      <c r="T32" s="1307" t="s">
        <v>5</v>
      </c>
      <c r="U32" s="1308">
        <f t="shared" si="10"/>
        <v>100</v>
      </c>
      <c r="V32" s="1307" t="s">
        <v>5</v>
      </c>
      <c r="W32" s="1308">
        <f t="shared" si="11"/>
        <v>100</v>
      </c>
      <c r="X32" s="1302"/>
      <c r="Y32" s="363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3"/>
      <c r="Q33" s="1306">
        <f t="shared" si="8"/>
        <v>111</v>
      </c>
      <c r="R33" s="1307" t="s">
        <v>5</v>
      </c>
      <c r="S33" s="1308">
        <f t="shared" si="9"/>
        <v>100</v>
      </c>
      <c r="T33" s="1307" t="s">
        <v>5</v>
      </c>
      <c r="U33" s="1308">
        <f t="shared" si="10"/>
        <v>100</v>
      </c>
      <c r="V33" s="1307" t="s">
        <v>5</v>
      </c>
      <c r="W33" s="1308">
        <f t="shared" si="11"/>
        <v>100</v>
      </c>
      <c r="X33" s="1302"/>
      <c r="Y33" s="363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4" t="s">
        <v>499</v>
      </c>
      <c r="Q34" s="1306">
        <f t="shared" si="8"/>
        <v>111</v>
      </c>
      <c r="R34" s="1307" t="s">
        <v>5</v>
      </c>
      <c r="S34" s="1308">
        <f t="shared" si="9"/>
        <v>100</v>
      </c>
      <c r="T34" s="1307" t="s">
        <v>5</v>
      </c>
      <c r="U34" s="1308">
        <f t="shared" si="10"/>
        <v>100</v>
      </c>
      <c r="V34" s="1307" t="s">
        <v>5</v>
      </c>
      <c r="W34" s="1308">
        <f t="shared" si="11"/>
        <v>100</v>
      </c>
      <c r="X34" s="1302"/>
      <c r="Y34" s="3635"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5"/>
      <c r="Q35" s="1306">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5"/>
      <c r="Q36" s="1306" t="str">
        <f>B36</f>
        <v>宗地面积</v>
      </c>
      <c r="R36" s="1307" t="s">
        <v>5</v>
      </c>
      <c r="S36" s="1308" t="e">
        <f t="shared" si="9"/>
        <v>#N/A</v>
      </c>
      <c r="T36" s="1307" t="s">
        <v>5</v>
      </c>
      <c r="U36" s="1308" t="e">
        <f t="shared" si="10"/>
        <v>#N/A</v>
      </c>
      <c r="V36" s="1307" t="s">
        <v>5</v>
      </c>
      <c r="W36" s="1308" t="e">
        <f t="shared" si="11"/>
        <v>#N/A</v>
      </c>
      <c r="X36" s="1302"/>
      <c r="Y36" s="363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5"/>
      <c r="Q37" s="1306" t="str">
        <f t="shared" ref="Q37:Q42" si="13">B37</f>
        <v>宗地形状</v>
      </c>
      <c r="R37" s="1307" t="s">
        <v>5</v>
      </c>
      <c r="S37" s="1308">
        <f t="shared" si="9"/>
        <v>100</v>
      </c>
      <c r="T37" s="1307" t="s">
        <v>5</v>
      </c>
      <c r="U37" s="1308">
        <f t="shared" si="10"/>
        <v>100</v>
      </c>
      <c r="V37" s="1307" t="s">
        <v>5</v>
      </c>
      <c r="W37" s="1308">
        <f t="shared" si="11"/>
        <v>100</v>
      </c>
      <c r="X37" s="1302"/>
      <c r="Y37" s="3635"/>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5"/>
      <c r="Q38" s="1306" t="str">
        <f t="shared" si="13"/>
        <v>宗地开发程度</v>
      </c>
      <c r="R38" s="1303" t="s">
        <v>5</v>
      </c>
      <c r="S38" s="1304">
        <f t="shared" si="9"/>
        <v>100</v>
      </c>
      <c r="T38" s="1303" t="s">
        <v>5</v>
      </c>
      <c r="U38" s="1304">
        <f t="shared" si="10"/>
        <v>100</v>
      </c>
      <c r="V38" s="1303" t="s">
        <v>5</v>
      </c>
      <c r="W38" s="1304">
        <f t="shared" si="11"/>
        <v>100</v>
      </c>
      <c r="X38" s="1305"/>
      <c r="Y38" s="3635"/>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5" t="s">
        <v>549</v>
      </c>
      <c r="Q39" s="1306" t="str">
        <f t="shared" si="13"/>
        <v>工程地质条件</v>
      </c>
      <c r="R39" s="1307" t="s">
        <v>5</v>
      </c>
      <c r="S39" s="1308">
        <f t="shared" si="9"/>
        <v>100</v>
      </c>
      <c r="T39" s="1307" t="s">
        <v>5</v>
      </c>
      <c r="U39" s="1308">
        <f t="shared" si="10"/>
        <v>100</v>
      </c>
      <c r="V39" s="1307" t="s">
        <v>5</v>
      </c>
      <c r="W39" s="1308">
        <f t="shared" si="11"/>
        <v>100</v>
      </c>
      <c r="X39" s="1302"/>
      <c r="Y39" s="363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5"/>
      <c r="Q40" s="1306">
        <f t="shared" si="13"/>
        <v>111</v>
      </c>
      <c r="R40" s="1307" t="s">
        <v>5</v>
      </c>
      <c r="S40" s="1308">
        <f t="shared" si="9"/>
        <v>100</v>
      </c>
      <c r="T40" s="1307" t="s">
        <v>5</v>
      </c>
      <c r="U40" s="1308">
        <f t="shared" si="10"/>
        <v>100</v>
      </c>
      <c r="V40" s="1307" t="s">
        <v>5</v>
      </c>
      <c r="W40" s="1308">
        <f t="shared" si="11"/>
        <v>100</v>
      </c>
      <c r="X40" s="1302"/>
      <c r="Y40" s="363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5"/>
      <c r="Q41" s="1306">
        <f t="shared" si="13"/>
        <v>111</v>
      </c>
      <c r="R41" s="1307" t="s">
        <v>5</v>
      </c>
      <c r="S41" s="1308">
        <f t="shared" si="9"/>
        <v>100</v>
      </c>
      <c r="T41" s="1307" t="s">
        <v>5</v>
      </c>
      <c r="U41" s="1308">
        <f t="shared" si="10"/>
        <v>100</v>
      </c>
      <c r="V41" s="1307" t="s">
        <v>5</v>
      </c>
      <c r="W41" s="1308">
        <f t="shared" si="11"/>
        <v>100</v>
      </c>
      <c r="X41" s="1302"/>
      <c r="Y41" s="3635"/>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5"/>
      <c r="Q42" s="1306">
        <f t="shared" si="13"/>
        <v>111</v>
      </c>
      <c r="R42" s="1310" t="s">
        <v>5</v>
      </c>
      <c r="S42" s="1311">
        <f t="shared" si="9"/>
        <v>100</v>
      </c>
      <c r="T42" s="1310" t="s">
        <v>5</v>
      </c>
      <c r="U42" s="1311">
        <f t="shared" si="10"/>
        <v>100</v>
      </c>
      <c r="V42" s="1310" t="s">
        <v>5</v>
      </c>
      <c r="W42" s="1311">
        <f t="shared" si="11"/>
        <v>100</v>
      </c>
      <c r="X42" s="1312"/>
      <c r="Y42" s="3635"/>
      <c r="Z42" s="1313">
        <f t="shared" si="12"/>
        <v>111</v>
      </c>
      <c r="AA42" s="1309">
        <f t="shared" si="3"/>
        <v>1</v>
      </c>
      <c r="AB42" s="1309">
        <f t="shared" si="4"/>
        <v>1</v>
      </c>
      <c r="AC42" s="1309">
        <f t="shared" si="5"/>
        <v>1</v>
      </c>
    </row>
    <row r="43" spans="1:29" ht="15">
      <c r="A43" s="556" t="s">
        <v>505</v>
      </c>
      <c r="B43" s="557" t="s">
        <v>2197</v>
      </c>
      <c r="C43" s="558" t="s">
        <v>0</v>
      </c>
      <c r="D43" s="559"/>
      <c r="E43" s="560"/>
      <c r="F43" s="561"/>
      <c r="G43" s="562"/>
      <c r="H43" s="563"/>
      <c r="I43" s="560"/>
      <c r="J43" s="563"/>
      <c r="K43" s="1134"/>
      <c r="L43" s="1751"/>
      <c r="M43" s="1742"/>
      <c r="N43" s="1742"/>
      <c r="O43" s="1742"/>
      <c r="P43" s="3630" t="str">
        <f>A43</f>
        <v>成交单价</v>
      </c>
      <c r="Q43" s="3630"/>
      <c r="R43" s="3631">
        <f>E43</f>
        <v>0</v>
      </c>
      <c r="S43" s="3631"/>
      <c r="T43" s="3631">
        <f>G43</f>
        <v>0</v>
      </c>
      <c r="U43" s="3631"/>
      <c r="V43" s="3631">
        <f>I43</f>
        <v>0</v>
      </c>
      <c r="W43" s="3631"/>
      <c r="X43" s="799"/>
      <c r="Y43" s="1314"/>
      <c r="Z43" s="799"/>
      <c r="AA43" s="799"/>
      <c r="AB43" s="799"/>
      <c r="AC43" s="799"/>
    </row>
    <row r="44" spans="1:29" ht="15.75" thickBot="1">
      <c r="A44" s="564" t="s">
        <v>1975</v>
      </c>
      <c r="B44" s="565"/>
      <c r="C44" s="566" t="e">
        <f>R45</f>
        <v>#DIV/0!</v>
      </c>
      <c r="D44" s="2550" t="s">
        <v>2261</v>
      </c>
      <c r="E44" s="566" t="e">
        <f>R44</f>
        <v>#DIV/0!</v>
      </c>
      <c r="F44" s="2551"/>
      <c r="G44" s="567" t="e">
        <f>T44</f>
        <v>#DIV/0!</v>
      </c>
      <c r="H44" s="2551"/>
      <c r="I44" s="566" t="e">
        <f>V44</f>
        <v>#DIV/0!</v>
      </c>
      <c r="J44" s="2551"/>
      <c r="K44" s="2552">
        <f>F44+H44+J44</f>
        <v>0</v>
      </c>
      <c r="L44" s="1751"/>
      <c r="M44" s="1742"/>
      <c r="N44" s="1742"/>
      <c r="O44" s="1742"/>
      <c r="P44" s="3630" t="str">
        <f>A44</f>
        <v>比较价格（元/平方米）</v>
      </c>
      <c r="Q44" s="3630"/>
      <c r="R44" s="3678" t="e">
        <f>ROUND(PRODUCT(R43,AA9:AA42),0)</f>
        <v>#DIV/0!</v>
      </c>
      <c r="S44" s="3678"/>
      <c r="T44" s="3678" t="e">
        <f>ROUND(PRODUCT(T43,AB9:AB42),0)</f>
        <v>#DIV/0!</v>
      </c>
      <c r="U44" s="3678"/>
      <c r="V44" s="3678" t="e">
        <f>ROUND(PRODUCT(V43,AC9:AC42),0)</f>
        <v>#DIV/0!</v>
      </c>
      <c r="W44" s="3678"/>
      <c r="X44" s="799"/>
      <c r="Y44" s="799"/>
      <c r="Z44" s="799"/>
      <c r="AA44" s="799"/>
      <c r="AB44" s="799"/>
      <c r="AC44" s="799"/>
    </row>
    <row r="45" spans="1:29" ht="15.75" thickBot="1">
      <c r="A45" s="568" t="s">
        <v>2198</v>
      </c>
      <c r="B45" s="569"/>
      <c r="C45" s="570" t="e">
        <f>R45</f>
        <v>#DIV/0!</v>
      </c>
      <c r="D45" s="570"/>
      <c r="E45" s="570"/>
      <c r="F45" s="570"/>
      <c r="G45" s="570"/>
      <c r="H45" s="570"/>
      <c r="I45" s="570"/>
      <c r="J45" s="570"/>
      <c r="K45" s="1135"/>
      <c r="L45" s="1751"/>
      <c r="M45" s="1742"/>
      <c r="N45" s="1742"/>
      <c r="O45" s="1742"/>
      <c r="P45" s="3627" t="str">
        <f>A45</f>
        <v>估价对象XX用房的比较价格（楼面单价，元/平方米）</v>
      </c>
      <c r="Q45" s="3628"/>
      <c r="R45" s="3689" t="e">
        <f>ROUND(IF(D44="简单平均",AVERAGE(R44:W44),R44*F44+T44*H44+V44*J44),0)</f>
        <v>#DIV/0!</v>
      </c>
      <c r="S45" s="3689"/>
      <c r="T45" s="3689"/>
      <c r="U45" s="3689"/>
      <c r="V45" s="3689"/>
      <c r="W45" s="3689"/>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85" t="s">
        <v>1642</v>
      </c>
      <c r="H52" s="368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604.25</v>
      </c>
      <c r="F53" s="1609" t="e">
        <f t="shared" ref="F53:F61" si="14">ROUND(B53*E53/10000,0)</f>
        <v>#DIV/0!</v>
      </c>
      <c r="G53" s="3687"/>
      <c r="H53" s="3688"/>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337.34</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0.15</v>
      </c>
      <c r="D59" s="1823">
        <v>0.25</v>
      </c>
      <c r="E59" s="588">
        <f>'数据-汇总表'!E13</f>
        <v>0</v>
      </c>
      <c r="F59" s="1609" t="e">
        <f t="shared" si="14"/>
        <v>#DIV/0!</v>
      </c>
      <c r="G59" s="1605" t="s">
        <v>851</v>
      </c>
      <c r="H59" s="1613" t="str">
        <f>IF(G59="商业",项目基本情况!B43,IF(G59="办公",项目基本情况!C43,IF(G59="住宅",项目基本情况!D43,项目基本情况!E43)))</f>
        <v>六级</v>
      </c>
      <c r="I59" s="1612">
        <f>SUMIF(修正!$A$57:$A$68,H59,修正!G57:G68)</f>
        <v>0.15</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659.99</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2024-12-1</v>
      </c>
      <c r="D64" s="2111">
        <f>EDATE(C64,-3)</f>
        <v>45536</v>
      </c>
      <c r="E64" s="2111">
        <f t="shared" ref="E64:N64" si="17">EDATE(D64,-3)</f>
        <v>45444</v>
      </c>
      <c r="F64" s="2111">
        <f t="shared" si="17"/>
        <v>45352</v>
      </c>
      <c r="G64" s="2111">
        <f t="shared" si="17"/>
        <v>45261</v>
      </c>
      <c r="H64" s="2111">
        <f t="shared" si="17"/>
        <v>45170</v>
      </c>
      <c r="I64" s="2111">
        <f t="shared" si="17"/>
        <v>45078</v>
      </c>
      <c r="J64" s="2111">
        <f t="shared" si="17"/>
        <v>44986</v>
      </c>
      <c r="K64" s="2111">
        <f t="shared" si="17"/>
        <v>44896</v>
      </c>
      <c r="L64" s="2111">
        <f t="shared" si="17"/>
        <v>44805</v>
      </c>
      <c r="M64" s="2111">
        <f t="shared" si="17"/>
        <v>44713</v>
      </c>
      <c r="N64" s="2111">
        <f t="shared" si="17"/>
        <v>44621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00" priority="13" stopIfTrue="1">
      <formula>$F$48="超过30%"</formula>
    </cfRule>
  </conditionalFormatting>
  <conditionalFormatting sqref="E49">
    <cfRule type="expression" dxfId="99" priority="51" stopIfTrue="1">
      <formula>#REF!+$F$49="超过20%"</formula>
    </cfRule>
  </conditionalFormatting>
  <conditionalFormatting sqref="E50">
    <cfRule type="expression" dxfId="98" priority="10" stopIfTrue="1">
      <formula>$F$50="超过30%"</formula>
    </cfRule>
  </conditionalFormatting>
  <conditionalFormatting sqref="F9:F42 H9:H42 J9:J42">
    <cfRule type="cellIs" dxfId="97" priority="1" operator="notEqual">
      <formula>100</formula>
    </cfRule>
  </conditionalFormatting>
  <conditionalFormatting sqref="F44">
    <cfRule type="expression" dxfId="96" priority="4">
      <formula>$D$44="简单平均"</formula>
    </cfRule>
  </conditionalFormatting>
  <conditionalFormatting sqref="F48:F50 H48:H50 J48:J50">
    <cfRule type="containsText" dxfId="95" priority="14" stopIfTrue="1" operator="containsText" text="超过">
      <formula>NOT(ISERROR(SEARCH("超过",F48)))</formula>
    </cfRule>
  </conditionalFormatting>
  <conditionalFormatting sqref="G48">
    <cfRule type="expression" dxfId="94" priority="9" stopIfTrue="1">
      <formula>$H$48="超过30%"</formula>
    </cfRule>
  </conditionalFormatting>
  <conditionalFormatting sqref="G49">
    <cfRule type="expression" dxfId="93" priority="8" stopIfTrue="1">
      <formula>$H$49="超过20%"</formula>
    </cfRule>
  </conditionalFormatting>
  <conditionalFormatting sqref="G50">
    <cfRule type="expression" dxfId="92" priority="12" stopIfTrue="1">
      <formula>$H$50="超过30%"</formula>
    </cfRule>
  </conditionalFormatting>
  <conditionalFormatting sqref="H44">
    <cfRule type="expression" dxfId="91" priority="3">
      <formula>$D$44="简单平均"</formula>
    </cfRule>
  </conditionalFormatting>
  <conditionalFormatting sqref="I48">
    <cfRule type="expression" dxfId="90" priority="7" stopIfTrue="1">
      <formula>$J$48="超过30%"</formula>
    </cfRule>
  </conditionalFormatting>
  <conditionalFormatting sqref="I49">
    <cfRule type="expression" dxfId="89" priority="6" stopIfTrue="1">
      <formula>$J$49="超过20%"</formula>
    </cfRule>
  </conditionalFormatting>
  <conditionalFormatting sqref="I50">
    <cfRule type="expression" dxfId="88" priority="5" stopIfTrue="1">
      <formula>$J$50="超过30%"</formula>
    </cfRule>
  </conditionalFormatting>
  <conditionalFormatting sqref="J44">
    <cfRule type="expression" dxfId="87" priority="2">
      <formula>$D$44="简单平均"</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8" xr:uid="{00000000-0002-0000-1B00-00000A000000}">
      <formula1>"商业,办公,住宅,工业"</formula1>
    </dataValidation>
    <dataValidation type="list" allowBlank="1" showInputMessage="1" showErrorMessage="1" sqref="G59" xr:uid="{00000000-0002-0000-1B00-00000B000000}">
      <formula1>"住宅,工业"</formula1>
    </dataValidation>
    <dataValidation type="list" allowBlank="1" showInputMessage="1" showErrorMessage="1" sqref="C18 E18 G18 I18" xr:uid="{00000000-0002-0000-1B00-00000C000000}">
      <formula1>产业集聚程度</formula1>
    </dataValidation>
    <dataValidation type="list" allowBlank="1" showInputMessage="1" showErrorMessage="1" sqref="C28 E28 G28 I28" xr:uid="{00000000-0002-0000-1B00-00000D000000}">
      <formula1>基础设施水平</formula1>
    </dataValidation>
    <dataValidation type="list" allowBlank="1" showInputMessage="1" showErrorMessage="1" sqref="C31 E31 G31 I31" xr:uid="{00000000-0002-0000-1B00-00000E000000}">
      <formula1>套工临街等级</formula1>
    </dataValidation>
    <dataValidation type="list" allowBlank="1" showInputMessage="1" showErrorMessage="1" sqref="C37 E37 G37 I37" xr:uid="{00000000-0002-0000-1B00-00000F000000}">
      <formula1>套工宗地形状</formula1>
    </dataValidation>
    <dataValidation type="list" allowBlank="1" showInputMessage="1" showErrorMessage="1" sqref="C38 E38 G38 I38" xr:uid="{00000000-0002-0000-1B00-000010000000}">
      <formula1>套工开发程度</formula1>
    </dataValidation>
    <dataValidation type="list" allowBlank="1" showInputMessage="1" showErrorMessage="1" sqref="C39 E39 G39 I39" xr:uid="{00000000-0002-0000-1B00-000011000000}">
      <formula1>套工工程地质条件</formula1>
    </dataValidation>
    <dataValidation type="list" allowBlank="1" showInputMessage="1" showErrorMessage="1" sqref="D44" xr:uid="{00000000-0002-0000-1B00-000012000000}">
      <formula1>"简单平均,加权平均"</formula1>
    </dataValidation>
    <dataValidation type="list" allowBlank="1" showInputMessage="1" showErrorMessage="1" sqref="D54:D61" xr:uid="{00000000-0002-0000-1B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2762</v>
      </c>
      <c r="B1" s="962" t="s">
        <v>990</v>
      </c>
      <c r="C1" s="962" t="s">
        <v>1031</v>
      </c>
      <c r="D1" s="962" t="s">
        <v>1145</v>
      </c>
      <c r="E1" s="962" t="s">
        <v>853</v>
      </c>
      <c r="F1" s="962" t="s">
        <v>1152</v>
      </c>
      <c r="G1" s="962" t="s">
        <v>1153</v>
      </c>
      <c r="H1" s="962" t="s">
        <v>1154</v>
      </c>
      <c r="I1" s="962" t="s">
        <v>1155</v>
      </c>
      <c r="J1" s="962" t="s">
        <v>1156</v>
      </c>
      <c r="K1" s="962" t="s">
        <v>1157</v>
      </c>
      <c r="L1" s="962" t="s">
        <v>2763</v>
      </c>
      <c r="M1" s="963" t="s">
        <v>2764</v>
      </c>
    </row>
    <row r="2" spans="1:13">
      <c r="A2" s="2985" t="s">
        <v>2739</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2765</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2737</v>
      </c>
      <c r="B7" s="2999">
        <v>2.5</v>
      </c>
      <c r="C7" s="2999">
        <v>2.5</v>
      </c>
      <c r="D7" s="2999">
        <v>2</v>
      </c>
      <c r="E7" s="2999">
        <v>2</v>
      </c>
      <c r="F7" s="2999">
        <v>2</v>
      </c>
      <c r="G7" s="2999">
        <v>2</v>
      </c>
      <c r="H7" s="2999">
        <v>2</v>
      </c>
      <c r="I7" s="3000">
        <v>1.5</v>
      </c>
      <c r="J7" s="3000">
        <v>1.5</v>
      </c>
      <c r="K7" s="3000">
        <v>1.5</v>
      </c>
      <c r="L7" s="3000">
        <v>1.5</v>
      </c>
      <c r="M7" s="3001">
        <v>1.5</v>
      </c>
    </row>
    <row r="8" spans="1:13">
      <c r="A8" s="975" t="s">
        <v>2766</v>
      </c>
      <c r="B8" s="3002">
        <v>80</v>
      </c>
      <c r="C8" s="3002">
        <v>80</v>
      </c>
      <c r="D8" s="3002">
        <v>70</v>
      </c>
      <c r="E8" s="3002">
        <v>70</v>
      </c>
      <c r="F8" s="3002">
        <v>70</v>
      </c>
      <c r="G8" s="3002">
        <v>70</v>
      </c>
      <c r="H8" s="3002">
        <v>70</v>
      </c>
      <c r="I8" s="3002">
        <v>60</v>
      </c>
      <c r="J8" s="3002">
        <v>60</v>
      </c>
      <c r="K8" s="3002">
        <v>60</v>
      </c>
      <c r="L8" s="3002">
        <v>60</v>
      </c>
      <c r="M8" s="3003">
        <v>60</v>
      </c>
    </row>
    <row r="9" spans="1:13">
      <c r="A9" s="958" t="s">
        <v>2767</v>
      </c>
      <c r="B9" s="3004">
        <v>70</v>
      </c>
      <c r="C9" s="3004">
        <v>70</v>
      </c>
      <c r="D9" s="3004">
        <v>60</v>
      </c>
      <c r="E9" s="3004">
        <v>60</v>
      </c>
      <c r="F9" s="3004">
        <v>60</v>
      </c>
      <c r="G9" s="3004">
        <v>60</v>
      </c>
      <c r="H9" s="3004">
        <v>60</v>
      </c>
      <c r="I9" s="3004">
        <v>50</v>
      </c>
      <c r="J9" s="3004">
        <v>50</v>
      </c>
      <c r="K9" s="3004">
        <v>50</v>
      </c>
      <c r="L9" s="3004">
        <v>50</v>
      </c>
      <c r="M9" s="3005">
        <v>50</v>
      </c>
    </row>
    <row r="10" spans="1:13">
      <c r="A10" s="958" t="s">
        <v>2768</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2769</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2770</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2771</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2772</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2773</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2456</v>
      </c>
      <c r="B19" s="3008" t="s">
        <v>2457</v>
      </c>
      <c r="C19" s="3009" t="s">
        <v>2458</v>
      </c>
      <c r="D19" s="3010"/>
      <c r="E19" s="3004" t="s">
        <v>2459</v>
      </c>
      <c r="F19" s="981"/>
      <c r="G19" s="981"/>
    </row>
    <row r="20" spans="1:13">
      <c r="A20" s="3690" t="s">
        <v>2450</v>
      </c>
      <c r="B20" s="3693" t="s">
        <v>2460</v>
      </c>
      <c r="C20" s="3011" t="s">
        <v>2461</v>
      </c>
      <c r="D20" s="3012"/>
      <c r="E20" s="3013">
        <v>1</v>
      </c>
      <c r="F20" s="3014" t="s">
        <v>2462</v>
      </c>
      <c r="G20" s="983"/>
    </row>
    <row r="21" spans="1:13">
      <c r="A21" s="3691"/>
      <c r="B21" s="3694"/>
      <c r="C21" s="3015" t="s">
        <v>2463</v>
      </c>
      <c r="D21" s="3016"/>
      <c r="E21" s="3017">
        <v>1</v>
      </c>
      <c r="F21" s="3014" t="s">
        <v>2464</v>
      </c>
      <c r="G21" s="983"/>
    </row>
    <row r="22" spans="1:13">
      <c r="A22" s="3691"/>
      <c r="B22" s="3694"/>
      <c r="C22" s="3015" t="s">
        <v>2465</v>
      </c>
      <c r="D22" s="3016"/>
      <c r="E22" s="3017">
        <v>0.9</v>
      </c>
      <c r="F22" s="3014" t="s">
        <v>2466</v>
      </c>
      <c r="G22" s="983"/>
    </row>
    <row r="23" spans="1:13">
      <c r="A23" s="3691"/>
      <c r="B23" s="3694"/>
      <c r="C23" s="3015" t="s">
        <v>2467</v>
      </c>
      <c r="D23" s="3016"/>
      <c r="E23" s="3017">
        <v>0.9</v>
      </c>
      <c r="F23" s="3014" t="s">
        <v>2468</v>
      </c>
      <c r="G23" s="983"/>
    </row>
    <row r="24" spans="1:13">
      <c r="A24" s="3691"/>
      <c r="B24" s="3694"/>
      <c r="C24" s="3015" t="s">
        <v>2469</v>
      </c>
      <c r="D24" s="3016"/>
      <c r="E24" s="3017">
        <v>0.8</v>
      </c>
      <c r="F24" s="3014" t="s">
        <v>2470</v>
      </c>
      <c r="G24" s="983"/>
    </row>
    <row r="25" spans="1:13" ht="14.25" thickBot="1">
      <c r="A25" s="3692"/>
      <c r="B25" s="3695"/>
      <c r="C25" s="3018" t="s">
        <v>2471</v>
      </c>
      <c r="D25" s="3019"/>
      <c r="E25" s="3020">
        <v>0.8</v>
      </c>
      <c r="F25" s="3014" t="s">
        <v>2472</v>
      </c>
      <c r="G25" s="983"/>
    </row>
    <row r="26" spans="1:13" ht="14.25" thickBot="1">
      <c r="A26" s="3021" t="s">
        <v>2451</v>
      </c>
      <c r="B26" s="3022" t="s">
        <v>2460</v>
      </c>
      <c r="C26" s="3023" t="s">
        <v>2473</v>
      </c>
      <c r="D26" s="3024"/>
      <c r="E26" s="3025">
        <v>1</v>
      </c>
      <c r="F26" s="3014" t="s">
        <v>2474</v>
      </c>
      <c r="G26" s="983"/>
    </row>
    <row r="27" spans="1:13">
      <c r="A27" s="3696" t="s">
        <v>2455</v>
      </c>
      <c r="B27" s="3693" t="s">
        <v>2455</v>
      </c>
      <c r="C27" s="3011" t="s">
        <v>2475</v>
      </c>
      <c r="D27" s="3012"/>
      <c r="E27" s="3013">
        <v>1</v>
      </c>
      <c r="F27" s="3014" t="s">
        <v>2476</v>
      </c>
      <c r="G27" s="983"/>
    </row>
    <row r="28" spans="1:13">
      <c r="A28" s="3697"/>
      <c r="B28" s="3694"/>
      <c r="C28" s="3015" t="s">
        <v>2477</v>
      </c>
      <c r="D28" s="3016"/>
      <c r="E28" s="3017">
        <v>1</v>
      </c>
      <c r="F28" s="3014" t="s">
        <v>2478</v>
      </c>
      <c r="G28" s="983"/>
    </row>
    <row r="29" spans="1:13">
      <c r="A29" s="3697"/>
      <c r="B29" s="3694"/>
      <c r="C29" s="3015" t="s">
        <v>2479</v>
      </c>
      <c r="D29" s="3016"/>
      <c r="E29" s="3017">
        <v>0.8</v>
      </c>
      <c r="F29" s="3014" t="s">
        <v>2480</v>
      </c>
      <c r="G29" s="983"/>
    </row>
    <row r="30" spans="1:13">
      <c r="A30" s="3697"/>
      <c r="B30" s="3694"/>
      <c r="C30" s="3015" t="s">
        <v>2481</v>
      </c>
      <c r="D30" s="3016"/>
      <c r="E30" s="3017">
        <v>0.8</v>
      </c>
      <c r="F30" s="3014" t="s">
        <v>2482</v>
      </c>
      <c r="G30" s="983"/>
    </row>
    <row r="31" spans="1:13">
      <c r="A31" s="3697"/>
      <c r="B31" s="3694"/>
      <c r="C31" s="3015" t="s">
        <v>2483</v>
      </c>
      <c r="D31" s="3016"/>
      <c r="E31" s="3017">
        <v>0.8</v>
      </c>
      <c r="F31" s="3014" t="s">
        <v>2484</v>
      </c>
      <c r="G31" s="983"/>
    </row>
    <row r="32" spans="1:13">
      <c r="A32" s="3697"/>
      <c r="B32" s="3694"/>
      <c r="C32" s="3015" t="s">
        <v>2485</v>
      </c>
      <c r="D32" s="3016"/>
      <c r="E32" s="3017">
        <v>0.7</v>
      </c>
      <c r="F32" s="3014" t="s">
        <v>2486</v>
      </c>
      <c r="G32" s="983"/>
    </row>
    <row r="33" spans="1:7">
      <c r="A33" s="3697"/>
      <c r="B33" s="3694"/>
      <c r="C33" s="3015" t="s">
        <v>2487</v>
      </c>
      <c r="D33" s="3016"/>
      <c r="E33" s="3017">
        <v>0.8</v>
      </c>
      <c r="F33" s="3014" t="s">
        <v>2488</v>
      </c>
      <c r="G33" s="983"/>
    </row>
    <row r="34" spans="1:7">
      <c r="A34" s="3697"/>
      <c r="B34" s="3694"/>
      <c r="C34" s="3015" t="s">
        <v>2489</v>
      </c>
      <c r="D34" s="3016"/>
      <c r="E34" s="3017">
        <v>0.6</v>
      </c>
      <c r="F34" s="3014" t="s">
        <v>2490</v>
      </c>
      <c r="G34" s="983"/>
    </row>
    <row r="35" spans="1:7">
      <c r="A35" s="3697"/>
      <c r="B35" s="3694"/>
      <c r="C35" s="3015" t="s">
        <v>2491</v>
      </c>
      <c r="D35" s="3016"/>
      <c r="E35" s="3017">
        <v>0.2</v>
      </c>
      <c r="F35" s="3014" t="s">
        <v>2492</v>
      </c>
      <c r="G35" s="983"/>
    </row>
    <row r="36" spans="1:7">
      <c r="A36" s="3697"/>
      <c r="B36" s="3694"/>
      <c r="C36" s="3015" t="s">
        <v>2493</v>
      </c>
      <c r="D36" s="3016"/>
      <c r="E36" s="3017">
        <v>0.2</v>
      </c>
      <c r="F36" s="3014" t="s">
        <v>2494</v>
      </c>
      <c r="G36" s="983"/>
    </row>
    <row r="37" spans="1:7">
      <c r="A37" s="3697"/>
      <c r="B37" s="3699" t="s">
        <v>2495</v>
      </c>
      <c r="C37" s="3015" t="s">
        <v>2496</v>
      </c>
      <c r="D37" s="3016"/>
      <c r="E37" s="3017">
        <v>0.6</v>
      </c>
      <c r="F37" s="3014" t="s">
        <v>2497</v>
      </c>
      <c r="G37" s="983"/>
    </row>
    <row r="38" spans="1:7">
      <c r="A38" s="3697"/>
      <c r="B38" s="3694"/>
      <c r="C38" s="3015" t="s">
        <v>2498</v>
      </c>
      <c r="D38" s="3016"/>
      <c r="E38" s="3017">
        <v>0.6</v>
      </c>
      <c r="F38" s="3014" t="s">
        <v>2499</v>
      </c>
      <c r="G38" s="983"/>
    </row>
    <row r="39" spans="1:7" ht="14.25" thickBot="1">
      <c r="A39" s="3698"/>
      <c r="B39" s="3695"/>
      <c r="C39" s="3018" t="s">
        <v>2500</v>
      </c>
      <c r="D39" s="3019"/>
      <c r="E39" s="3020">
        <v>0.6</v>
      </c>
      <c r="F39" s="3014" t="s">
        <v>2501</v>
      </c>
      <c r="G39" s="983"/>
    </row>
    <row r="40" spans="1:7" ht="14.25" thickBot="1">
      <c r="A40" s="3021" t="s">
        <v>2452</v>
      </c>
      <c r="B40" s="3022" t="s">
        <v>2452</v>
      </c>
      <c r="C40" s="3023" t="s">
        <v>2502</v>
      </c>
      <c r="D40" s="3024"/>
      <c r="E40" s="3025">
        <v>1</v>
      </c>
      <c r="F40" s="3014" t="s">
        <v>2503</v>
      </c>
      <c r="G40" s="983"/>
    </row>
    <row r="41" spans="1:7">
      <c r="A41" s="3690" t="s">
        <v>2453</v>
      </c>
      <c r="B41" s="3693" t="s">
        <v>2504</v>
      </c>
      <c r="C41" s="3011" t="s">
        <v>2505</v>
      </c>
      <c r="D41" s="3012"/>
      <c r="E41" s="3013">
        <v>1</v>
      </c>
      <c r="F41" s="3014" t="s">
        <v>2506</v>
      </c>
      <c r="G41" s="983"/>
    </row>
    <row r="42" spans="1:7">
      <c r="A42" s="3691"/>
      <c r="B42" s="3694"/>
      <c r="C42" s="3015" t="s">
        <v>2507</v>
      </c>
      <c r="D42" s="3016"/>
      <c r="E42" s="3017">
        <v>1</v>
      </c>
      <c r="F42" s="3014" t="s">
        <v>2508</v>
      </c>
      <c r="G42" s="983"/>
    </row>
    <row r="43" spans="1:7">
      <c r="A43" s="3691"/>
      <c r="B43" s="3700"/>
      <c r="C43" s="3015" t="s">
        <v>2509</v>
      </c>
      <c r="D43" s="3016"/>
      <c r="E43" s="3017">
        <v>1.5</v>
      </c>
      <c r="F43" s="3014" t="s">
        <v>2510</v>
      </c>
      <c r="G43" s="983"/>
    </row>
    <row r="44" spans="1:7">
      <c r="A44" s="3691"/>
      <c r="B44" s="3026" t="s">
        <v>2455</v>
      </c>
      <c r="C44" s="3015" t="s">
        <v>2454</v>
      </c>
      <c r="D44" s="3016"/>
      <c r="E44" s="3017">
        <v>2</v>
      </c>
      <c r="F44" s="3014" t="s">
        <v>2511</v>
      </c>
      <c r="G44" s="983"/>
    </row>
    <row r="45" spans="1:7">
      <c r="A45" s="3691"/>
      <c r="B45" s="3699" t="s">
        <v>2512</v>
      </c>
      <c r="C45" s="3015" t="s">
        <v>2513</v>
      </c>
      <c r="D45" s="3016"/>
      <c r="E45" s="3017">
        <v>1</v>
      </c>
      <c r="F45" s="3014" t="s">
        <v>2514</v>
      </c>
      <c r="G45" s="983"/>
    </row>
    <row r="46" spans="1:7">
      <c r="A46" s="3691"/>
      <c r="B46" s="3694"/>
      <c r="C46" s="3015" t="s">
        <v>2515</v>
      </c>
      <c r="D46" s="3016"/>
      <c r="E46" s="3017">
        <v>1</v>
      </c>
      <c r="F46" s="3014" t="s">
        <v>2516</v>
      </c>
      <c r="G46" s="983"/>
    </row>
    <row r="47" spans="1:7">
      <c r="A47" s="3691"/>
      <c r="B47" s="3694"/>
      <c r="C47" s="3015" t="s">
        <v>2517</v>
      </c>
      <c r="D47" s="3016"/>
      <c r="E47" s="3017">
        <v>1</v>
      </c>
      <c r="F47" s="3014" t="s">
        <v>2518</v>
      </c>
      <c r="G47" s="983"/>
    </row>
    <row r="48" spans="1:7">
      <c r="A48" s="3691"/>
      <c r="B48" s="3694"/>
      <c r="C48" s="3015" t="s">
        <v>2519</v>
      </c>
      <c r="D48" s="3016"/>
      <c r="E48" s="3017">
        <v>1</v>
      </c>
      <c r="F48" s="3014" t="s">
        <v>2520</v>
      </c>
      <c r="G48" s="983"/>
    </row>
    <row r="49" spans="1:9">
      <c r="A49" s="3691"/>
      <c r="B49" s="3694"/>
      <c r="C49" s="3015" t="s">
        <v>2521</v>
      </c>
      <c r="D49" s="3016"/>
      <c r="E49" s="3017">
        <v>1</v>
      </c>
      <c r="F49" s="3014" t="s">
        <v>2522</v>
      </c>
      <c r="G49" s="983"/>
    </row>
    <row r="50" spans="1:9">
      <c r="A50" s="3691"/>
      <c r="B50" s="3694"/>
      <c r="C50" s="3015" t="s">
        <v>2523</v>
      </c>
      <c r="D50" s="3016"/>
      <c r="E50" s="3017">
        <v>1</v>
      </c>
      <c r="F50" s="3014" t="s">
        <v>2524</v>
      </c>
      <c r="G50" s="983"/>
    </row>
    <row r="51" spans="1:9" ht="14.25" thickBot="1">
      <c r="A51" s="3692"/>
      <c r="B51" s="3695"/>
      <c r="C51" s="3018" t="s">
        <v>2525</v>
      </c>
      <c r="D51" s="3019"/>
      <c r="E51" s="3020">
        <v>1</v>
      </c>
      <c r="F51" s="3014" t="s">
        <v>2526</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2775</v>
      </c>
      <c r="F56" s="980" t="s">
        <v>2775</v>
      </c>
      <c r="G56" s="980" t="s">
        <v>2775</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2527</v>
      </c>
      <c r="D72" s="999"/>
      <c r="E72" s="987" t="s">
        <v>1159</v>
      </c>
      <c r="F72" s="999" t="s">
        <v>1159</v>
      </c>
    </row>
    <row r="73" spans="1:8" s="973" customFormat="1">
      <c r="A73" s="3026">
        <v>1</v>
      </c>
      <c r="B73" s="3699" t="s">
        <v>2528</v>
      </c>
      <c r="C73" s="3004" t="s">
        <v>2529</v>
      </c>
      <c r="D73" s="3004" t="s">
        <v>2530</v>
      </c>
      <c r="E73" s="3027">
        <v>0.2</v>
      </c>
      <c r="F73" s="3026">
        <v>25</v>
      </c>
      <c r="H73" s="973">
        <f>SUMIF(C71:C139,基准地价!C8,E71:E139)</f>
        <v>0</v>
      </c>
    </row>
    <row r="74" spans="1:8" s="973" customFormat="1" ht="24">
      <c r="A74" s="3026">
        <v>2</v>
      </c>
      <c r="B74" s="3694"/>
      <c r="C74" s="3004" t="s">
        <v>2531</v>
      </c>
      <c r="D74" s="3004" t="s">
        <v>2532</v>
      </c>
      <c r="E74" s="3027">
        <v>0.2</v>
      </c>
      <c r="F74" s="3026">
        <v>25</v>
      </c>
    </row>
    <row r="75" spans="1:8" s="973" customFormat="1" ht="24">
      <c r="A75" s="3026">
        <v>3</v>
      </c>
      <c r="B75" s="3694"/>
      <c r="C75" s="3004" t="s">
        <v>2533</v>
      </c>
      <c r="D75" s="3004" t="s">
        <v>2534</v>
      </c>
      <c r="E75" s="3027">
        <v>0.2</v>
      </c>
      <c r="F75" s="3026">
        <v>25</v>
      </c>
    </row>
    <row r="76" spans="1:8" s="973" customFormat="1">
      <c r="A76" s="3026">
        <v>4</v>
      </c>
      <c r="B76" s="3694"/>
      <c r="C76" s="3004" t="s">
        <v>2535</v>
      </c>
      <c r="D76" s="3004" t="s">
        <v>2536</v>
      </c>
      <c r="E76" s="3027">
        <v>0.15</v>
      </c>
      <c r="F76" s="3026">
        <v>20</v>
      </c>
    </row>
    <row r="77" spans="1:8" s="973" customFormat="1" ht="24">
      <c r="A77" s="3026">
        <v>5</v>
      </c>
      <c r="B77" s="3694"/>
      <c r="C77" s="3004" t="s">
        <v>2537</v>
      </c>
      <c r="D77" s="3004" t="s">
        <v>2538</v>
      </c>
      <c r="E77" s="3027">
        <v>0.15</v>
      </c>
      <c r="F77" s="3026">
        <v>20</v>
      </c>
    </row>
    <row r="78" spans="1:8" s="973" customFormat="1" ht="24">
      <c r="A78" s="3026">
        <v>6</v>
      </c>
      <c r="B78" s="3694"/>
      <c r="C78" s="3004" t="s">
        <v>2539</v>
      </c>
      <c r="D78" s="3004" t="s">
        <v>2540</v>
      </c>
      <c r="E78" s="3027">
        <v>0.15</v>
      </c>
      <c r="F78" s="3026">
        <v>20</v>
      </c>
    </row>
    <row r="79" spans="1:8" s="973" customFormat="1" ht="24">
      <c r="A79" s="3026">
        <v>7</v>
      </c>
      <c r="B79" s="3694"/>
      <c r="C79" s="3004" t="s">
        <v>2541</v>
      </c>
      <c r="D79" s="3004" t="s">
        <v>2542</v>
      </c>
      <c r="E79" s="3027">
        <v>0.15</v>
      </c>
      <c r="F79" s="3026">
        <v>20</v>
      </c>
    </row>
    <row r="80" spans="1:8" s="973" customFormat="1" ht="24">
      <c r="A80" s="3026">
        <v>8</v>
      </c>
      <c r="B80" s="3694"/>
      <c r="C80" s="3004" t="s">
        <v>2543</v>
      </c>
      <c r="D80" s="3004" t="s">
        <v>2544</v>
      </c>
      <c r="E80" s="3027">
        <v>0.1</v>
      </c>
      <c r="F80" s="3026">
        <v>15</v>
      </c>
    </row>
    <row r="81" spans="1:6" s="973" customFormat="1" ht="24">
      <c r="A81" s="3026">
        <v>9</v>
      </c>
      <c r="B81" s="3694"/>
      <c r="C81" s="3004" t="s">
        <v>2545</v>
      </c>
      <c r="D81" s="3004" t="s">
        <v>2546</v>
      </c>
      <c r="E81" s="3027">
        <v>0.1</v>
      </c>
      <c r="F81" s="3026">
        <v>15</v>
      </c>
    </row>
    <row r="82" spans="1:6" s="973" customFormat="1" ht="24">
      <c r="A82" s="3026">
        <v>10</v>
      </c>
      <c r="B82" s="3694"/>
      <c r="C82" s="3004" t="s">
        <v>2547</v>
      </c>
      <c r="D82" s="3004" t="s">
        <v>2548</v>
      </c>
      <c r="E82" s="3027">
        <v>0.1</v>
      </c>
      <c r="F82" s="3026">
        <v>15</v>
      </c>
    </row>
    <row r="83" spans="1:6" s="973" customFormat="1" ht="24">
      <c r="A83" s="3026">
        <v>11</v>
      </c>
      <c r="B83" s="3694"/>
      <c r="C83" s="3004" t="s">
        <v>2549</v>
      </c>
      <c r="D83" s="3004" t="s">
        <v>2550</v>
      </c>
      <c r="E83" s="3027">
        <v>0.1</v>
      </c>
      <c r="F83" s="3026">
        <v>15</v>
      </c>
    </row>
    <row r="84" spans="1:6" s="973" customFormat="1" ht="24">
      <c r="A84" s="3026">
        <v>12</v>
      </c>
      <c r="B84" s="3694"/>
      <c r="C84" s="3004" t="s">
        <v>2551</v>
      </c>
      <c r="D84" s="3004" t="s">
        <v>2552</v>
      </c>
      <c r="E84" s="3027">
        <v>0.1</v>
      </c>
      <c r="F84" s="3026">
        <v>15</v>
      </c>
    </row>
    <row r="85" spans="1:6" s="973" customFormat="1">
      <c r="A85" s="3026">
        <v>13</v>
      </c>
      <c r="B85" s="3694"/>
      <c r="C85" s="3004" t="s">
        <v>2553</v>
      </c>
      <c r="D85" s="3004" t="s">
        <v>2554</v>
      </c>
      <c r="E85" s="3027">
        <v>0.1</v>
      </c>
      <c r="F85" s="3026">
        <v>15</v>
      </c>
    </row>
    <row r="86" spans="1:6" s="973" customFormat="1">
      <c r="A86" s="3026">
        <v>14</v>
      </c>
      <c r="B86" s="3694"/>
      <c r="C86" s="3004" t="s">
        <v>2555</v>
      </c>
      <c r="D86" s="3004" t="s">
        <v>2556</v>
      </c>
      <c r="E86" s="3027">
        <v>0.1</v>
      </c>
      <c r="F86" s="3026">
        <v>15</v>
      </c>
    </row>
    <row r="87" spans="1:6" s="973" customFormat="1">
      <c r="A87" s="3026">
        <v>15</v>
      </c>
      <c r="B87" s="3694"/>
      <c r="C87" s="3004" t="s">
        <v>2557</v>
      </c>
      <c r="D87" s="3004" t="s">
        <v>2558</v>
      </c>
      <c r="E87" s="3027">
        <v>0.1</v>
      </c>
      <c r="F87" s="3026">
        <v>15</v>
      </c>
    </row>
    <row r="88" spans="1:6" s="973" customFormat="1" ht="24">
      <c r="A88" s="3026">
        <v>16</v>
      </c>
      <c r="B88" s="3694"/>
      <c r="C88" s="3004" t="s">
        <v>2559</v>
      </c>
      <c r="D88" s="3004" t="s">
        <v>2560</v>
      </c>
      <c r="E88" s="3027">
        <v>0.1</v>
      </c>
      <c r="F88" s="3026">
        <v>15</v>
      </c>
    </row>
    <row r="89" spans="1:6" s="973" customFormat="1" ht="24">
      <c r="A89" s="3026">
        <v>17</v>
      </c>
      <c r="B89" s="3700"/>
      <c r="C89" s="3004" t="s">
        <v>2561</v>
      </c>
      <c r="D89" s="3004" t="s">
        <v>2562</v>
      </c>
      <c r="E89" s="3027">
        <v>0.1</v>
      </c>
      <c r="F89" s="3026">
        <v>15</v>
      </c>
    </row>
    <row r="90" spans="1:6" s="973" customFormat="1">
      <c r="A90" s="3026">
        <v>18</v>
      </c>
      <c r="B90" s="3699" t="s">
        <v>2563</v>
      </c>
      <c r="C90" s="3004" t="s">
        <v>2564</v>
      </c>
      <c r="D90" s="3004" t="s">
        <v>2565</v>
      </c>
      <c r="E90" s="3027">
        <v>0.2</v>
      </c>
      <c r="F90" s="3026">
        <v>25</v>
      </c>
    </row>
    <row r="91" spans="1:6" s="973" customFormat="1" ht="24">
      <c r="A91" s="3026">
        <v>19</v>
      </c>
      <c r="B91" s="3694"/>
      <c r="C91" s="3004" t="s">
        <v>2566</v>
      </c>
      <c r="D91" s="3004" t="s">
        <v>2567</v>
      </c>
      <c r="E91" s="3027">
        <v>0.2</v>
      </c>
      <c r="F91" s="3026">
        <v>25</v>
      </c>
    </row>
    <row r="92" spans="1:6" s="973" customFormat="1">
      <c r="A92" s="3026">
        <v>20</v>
      </c>
      <c r="B92" s="3694"/>
      <c r="C92" s="3004" t="s">
        <v>2568</v>
      </c>
      <c r="D92" s="3004" t="s">
        <v>2569</v>
      </c>
      <c r="E92" s="3027">
        <v>0.15</v>
      </c>
      <c r="F92" s="3026">
        <v>20</v>
      </c>
    </row>
    <row r="93" spans="1:6" s="973" customFormat="1" ht="24">
      <c r="A93" s="3026">
        <v>21</v>
      </c>
      <c r="B93" s="3694"/>
      <c r="C93" s="3004" t="s">
        <v>2570</v>
      </c>
      <c r="D93" s="3004" t="s">
        <v>2571</v>
      </c>
      <c r="E93" s="3027">
        <v>0.15</v>
      </c>
      <c r="F93" s="3026">
        <v>20</v>
      </c>
    </row>
    <row r="94" spans="1:6" s="973" customFormat="1" ht="24">
      <c r="A94" s="3026">
        <v>22</v>
      </c>
      <c r="B94" s="3694"/>
      <c r="C94" s="3004" t="s">
        <v>2572</v>
      </c>
      <c r="D94" s="3004" t="s">
        <v>2573</v>
      </c>
      <c r="E94" s="3027">
        <v>0.15</v>
      </c>
      <c r="F94" s="3026">
        <v>20</v>
      </c>
    </row>
    <row r="95" spans="1:6" s="973" customFormat="1" ht="36">
      <c r="A95" s="3026">
        <v>23</v>
      </c>
      <c r="B95" s="3694"/>
      <c r="C95" s="3004" t="s">
        <v>2574</v>
      </c>
      <c r="D95" s="3004" t="s">
        <v>2575</v>
      </c>
      <c r="E95" s="3027">
        <v>0.15</v>
      </c>
      <c r="F95" s="3026">
        <v>20</v>
      </c>
    </row>
    <row r="96" spans="1:6" s="973" customFormat="1">
      <c r="A96" s="3026">
        <v>24</v>
      </c>
      <c r="B96" s="3694"/>
      <c r="C96" s="3004" t="s">
        <v>2576</v>
      </c>
      <c r="D96" s="3004" t="s">
        <v>2577</v>
      </c>
      <c r="E96" s="3027">
        <v>0.1</v>
      </c>
      <c r="F96" s="3026">
        <v>15</v>
      </c>
    </row>
    <row r="97" spans="1:6" s="973" customFormat="1" ht="24">
      <c r="A97" s="3026">
        <v>25</v>
      </c>
      <c r="B97" s="3694"/>
      <c r="C97" s="3004" t="s">
        <v>2578</v>
      </c>
      <c r="D97" s="3004" t="s">
        <v>2579</v>
      </c>
      <c r="E97" s="3027">
        <v>0.1</v>
      </c>
      <c r="F97" s="3026">
        <v>15</v>
      </c>
    </row>
    <row r="98" spans="1:6" s="973" customFormat="1" ht="24">
      <c r="A98" s="3026">
        <v>26</v>
      </c>
      <c r="B98" s="3694"/>
      <c r="C98" s="3004" t="s">
        <v>2580</v>
      </c>
      <c r="D98" s="3004" t="s">
        <v>2581</v>
      </c>
      <c r="E98" s="3027">
        <v>0.1</v>
      </c>
      <c r="F98" s="3026">
        <v>15</v>
      </c>
    </row>
    <row r="99" spans="1:6" s="973" customFormat="1" ht="24">
      <c r="A99" s="3026">
        <v>27</v>
      </c>
      <c r="B99" s="3694"/>
      <c r="C99" s="3004" t="s">
        <v>2582</v>
      </c>
      <c r="D99" s="3004" t="s">
        <v>2583</v>
      </c>
      <c r="E99" s="3027">
        <v>0.1</v>
      </c>
      <c r="F99" s="3026">
        <v>15</v>
      </c>
    </row>
    <row r="100" spans="1:6" s="973" customFormat="1" ht="24">
      <c r="A100" s="3026">
        <v>28</v>
      </c>
      <c r="B100" s="3694"/>
      <c r="C100" s="3004" t="s">
        <v>2584</v>
      </c>
      <c r="D100" s="3004" t="s">
        <v>2585</v>
      </c>
      <c r="E100" s="3027">
        <v>0.1</v>
      </c>
      <c r="F100" s="3026">
        <v>15</v>
      </c>
    </row>
    <row r="101" spans="1:6" s="973" customFormat="1" ht="24">
      <c r="A101" s="3026">
        <v>29</v>
      </c>
      <c r="B101" s="3694"/>
      <c r="C101" s="3004" t="s">
        <v>2586</v>
      </c>
      <c r="D101" s="3004" t="s">
        <v>2587</v>
      </c>
      <c r="E101" s="3027">
        <v>0.1</v>
      </c>
      <c r="F101" s="3026">
        <v>15</v>
      </c>
    </row>
    <row r="102" spans="1:6" s="973" customFormat="1" ht="24">
      <c r="A102" s="3026">
        <v>30</v>
      </c>
      <c r="B102" s="3694"/>
      <c r="C102" s="3004" t="s">
        <v>2588</v>
      </c>
      <c r="D102" s="3004" t="s">
        <v>2589</v>
      </c>
      <c r="E102" s="3027">
        <v>0.1</v>
      </c>
      <c r="F102" s="3026">
        <v>15</v>
      </c>
    </row>
    <row r="103" spans="1:6" s="973" customFormat="1" ht="24">
      <c r="A103" s="3026">
        <v>31</v>
      </c>
      <c r="B103" s="3694"/>
      <c r="C103" s="3004" t="s">
        <v>2590</v>
      </c>
      <c r="D103" s="3004" t="s">
        <v>2591</v>
      </c>
      <c r="E103" s="3027">
        <v>0.1</v>
      </c>
      <c r="F103" s="3026">
        <v>15</v>
      </c>
    </row>
    <row r="104" spans="1:6" s="973" customFormat="1" ht="24">
      <c r="A104" s="3026">
        <v>32</v>
      </c>
      <c r="B104" s="3694"/>
      <c r="C104" s="3004" t="s">
        <v>2592</v>
      </c>
      <c r="D104" s="3004" t="s">
        <v>2593</v>
      </c>
      <c r="E104" s="3027">
        <v>0.1</v>
      </c>
      <c r="F104" s="3026">
        <v>15</v>
      </c>
    </row>
    <row r="105" spans="1:6" s="973" customFormat="1" ht="24">
      <c r="A105" s="3026">
        <v>33</v>
      </c>
      <c r="B105" s="3694"/>
      <c r="C105" s="3004" t="s">
        <v>2594</v>
      </c>
      <c r="D105" s="3004" t="s">
        <v>2595</v>
      </c>
      <c r="E105" s="3027">
        <v>0.1</v>
      </c>
      <c r="F105" s="3026">
        <v>15</v>
      </c>
    </row>
    <row r="106" spans="1:6" s="973" customFormat="1" ht="24">
      <c r="A106" s="3026">
        <v>34</v>
      </c>
      <c r="B106" s="3700"/>
      <c r="C106" s="3004" t="s">
        <v>2596</v>
      </c>
      <c r="D106" s="3004" t="s">
        <v>2597</v>
      </c>
      <c r="E106" s="3027">
        <v>0.1</v>
      </c>
      <c r="F106" s="3026">
        <v>15</v>
      </c>
    </row>
    <row r="107" spans="1:6" s="973" customFormat="1" ht="24">
      <c r="A107" s="3026">
        <v>35</v>
      </c>
      <c r="B107" s="3699" t="s">
        <v>2598</v>
      </c>
      <c r="C107" s="3026" t="s">
        <v>2599</v>
      </c>
      <c r="D107" s="3004" t="s">
        <v>2600</v>
      </c>
      <c r="E107" s="3027">
        <v>0.15</v>
      </c>
      <c r="F107" s="3026">
        <v>20</v>
      </c>
    </row>
    <row r="108" spans="1:6" s="973" customFormat="1" ht="24">
      <c r="A108" s="3026">
        <v>36</v>
      </c>
      <c r="B108" s="3694"/>
      <c r="C108" s="3026" t="s">
        <v>2601</v>
      </c>
      <c r="D108" s="3004" t="s">
        <v>2602</v>
      </c>
      <c r="E108" s="3027">
        <v>0.15</v>
      </c>
      <c r="F108" s="3026">
        <v>20</v>
      </c>
    </row>
    <row r="109" spans="1:6" s="973" customFormat="1" ht="24">
      <c r="A109" s="3026">
        <v>37</v>
      </c>
      <c r="B109" s="3694"/>
      <c r="C109" s="3026" t="s">
        <v>2603</v>
      </c>
      <c r="D109" s="3004" t="s">
        <v>2604</v>
      </c>
      <c r="E109" s="3027">
        <v>0.15</v>
      </c>
      <c r="F109" s="3026">
        <v>20</v>
      </c>
    </row>
    <row r="110" spans="1:6" s="973" customFormat="1">
      <c r="A110" s="3026">
        <v>38</v>
      </c>
      <c r="B110" s="3694"/>
      <c r="C110" s="3026" t="s">
        <v>2605</v>
      </c>
      <c r="D110" s="3004" t="s">
        <v>2606</v>
      </c>
      <c r="E110" s="3027">
        <v>0.1</v>
      </c>
      <c r="F110" s="3026">
        <v>15</v>
      </c>
    </row>
    <row r="111" spans="1:6" s="973" customFormat="1" ht="24">
      <c r="A111" s="3026">
        <v>39</v>
      </c>
      <c r="B111" s="3694"/>
      <c r="C111" s="3026" t="s">
        <v>2607</v>
      </c>
      <c r="D111" s="3004" t="s">
        <v>2608</v>
      </c>
      <c r="E111" s="3027">
        <v>0.1</v>
      </c>
      <c r="F111" s="3026">
        <v>15</v>
      </c>
    </row>
    <row r="112" spans="1:6" s="973" customFormat="1" ht="24">
      <c r="A112" s="3026">
        <v>40</v>
      </c>
      <c r="B112" s="3700"/>
      <c r="C112" s="3026" t="s">
        <v>2609</v>
      </c>
      <c r="D112" s="3004" t="s">
        <v>2610</v>
      </c>
      <c r="E112" s="3027">
        <v>0.1</v>
      </c>
      <c r="F112" s="3026">
        <v>15</v>
      </c>
    </row>
    <row r="113" spans="1:6" s="973" customFormat="1" ht="24">
      <c r="A113" s="3026">
        <v>41</v>
      </c>
      <c r="B113" s="3701" t="s">
        <v>2611</v>
      </c>
      <c r="C113" s="3026" t="s">
        <v>2612</v>
      </c>
      <c r="D113" s="3004" t="s">
        <v>2613</v>
      </c>
      <c r="E113" s="3027">
        <v>0.1</v>
      </c>
      <c r="F113" s="3026">
        <v>15</v>
      </c>
    </row>
    <row r="114" spans="1:6" s="973" customFormat="1">
      <c r="A114" s="3026">
        <v>42</v>
      </c>
      <c r="B114" s="3701"/>
      <c r="C114" s="3026" t="s">
        <v>2614</v>
      </c>
      <c r="D114" s="3004" t="s">
        <v>2615</v>
      </c>
      <c r="E114" s="3027">
        <v>0.1</v>
      </c>
      <c r="F114" s="3026">
        <v>15</v>
      </c>
    </row>
    <row r="115" spans="1:6" s="973" customFormat="1" ht="24">
      <c r="A115" s="3026">
        <v>43</v>
      </c>
      <c r="B115" s="3701"/>
      <c r="C115" s="3026" t="s">
        <v>2616</v>
      </c>
      <c r="D115" s="3004" t="s">
        <v>2617</v>
      </c>
      <c r="E115" s="3027">
        <v>0.1</v>
      </c>
      <c r="F115" s="3026">
        <v>15</v>
      </c>
    </row>
    <row r="116" spans="1:6" s="973" customFormat="1" ht="24">
      <c r="A116" s="3026">
        <v>44</v>
      </c>
      <c r="B116" s="3699" t="s">
        <v>2618</v>
      </c>
      <c r="C116" s="3026" t="s">
        <v>2619</v>
      </c>
      <c r="D116" s="3004" t="s">
        <v>2620</v>
      </c>
      <c r="E116" s="3027">
        <v>0.1</v>
      </c>
      <c r="F116" s="3026">
        <v>15</v>
      </c>
    </row>
    <row r="117" spans="1:6" s="973" customFormat="1" ht="24">
      <c r="A117" s="3026">
        <v>45</v>
      </c>
      <c r="B117" s="3700"/>
      <c r="C117" s="3004" t="s">
        <v>2621</v>
      </c>
      <c r="D117" s="3004" t="s">
        <v>2622</v>
      </c>
      <c r="E117" s="3027">
        <v>0.1</v>
      </c>
      <c r="F117" s="3026">
        <v>15</v>
      </c>
    </row>
    <row r="118" spans="1:6" s="973" customFormat="1" ht="24">
      <c r="A118" s="3026">
        <v>46</v>
      </c>
      <c r="B118" s="3699" t="s">
        <v>2623</v>
      </c>
      <c r="C118" s="3026" t="s">
        <v>2624</v>
      </c>
      <c r="D118" s="3004" t="s">
        <v>2625</v>
      </c>
      <c r="E118" s="3027">
        <v>0.1</v>
      </c>
      <c r="F118" s="3026">
        <v>15</v>
      </c>
    </row>
    <row r="119" spans="1:6" s="973" customFormat="1" ht="24">
      <c r="A119" s="3026">
        <v>47</v>
      </c>
      <c r="B119" s="3700"/>
      <c r="C119" s="3026" t="s">
        <v>2626</v>
      </c>
      <c r="D119" s="3004" t="s">
        <v>2627</v>
      </c>
      <c r="E119" s="3027">
        <v>0.1</v>
      </c>
      <c r="F119" s="3026">
        <v>15</v>
      </c>
    </row>
    <row r="120" spans="1:6" s="973" customFormat="1" ht="24">
      <c r="A120" s="3026">
        <v>48</v>
      </c>
      <c r="B120" s="3699" t="s">
        <v>2628</v>
      </c>
      <c r="C120" s="3026" t="s">
        <v>2629</v>
      </c>
      <c r="D120" s="3004" t="s">
        <v>2630</v>
      </c>
      <c r="E120" s="3027">
        <v>0.1</v>
      </c>
      <c r="F120" s="3026">
        <v>15</v>
      </c>
    </row>
    <row r="121" spans="1:6" s="973" customFormat="1">
      <c r="A121" s="3026">
        <v>49</v>
      </c>
      <c r="B121" s="3700"/>
      <c r="C121" s="3026" t="s">
        <v>2631</v>
      </c>
      <c r="D121" s="3004" t="s">
        <v>2632</v>
      </c>
      <c r="E121" s="3027">
        <v>0.1</v>
      </c>
      <c r="F121" s="3026">
        <v>15</v>
      </c>
    </row>
    <row r="122" spans="1:6" s="973" customFormat="1" ht="24">
      <c r="A122" s="3026">
        <v>50</v>
      </c>
      <c r="B122" s="3701" t="s">
        <v>2633</v>
      </c>
      <c r="C122" s="3026" t="s">
        <v>2634</v>
      </c>
      <c r="D122" s="3004" t="s">
        <v>2635</v>
      </c>
      <c r="E122" s="3027">
        <v>0.1</v>
      </c>
      <c r="F122" s="3026">
        <v>15</v>
      </c>
    </row>
    <row r="123" spans="1:6" s="973" customFormat="1" ht="24">
      <c r="A123" s="3026">
        <v>51</v>
      </c>
      <c r="B123" s="3701"/>
      <c r="C123" s="3026" t="s">
        <v>2636</v>
      </c>
      <c r="D123" s="3004" t="s">
        <v>2637</v>
      </c>
      <c r="E123" s="3027">
        <v>0.1</v>
      </c>
      <c r="F123" s="3026">
        <v>15</v>
      </c>
    </row>
    <row r="124" spans="1:6" s="973" customFormat="1" ht="24">
      <c r="A124" s="3026">
        <v>52</v>
      </c>
      <c r="B124" s="3701" t="s">
        <v>2638</v>
      </c>
      <c r="C124" s="3026" t="s">
        <v>2639</v>
      </c>
      <c r="D124" s="3004" t="s">
        <v>2640</v>
      </c>
      <c r="E124" s="3027">
        <v>0.1</v>
      </c>
      <c r="F124" s="3026">
        <v>15</v>
      </c>
    </row>
    <row r="125" spans="1:6" s="973" customFormat="1" ht="24">
      <c r="A125" s="3026">
        <v>53</v>
      </c>
      <c r="B125" s="3701"/>
      <c r="C125" s="3026" t="s">
        <v>2641</v>
      </c>
      <c r="D125" s="3004" t="s">
        <v>2642</v>
      </c>
      <c r="E125" s="3027">
        <v>0.1</v>
      </c>
      <c r="F125" s="3026">
        <v>15</v>
      </c>
    </row>
    <row r="126" spans="1:6" ht="24">
      <c r="A126" s="3026">
        <v>54</v>
      </c>
      <c r="B126" s="3026" t="s">
        <v>2643</v>
      </c>
      <c r="C126" s="3026" t="s">
        <v>2644</v>
      </c>
      <c r="D126" s="3004" t="s">
        <v>2645</v>
      </c>
      <c r="E126" s="3027">
        <v>0.1</v>
      </c>
      <c r="F126" s="3026">
        <v>15</v>
      </c>
    </row>
    <row r="127" spans="1:6">
      <c r="A127" s="3026">
        <v>55</v>
      </c>
      <c r="B127" s="3701" t="s">
        <v>2646</v>
      </c>
      <c r="C127" s="3026" t="s">
        <v>2647</v>
      </c>
      <c r="D127" s="3004" t="s">
        <v>2648</v>
      </c>
      <c r="E127" s="3027">
        <v>0.1</v>
      </c>
      <c r="F127" s="3026">
        <v>15</v>
      </c>
    </row>
    <row r="128" spans="1:6">
      <c r="A128" s="3026">
        <v>56</v>
      </c>
      <c r="B128" s="3701"/>
      <c r="C128" s="3026" t="s">
        <v>2649</v>
      </c>
      <c r="D128" s="3004" t="s">
        <v>2650</v>
      </c>
      <c r="E128" s="3027">
        <v>0.1</v>
      </c>
      <c r="F128" s="3026">
        <v>15</v>
      </c>
    </row>
    <row r="129" spans="1:14" ht="24">
      <c r="A129" s="3026">
        <v>57</v>
      </c>
      <c r="B129" s="3701"/>
      <c r="C129" s="3026" t="s">
        <v>2651</v>
      </c>
      <c r="D129" s="3004" t="s">
        <v>2652</v>
      </c>
      <c r="E129" s="3027">
        <v>0.1</v>
      </c>
      <c r="F129" s="3026">
        <v>15</v>
      </c>
    </row>
    <row r="130" spans="1:14" ht="24">
      <c r="A130" s="3026">
        <v>58</v>
      </c>
      <c r="B130" s="3701" t="s">
        <v>2653</v>
      </c>
      <c r="C130" s="3026" t="s">
        <v>2654</v>
      </c>
      <c r="D130" s="3004" t="s">
        <v>2655</v>
      </c>
      <c r="E130" s="3027">
        <v>0.1</v>
      </c>
      <c r="F130" s="3026">
        <v>15</v>
      </c>
    </row>
    <row r="131" spans="1:14" ht="24">
      <c r="A131" s="3026">
        <v>59</v>
      </c>
      <c r="B131" s="3701"/>
      <c r="C131" s="3026" t="s">
        <v>2656</v>
      </c>
      <c r="D131" s="3004" t="s">
        <v>2657</v>
      </c>
      <c r="E131" s="3027">
        <v>0.1</v>
      </c>
      <c r="F131" s="3026">
        <v>15</v>
      </c>
    </row>
    <row r="132" spans="1:14" ht="24">
      <c r="A132" s="3026">
        <v>60</v>
      </c>
      <c r="B132" s="3699" t="s">
        <v>2658</v>
      </c>
      <c r="C132" s="3026" t="s">
        <v>2659</v>
      </c>
      <c r="D132" s="3004" t="s">
        <v>2660</v>
      </c>
      <c r="E132" s="3027">
        <v>0.1</v>
      </c>
      <c r="F132" s="3026">
        <v>15</v>
      </c>
    </row>
    <row r="133" spans="1:14" ht="24">
      <c r="A133" s="3026">
        <v>61</v>
      </c>
      <c r="B133" s="3700"/>
      <c r="C133" s="3026" t="s">
        <v>2661</v>
      </c>
      <c r="D133" s="3004" t="s">
        <v>2662</v>
      </c>
      <c r="E133" s="3027">
        <v>0.1</v>
      </c>
      <c r="F133" s="3026">
        <v>15</v>
      </c>
    </row>
    <row r="134" spans="1:14" ht="24">
      <c r="A134" s="3026">
        <v>62</v>
      </c>
      <c r="B134" s="3026" t="s">
        <v>2663</v>
      </c>
      <c r="C134" s="3026" t="s">
        <v>2664</v>
      </c>
      <c r="D134" s="3004" t="s">
        <v>2665</v>
      </c>
      <c r="E134" s="3027">
        <v>0.1</v>
      </c>
      <c r="F134" s="3026">
        <v>15</v>
      </c>
    </row>
    <row r="135" spans="1:14" ht="24">
      <c r="A135" s="3026">
        <v>63</v>
      </c>
      <c r="B135" s="3701" t="s">
        <v>2666</v>
      </c>
      <c r="C135" s="3026" t="s">
        <v>2667</v>
      </c>
      <c r="D135" s="3004" t="s">
        <v>2668</v>
      </c>
      <c r="E135" s="3027">
        <v>0.1</v>
      </c>
      <c r="F135" s="3026">
        <v>15</v>
      </c>
    </row>
    <row r="136" spans="1:14">
      <c r="A136" s="3026">
        <v>64</v>
      </c>
      <c r="B136" s="3701"/>
      <c r="C136" s="3026" t="s">
        <v>2669</v>
      </c>
      <c r="D136" s="3004" t="s">
        <v>2670</v>
      </c>
      <c r="E136" s="3027">
        <v>0.1</v>
      </c>
      <c r="F136" s="3026">
        <v>15</v>
      </c>
    </row>
    <row r="137" spans="1:14" ht="24">
      <c r="A137" s="3026">
        <v>65</v>
      </c>
      <c r="B137" s="3026" t="s">
        <v>2671</v>
      </c>
      <c r="C137" s="3026" t="s">
        <v>2672</v>
      </c>
      <c r="D137" s="3004" t="s">
        <v>2673</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受贵公司委托，我公司对北京市出让国有建设用地使用权市场价格进行了预评估。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2024年12月11日（评估专业人员勘察现场之日）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26" spans="1:1" ht="18.75">
      <c r="A26" s="1488" t="str">
        <f>IF(项目基本情况!B9="市场价格","——",IF(项目基本情况!E8="抵押价格",定义!C54,IF(项目基本情况!E8="已注销",定义!C55,定义!C56)))</f>
        <v>——</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8" t="str">
        <f>IF(项目基本情况!B9="市场价格","——",IF(项目基本情况!E9="——","",定义!C57))</f>
        <v>——</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702" t="s">
        <v>2812</v>
      </c>
      <c r="B1" s="3702"/>
      <c r="C1" s="3702"/>
      <c r="D1" s="3702"/>
      <c r="E1" s="3702"/>
      <c r="F1" s="3702"/>
      <c r="G1" s="3703"/>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2813</v>
      </c>
      <c r="B2" s="3154"/>
      <c r="C2" s="3154"/>
      <c r="D2" s="3154"/>
      <c r="E2" s="3154"/>
      <c r="F2" s="3154"/>
      <c r="G2" s="3149" t="s">
        <v>2814</v>
      </c>
      <c r="J2" s="3178" t="s">
        <v>2820</v>
      </c>
      <c r="K2" s="3158" t="s">
        <v>2822</v>
      </c>
      <c r="L2" s="3158" t="s">
        <v>2824</v>
      </c>
      <c r="M2" s="3158" t="s">
        <v>2830</v>
      </c>
      <c r="N2" s="3158" t="s">
        <v>2840</v>
      </c>
      <c r="O2" s="3158" t="s">
        <v>2855</v>
      </c>
      <c r="P2" s="3158" t="s">
        <v>2892</v>
      </c>
      <c r="Q2" s="3158" t="s">
        <v>2923</v>
      </c>
      <c r="R2" s="3158" t="s">
        <v>2951</v>
      </c>
      <c r="S2" s="3158" t="s">
        <v>2986</v>
      </c>
      <c r="T2" s="3158" t="s">
        <v>3006</v>
      </c>
      <c r="U2" s="3158" t="s">
        <v>3018</v>
      </c>
    </row>
    <row r="3" spans="1:21" s="961" customFormat="1" ht="19.5" customHeight="1">
      <c r="A3" s="3704" t="s">
        <v>2815</v>
      </c>
      <c r="B3" s="3150"/>
      <c r="C3" s="3151" t="s">
        <v>2793</v>
      </c>
      <c r="D3" s="3151" t="s">
        <v>2816</v>
      </c>
      <c r="E3" s="3151" t="s">
        <v>2795</v>
      </c>
      <c r="F3" s="3151" t="s">
        <v>2817</v>
      </c>
      <c r="G3" s="3151" t="s">
        <v>2738</v>
      </c>
      <c r="H3" s="964"/>
      <c r="J3" s="3178" t="s">
        <v>2821</v>
      </c>
      <c r="K3" s="3158" t="s">
        <v>973</v>
      </c>
      <c r="L3" s="3158" t="s">
        <v>974</v>
      </c>
      <c r="M3" s="3158" t="s">
        <v>975</v>
      </c>
      <c r="N3" s="3158" t="s">
        <v>976</v>
      </c>
      <c r="O3" s="3158" t="s">
        <v>977</v>
      </c>
      <c r="P3" s="3158" t="s">
        <v>978</v>
      </c>
      <c r="Q3" s="3158" t="s">
        <v>979</v>
      </c>
      <c r="R3" s="3158" t="s">
        <v>980</v>
      </c>
      <c r="S3" s="3158" t="s">
        <v>981</v>
      </c>
      <c r="T3" s="3158" t="s">
        <v>3007</v>
      </c>
      <c r="U3" s="3158" t="s">
        <v>3019</v>
      </c>
    </row>
    <row r="4" spans="1:21" s="961" customFormat="1" ht="19.5" customHeight="1" thickBot="1">
      <c r="A4" s="3705"/>
      <c r="B4" s="3152" t="s">
        <v>2818</v>
      </c>
      <c r="C4" s="3152" t="s">
        <v>2819</v>
      </c>
      <c r="D4" s="3152" t="s">
        <v>2819</v>
      </c>
      <c r="E4" s="3152" t="s">
        <v>2819</v>
      </c>
      <c r="F4" s="3153" t="s">
        <v>2819</v>
      </c>
      <c r="G4" s="3153" t="s">
        <v>2819</v>
      </c>
      <c r="H4" s="964"/>
      <c r="J4" s="3178" t="s">
        <v>982</v>
      </c>
      <c r="K4" s="3158" t="s">
        <v>983</v>
      </c>
      <c r="L4" s="3158" t="s">
        <v>984</v>
      </c>
      <c r="M4" s="3158" t="s">
        <v>985</v>
      </c>
      <c r="N4" s="3158" t="s">
        <v>986</v>
      </c>
      <c r="O4" s="3158" t="s">
        <v>987</v>
      </c>
      <c r="P4" s="3158" t="s">
        <v>988</v>
      </c>
      <c r="Q4" s="3158" t="s">
        <v>989</v>
      </c>
      <c r="R4" s="3158" t="s">
        <v>2952</v>
      </c>
      <c r="S4" s="3158" t="s">
        <v>2987</v>
      </c>
      <c r="T4" s="3158" t="s">
        <v>3008</v>
      </c>
      <c r="U4" s="3158" t="s">
        <v>3020</v>
      </c>
    </row>
    <row r="5" spans="1:21" ht="14.25" customHeight="1">
      <c r="A5" s="3155" t="s">
        <v>990</v>
      </c>
      <c r="B5" s="3156" t="s">
        <v>2820</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2953</v>
      </c>
      <c r="S5" s="3158" t="s">
        <v>2988</v>
      </c>
      <c r="T5" s="3158" t="s">
        <v>999</v>
      </c>
      <c r="U5" s="3158" t="s">
        <v>3021</v>
      </c>
    </row>
    <row r="6" spans="1:21" ht="14.25" customHeight="1">
      <c r="A6" s="3158" t="s">
        <v>990</v>
      </c>
      <c r="B6" s="3158" t="s">
        <v>2821</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2924</v>
      </c>
      <c r="R6" s="3158" t="s">
        <v>2954</v>
      </c>
      <c r="S6" s="3158" t="s">
        <v>1008</v>
      </c>
      <c r="T6" s="3158" t="s">
        <v>3009</v>
      </c>
      <c r="U6" s="3158" t="s">
        <v>3022</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2925</v>
      </c>
      <c r="R7" s="3158" t="s">
        <v>2955</v>
      </c>
      <c r="S7" s="3158" t="s">
        <v>2989</v>
      </c>
      <c r="T7" s="3158" t="s">
        <v>3010</v>
      </c>
      <c r="U7" s="1216" t="s">
        <v>3023</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2926</v>
      </c>
      <c r="R8" s="3158" t="s">
        <v>1021</v>
      </c>
      <c r="S8" s="3158" t="s">
        <v>2990</v>
      </c>
      <c r="T8" s="3158" t="s">
        <v>3011</v>
      </c>
      <c r="U8" s="3158" t="s">
        <v>3024</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2927</v>
      </c>
      <c r="R9" s="3158" t="s">
        <v>1029</v>
      </c>
      <c r="S9" s="3158" t="s">
        <v>1030</v>
      </c>
      <c r="T9" s="3158" t="s">
        <v>1047</v>
      </c>
    </row>
    <row r="10" spans="1:21" ht="14.25" customHeight="1">
      <c r="A10" s="3155" t="s">
        <v>1031</v>
      </c>
      <c r="B10" s="3156" t="s">
        <v>2822</v>
      </c>
      <c r="C10" s="3156">
        <v>32350</v>
      </c>
      <c r="D10" s="3156">
        <v>31430</v>
      </c>
      <c r="E10" s="3156">
        <v>31320</v>
      </c>
      <c r="F10" s="3157">
        <v>10850</v>
      </c>
      <c r="G10" s="3157">
        <v>22860</v>
      </c>
      <c r="H10" s="967" t="s">
        <v>841</v>
      </c>
      <c r="I10" s="968">
        <f>SUMPRODUCT((B127:B189=基准地价!I2)*(C3:G3=基准地价!E2)*(C127:G189))</f>
        <v>14670</v>
      </c>
      <c r="K10" s="3158" t="s">
        <v>1032</v>
      </c>
      <c r="L10" s="3158" t="s">
        <v>1033</v>
      </c>
      <c r="M10" s="3158" t="s">
        <v>1034</v>
      </c>
      <c r="N10" s="3158" t="s">
        <v>1035</v>
      </c>
      <c r="O10" s="3158" t="s">
        <v>1036</v>
      </c>
      <c r="P10" s="3158" t="s">
        <v>1037</v>
      </c>
      <c r="Q10" s="3158" t="s">
        <v>1028</v>
      </c>
      <c r="R10" s="3158" t="s">
        <v>1039</v>
      </c>
      <c r="S10" s="3158" t="s">
        <v>1040</v>
      </c>
      <c r="T10" s="3158" t="s">
        <v>3012</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2893</v>
      </c>
      <c r="Q11" s="3158" t="s">
        <v>1038</v>
      </c>
      <c r="R11" s="3158" t="s">
        <v>1046</v>
      </c>
      <c r="S11" s="3158" t="s">
        <v>2991</v>
      </c>
      <c r="T11" s="3158" t="s">
        <v>3013</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2894</v>
      </c>
      <c r="Q12" s="3158" t="s">
        <v>2928</v>
      </c>
      <c r="R12" s="3158" t="s">
        <v>2956</v>
      </c>
      <c r="S12" s="3158" t="s">
        <v>2992</v>
      </c>
      <c r="T12" s="3158" t="s">
        <v>3014</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2895</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2957</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2896</v>
      </c>
      <c r="Q15" s="3158" t="s">
        <v>2929</v>
      </c>
      <c r="R15" s="3158" t="s">
        <v>1090</v>
      </c>
      <c r="S15" s="3158" t="s">
        <v>2993</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2897</v>
      </c>
      <c r="Q16" s="3158" t="s">
        <v>1075</v>
      </c>
      <c r="R16" s="3158" t="s">
        <v>1098</v>
      </c>
      <c r="S16" s="3158" t="s">
        <v>1054</v>
      </c>
      <c r="T16" s="3158" t="s">
        <v>3015</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2898</v>
      </c>
      <c r="Q17" s="3158" t="s">
        <v>2930</v>
      </c>
      <c r="R17" s="3158" t="s">
        <v>1104</v>
      </c>
      <c r="S17" s="3158" t="s">
        <v>2994</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2899</v>
      </c>
      <c r="Q18" s="3158" t="s">
        <v>1089</v>
      </c>
      <c r="R18" s="3158" t="s">
        <v>2958</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2900</v>
      </c>
      <c r="Q19" s="3158" t="s">
        <v>1097</v>
      </c>
      <c r="R19" s="3158" t="s">
        <v>2959</v>
      </c>
      <c r="S19" s="3158" t="s">
        <v>1113</v>
      </c>
      <c r="T19" s="3158" t="s">
        <v>3016</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2901</v>
      </c>
      <c r="Q20" s="3158" t="s">
        <v>2931</v>
      </c>
      <c r="R20" s="3158" t="s">
        <v>1139</v>
      </c>
      <c r="S20" s="3158" t="s">
        <v>2995</v>
      </c>
      <c r="T20" s="3158" t="s">
        <v>1126</v>
      </c>
    </row>
    <row r="21" spans="1:20" ht="14.25" customHeight="1">
      <c r="A21" s="3158" t="s">
        <v>1031</v>
      </c>
      <c r="B21" s="1216" t="s">
        <v>1055</v>
      </c>
      <c r="C21" s="3158">
        <v>32370</v>
      </c>
      <c r="D21" s="3158">
        <v>26730</v>
      </c>
      <c r="E21" s="3158">
        <v>26640</v>
      </c>
      <c r="F21" s="3164"/>
      <c r="G21" s="3165">
        <v>19440</v>
      </c>
      <c r="K21" s="3167" t="s">
        <v>2823</v>
      </c>
      <c r="L21" s="3158" t="s">
        <v>1115</v>
      </c>
      <c r="M21" s="3158" t="s">
        <v>1116</v>
      </c>
      <c r="N21" s="3158" t="s">
        <v>1117</v>
      </c>
      <c r="O21" s="3158" t="s">
        <v>1118</v>
      </c>
      <c r="P21" s="3158" t="s">
        <v>1112</v>
      </c>
      <c r="Q21" s="3158" t="s">
        <v>1132</v>
      </c>
      <c r="R21" s="3158" t="s">
        <v>1142</v>
      </c>
      <c r="S21" s="3158" t="s">
        <v>2996</v>
      </c>
      <c r="T21" s="3158" t="s">
        <v>3017</v>
      </c>
    </row>
    <row r="22" spans="1:20" ht="14.25" customHeight="1">
      <c r="A22" s="3158" t="s">
        <v>1031</v>
      </c>
      <c r="B22" s="1216" t="s">
        <v>1062</v>
      </c>
      <c r="C22" s="3158">
        <v>29830</v>
      </c>
      <c r="D22" s="3158">
        <v>27600</v>
      </c>
      <c r="E22" s="3158">
        <v>28150</v>
      </c>
      <c r="F22" s="3164"/>
      <c r="G22" s="3165">
        <v>20080</v>
      </c>
      <c r="L22" s="3167" t="s">
        <v>2825</v>
      </c>
      <c r="M22" s="3158" t="s">
        <v>1120</v>
      </c>
      <c r="N22" s="3158" t="s">
        <v>1121</v>
      </c>
      <c r="O22" s="3158" t="s">
        <v>1122</v>
      </c>
      <c r="P22" s="3158" t="s">
        <v>2902</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2826</v>
      </c>
      <c r="M23" s="3158" t="s">
        <v>1127</v>
      </c>
      <c r="N23" s="3158" t="s">
        <v>1128</v>
      </c>
      <c r="O23" s="3158" t="s">
        <v>2856</v>
      </c>
      <c r="P23" s="3158" t="s">
        <v>2903</v>
      </c>
      <c r="Q23" s="3158" t="s">
        <v>1138</v>
      </c>
      <c r="R23" s="3158" t="s">
        <v>1147</v>
      </c>
      <c r="S23" s="3158" t="s">
        <v>2997</v>
      </c>
    </row>
    <row r="24" spans="1:20" ht="14.25" customHeight="1">
      <c r="A24" s="3158" t="s">
        <v>1031</v>
      </c>
      <c r="B24" s="1216" t="s">
        <v>1078</v>
      </c>
      <c r="C24" s="3158">
        <v>27930</v>
      </c>
      <c r="D24" s="3158">
        <v>32260</v>
      </c>
      <c r="E24" s="3158">
        <v>32120</v>
      </c>
      <c r="F24" s="3164"/>
      <c r="G24" s="3165">
        <v>23470</v>
      </c>
      <c r="L24" s="3167" t="s">
        <v>2827</v>
      </c>
      <c r="M24" s="3158" t="s">
        <v>1130</v>
      </c>
      <c r="N24" s="3158" t="s">
        <v>1131</v>
      </c>
      <c r="O24" s="3158" t="s">
        <v>2857</v>
      </c>
      <c r="P24" s="3158" t="s">
        <v>1134</v>
      </c>
      <c r="Q24" s="3158" t="s">
        <v>2932</v>
      </c>
      <c r="R24" s="3158" t="s">
        <v>2960</v>
      </c>
      <c r="S24" s="3158" t="s">
        <v>2998</v>
      </c>
    </row>
    <row r="25" spans="1:20" ht="14.25" customHeight="1">
      <c r="A25" s="3158" t="s">
        <v>1031</v>
      </c>
      <c r="B25" s="1216" t="s">
        <v>1083</v>
      </c>
      <c r="C25" s="3158">
        <v>32230</v>
      </c>
      <c r="D25" s="3158">
        <v>29640</v>
      </c>
      <c r="E25" s="3158">
        <v>29510</v>
      </c>
      <c r="F25" s="3164"/>
      <c r="G25" s="3165">
        <v>21560</v>
      </c>
      <c r="L25" s="3167" t="s">
        <v>2828</v>
      </c>
      <c r="M25" s="3158" t="s">
        <v>2831</v>
      </c>
      <c r="N25" s="3158" t="s">
        <v>1133</v>
      </c>
      <c r="O25" s="3158" t="s">
        <v>1141</v>
      </c>
      <c r="P25" s="3158" t="s">
        <v>1137</v>
      </c>
      <c r="Q25" s="3158" t="s">
        <v>1124</v>
      </c>
      <c r="R25" s="3158" t="s">
        <v>1119</v>
      </c>
      <c r="S25" s="3158" t="s">
        <v>2999</v>
      </c>
    </row>
    <row r="26" spans="1:20" ht="14.25" customHeight="1">
      <c r="A26" s="3158" t="s">
        <v>1031</v>
      </c>
      <c r="B26" s="1216" t="s">
        <v>1092</v>
      </c>
      <c r="C26" s="3158">
        <v>31690</v>
      </c>
      <c r="D26" s="3158">
        <v>27650</v>
      </c>
      <c r="E26" s="3158">
        <v>28200</v>
      </c>
      <c r="F26" s="3164"/>
      <c r="G26" s="3165">
        <v>20110</v>
      </c>
      <c r="L26" s="3167" t="s">
        <v>2829</v>
      </c>
      <c r="M26" s="3158" t="s">
        <v>2832</v>
      </c>
      <c r="N26" s="3158" t="s">
        <v>1136</v>
      </c>
      <c r="O26" s="3158" t="s">
        <v>1143</v>
      </c>
      <c r="P26" s="3158" t="s">
        <v>2904</v>
      </c>
      <c r="Q26" s="3158" t="s">
        <v>2933</v>
      </c>
      <c r="R26" s="3158" t="s">
        <v>1125</v>
      </c>
      <c r="S26" s="3158" t="s">
        <v>3000</v>
      </c>
    </row>
    <row r="27" spans="1:20" ht="14.25" customHeight="1">
      <c r="A27" s="3158" t="s">
        <v>1031</v>
      </c>
      <c r="B27" s="1216" t="s">
        <v>1099</v>
      </c>
      <c r="C27" s="3158">
        <v>29610</v>
      </c>
      <c r="D27" s="3158">
        <v>27770</v>
      </c>
      <c r="E27" s="3158">
        <v>28300</v>
      </c>
      <c r="F27" s="3164"/>
      <c r="G27" s="3165">
        <v>20210</v>
      </c>
      <c r="M27" s="3158" t="s">
        <v>2833</v>
      </c>
      <c r="N27" s="3158" t="s">
        <v>1140</v>
      </c>
      <c r="O27" s="3158" t="s">
        <v>1146</v>
      </c>
      <c r="P27" s="3158" t="s">
        <v>1123</v>
      </c>
      <c r="Q27" s="3158" t="s">
        <v>2934</v>
      </c>
      <c r="R27" s="3158" t="s">
        <v>2961</v>
      </c>
      <c r="S27" s="3158" t="s">
        <v>3001</v>
      </c>
    </row>
    <row r="28" spans="1:20" ht="14.25" customHeight="1">
      <c r="A28" s="3172" t="s">
        <v>1031</v>
      </c>
      <c r="B28" s="2406" t="s">
        <v>1107</v>
      </c>
      <c r="C28" s="1214"/>
      <c r="D28" s="1214">
        <v>31520</v>
      </c>
      <c r="E28" s="1214">
        <v>31410</v>
      </c>
      <c r="F28" s="3169"/>
      <c r="G28" s="3170">
        <v>22940</v>
      </c>
      <c r="M28" s="3158" t="s">
        <v>2834</v>
      </c>
      <c r="N28" s="3158" t="s">
        <v>2841</v>
      </c>
      <c r="O28" s="3158" t="s">
        <v>2858</v>
      </c>
      <c r="P28" s="3158" t="s">
        <v>2905</v>
      </c>
      <c r="Q28" s="3158" t="s">
        <v>2935</v>
      </c>
      <c r="R28" s="3158" t="s">
        <v>2962</v>
      </c>
      <c r="S28" s="3167" t="s">
        <v>3002</v>
      </c>
    </row>
    <row r="29" spans="1:20" ht="14.25" customHeight="1" thickBot="1">
      <c r="A29" s="3173" t="s">
        <v>1031</v>
      </c>
      <c r="B29" s="3161" t="s">
        <v>2823</v>
      </c>
      <c r="C29" s="3161"/>
      <c r="D29" s="3161">
        <v>29460</v>
      </c>
      <c r="E29" s="3161">
        <v>28640</v>
      </c>
      <c r="F29" s="3162"/>
      <c r="G29" s="3174">
        <v>21430</v>
      </c>
      <c r="M29" s="3167" t="s">
        <v>2835</v>
      </c>
      <c r="N29" s="3158" t="s">
        <v>2842</v>
      </c>
      <c r="O29" s="3158" t="s">
        <v>2859</v>
      </c>
      <c r="P29" s="3158" t="s">
        <v>2906</v>
      </c>
      <c r="Q29" s="3158" t="s">
        <v>2936</v>
      </c>
      <c r="R29" s="3158" t="s">
        <v>2963</v>
      </c>
      <c r="S29" s="3167" t="s">
        <v>1129</v>
      </c>
    </row>
    <row r="30" spans="1:20" ht="14.25" customHeight="1">
      <c r="A30" s="3172" t="s">
        <v>1145</v>
      </c>
      <c r="B30" s="1216" t="s">
        <v>2824</v>
      </c>
      <c r="C30" s="1216">
        <v>26890</v>
      </c>
      <c r="D30" s="1216">
        <v>26770</v>
      </c>
      <c r="E30" s="1216">
        <v>25700</v>
      </c>
      <c r="F30" s="3159">
        <v>8180</v>
      </c>
      <c r="G30" s="3159">
        <v>18740</v>
      </c>
      <c r="I30" s="971"/>
      <c r="M30" s="3167" t="s">
        <v>2836</v>
      </c>
      <c r="N30" s="3158" t="s">
        <v>2843</v>
      </c>
      <c r="O30" s="3158" t="s">
        <v>2860</v>
      </c>
      <c r="P30" s="3158" t="s">
        <v>2907</v>
      </c>
      <c r="Q30" s="3158" t="s">
        <v>2937</v>
      </c>
      <c r="R30" s="3158" t="s">
        <v>2964</v>
      </c>
      <c r="S30" s="3167" t="s">
        <v>3003</v>
      </c>
    </row>
    <row r="31" spans="1:20" ht="14.25" customHeight="1">
      <c r="A31" s="3158" t="s">
        <v>1145</v>
      </c>
      <c r="B31" s="1216" t="s">
        <v>974</v>
      </c>
      <c r="C31" s="3158">
        <v>24550</v>
      </c>
      <c r="D31" s="3158">
        <v>23990</v>
      </c>
      <c r="E31" s="3158">
        <v>22930</v>
      </c>
      <c r="F31" s="3164">
        <v>7470</v>
      </c>
      <c r="G31" s="3164">
        <v>16790</v>
      </c>
      <c r="I31" s="971"/>
      <c r="M31" s="3167" t="s">
        <v>2837</v>
      </c>
      <c r="N31" s="3158" t="s">
        <v>2844</v>
      </c>
      <c r="O31" s="3158" t="s">
        <v>2861</v>
      </c>
      <c r="P31" s="3158" t="s">
        <v>2908</v>
      </c>
      <c r="Q31" s="3158" t="s">
        <v>2938</v>
      </c>
      <c r="R31" s="3158" t="s">
        <v>2965</v>
      </c>
      <c r="S31" s="3167" t="s">
        <v>3004</v>
      </c>
    </row>
    <row r="32" spans="1:20" ht="14.25" customHeight="1">
      <c r="A32" s="3158" t="s">
        <v>1145</v>
      </c>
      <c r="B32" s="1216" t="s">
        <v>984</v>
      </c>
      <c r="C32" s="3158">
        <v>27210</v>
      </c>
      <c r="D32" s="3158">
        <v>23240</v>
      </c>
      <c r="E32" s="3158">
        <v>23260</v>
      </c>
      <c r="F32" s="3164">
        <v>7130</v>
      </c>
      <c r="G32" s="3164">
        <v>16270</v>
      </c>
      <c r="I32" s="971"/>
      <c r="M32" s="3167" t="s">
        <v>2838</v>
      </c>
      <c r="N32" s="3158" t="s">
        <v>2845</v>
      </c>
      <c r="O32" s="3158" t="s">
        <v>1149</v>
      </c>
      <c r="P32" s="3158" t="s">
        <v>2909</v>
      </c>
      <c r="Q32" s="3158" t="s">
        <v>1148</v>
      </c>
      <c r="R32" s="3158" t="s">
        <v>2966</v>
      </c>
      <c r="S32" s="3167" t="s">
        <v>3005</v>
      </c>
    </row>
    <row r="33" spans="1:18" ht="14.25" customHeight="1">
      <c r="A33" s="3158" t="s">
        <v>1145</v>
      </c>
      <c r="B33" s="1216" t="s">
        <v>993</v>
      </c>
      <c r="C33" s="3158">
        <v>27300</v>
      </c>
      <c r="D33" s="3158">
        <v>22980</v>
      </c>
      <c r="E33" s="3158">
        <v>24260</v>
      </c>
      <c r="F33" s="3164">
        <v>5860</v>
      </c>
      <c r="G33" s="3164">
        <v>16090</v>
      </c>
      <c r="I33" s="971"/>
      <c r="M33" s="3167" t="s">
        <v>2839</v>
      </c>
      <c r="N33" s="3158" t="s">
        <v>2846</v>
      </c>
      <c r="O33" s="3158" t="s">
        <v>1150</v>
      </c>
      <c r="P33" s="3158" t="s">
        <v>2910</v>
      </c>
      <c r="Q33" s="3158" t="s">
        <v>2939</v>
      </c>
      <c r="R33" s="3158" t="s">
        <v>2967</v>
      </c>
    </row>
    <row r="34" spans="1:18" ht="14.25" customHeight="1">
      <c r="A34" s="3158" t="s">
        <v>1145</v>
      </c>
      <c r="B34" s="1216" t="s">
        <v>1003</v>
      </c>
      <c r="C34" s="3158">
        <v>23090</v>
      </c>
      <c r="D34" s="3158">
        <v>23390</v>
      </c>
      <c r="E34" s="3158">
        <v>23510</v>
      </c>
      <c r="F34" s="3164">
        <v>6700</v>
      </c>
      <c r="G34" s="3164">
        <v>16370</v>
      </c>
      <c r="I34" s="971"/>
      <c r="N34" s="3158" t="s">
        <v>2847</v>
      </c>
      <c r="O34" s="3158" t="s">
        <v>1151</v>
      </c>
      <c r="P34" s="3158" t="s">
        <v>2911</v>
      </c>
      <c r="Q34" s="3158" t="s">
        <v>2940</v>
      </c>
      <c r="R34" s="3158" t="s">
        <v>2968</v>
      </c>
    </row>
    <row r="35" spans="1:18" ht="14.25" customHeight="1">
      <c r="A35" s="3158" t="s">
        <v>1145</v>
      </c>
      <c r="B35" s="1216" t="s">
        <v>1010</v>
      </c>
      <c r="C35" s="3158">
        <v>27270</v>
      </c>
      <c r="D35" s="3158">
        <v>24270</v>
      </c>
      <c r="E35" s="3158">
        <v>24950</v>
      </c>
      <c r="F35" s="3164">
        <v>6600</v>
      </c>
      <c r="G35" s="3164">
        <v>16990</v>
      </c>
      <c r="I35" s="971"/>
      <c r="N35" s="3158" t="s">
        <v>2848</v>
      </c>
      <c r="O35" s="3158" t="s">
        <v>2862</v>
      </c>
      <c r="P35" s="3158" t="s">
        <v>2912</v>
      </c>
      <c r="Q35" s="3158" t="s">
        <v>2941</v>
      </c>
      <c r="R35" s="3158" t="s">
        <v>2969</v>
      </c>
    </row>
    <row r="36" spans="1:18" ht="14.25" customHeight="1">
      <c r="A36" s="3158" t="s">
        <v>1145</v>
      </c>
      <c r="B36" s="1216" t="s">
        <v>1016</v>
      </c>
      <c r="C36" s="3158">
        <v>23490</v>
      </c>
      <c r="D36" s="3158">
        <v>23020</v>
      </c>
      <c r="E36" s="3158">
        <v>25230</v>
      </c>
      <c r="F36" s="3164">
        <v>6780</v>
      </c>
      <c r="G36" s="3164">
        <v>16120</v>
      </c>
      <c r="I36" s="971"/>
      <c r="N36" s="3167" t="s">
        <v>2849</v>
      </c>
      <c r="O36" s="3194" t="s">
        <v>2863</v>
      </c>
      <c r="P36" s="3158" t="s">
        <v>2913</v>
      </c>
      <c r="Q36" s="3158" t="s">
        <v>2942</v>
      </c>
      <c r="R36" s="3158" t="s">
        <v>2970</v>
      </c>
    </row>
    <row r="37" spans="1:18" ht="14.25" customHeight="1">
      <c r="A37" s="3158" t="s">
        <v>1145</v>
      </c>
      <c r="B37" s="1216" t="s">
        <v>1023</v>
      </c>
      <c r="C37" s="3158">
        <v>24380</v>
      </c>
      <c r="D37" s="3158">
        <v>22240</v>
      </c>
      <c r="E37" s="3158">
        <v>25980</v>
      </c>
      <c r="F37" s="3164">
        <v>8160</v>
      </c>
      <c r="G37" s="3164">
        <v>15570</v>
      </c>
      <c r="I37" s="972"/>
      <c r="N37" s="3167" t="s">
        <v>2850</v>
      </c>
      <c r="O37" s="3194" t="s">
        <v>2864</v>
      </c>
      <c r="P37" s="3158" t="s">
        <v>2914</v>
      </c>
      <c r="Q37" s="3158" t="s">
        <v>2943</v>
      </c>
      <c r="R37" s="3158" t="s">
        <v>2971</v>
      </c>
    </row>
    <row r="38" spans="1:18" ht="14.25" customHeight="1">
      <c r="A38" s="3158" t="s">
        <v>1145</v>
      </c>
      <c r="B38" s="1216" t="s">
        <v>1033</v>
      </c>
      <c r="C38" s="3158">
        <v>23120</v>
      </c>
      <c r="D38" s="3158">
        <v>24630</v>
      </c>
      <c r="E38" s="3158">
        <v>25030</v>
      </c>
      <c r="F38" s="3164">
        <v>7710</v>
      </c>
      <c r="G38" s="3164">
        <v>17240</v>
      </c>
      <c r="I38" s="971"/>
      <c r="N38" s="3167" t="s">
        <v>2851</v>
      </c>
      <c r="O38" s="3194" t="s">
        <v>2865</v>
      </c>
      <c r="P38" s="3158" t="s">
        <v>2915</v>
      </c>
      <c r="Q38" s="3158" t="s">
        <v>2944</v>
      </c>
      <c r="R38" s="3158" t="s">
        <v>2972</v>
      </c>
    </row>
    <row r="39" spans="1:18" ht="14.25" customHeight="1">
      <c r="A39" s="3158" t="s">
        <v>1145</v>
      </c>
      <c r="B39" s="1216" t="s">
        <v>1042</v>
      </c>
      <c r="C39" s="3158">
        <v>22330</v>
      </c>
      <c r="D39" s="3158">
        <v>21140</v>
      </c>
      <c r="E39" s="3158">
        <v>23970</v>
      </c>
      <c r="F39" s="3164">
        <v>7940</v>
      </c>
      <c r="G39" s="3164">
        <v>14790</v>
      </c>
      <c r="I39" s="971"/>
      <c r="N39" s="3167" t="s">
        <v>2852</v>
      </c>
      <c r="O39" s="3194" t="s">
        <v>2866</v>
      </c>
      <c r="P39" s="3158" t="s">
        <v>2916</v>
      </c>
      <c r="Q39" s="3158" t="s">
        <v>2945</v>
      </c>
      <c r="R39" s="3158" t="s">
        <v>2973</v>
      </c>
    </row>
    <row r="40" spans="1:18" ht="14.25" customHeight="1">
      <c r="A40" s="3158" t="s">
        <v>1145</v>
      </c>
      <c r="B40" s="1216" t="s">
        <v>1049</v>
      </c>
      <c r="C40" s="3158">
        <v>24740</v>
      </c>
      <c r="D40" s="3158">
        <v>24690</v>
      </c>
      <c r="E40" s="3158">
        <v>22610</v>
      </c>
      <c r="F40" s="3164"/>
      <c r="G40" s="3164">
        <v>17280</v>
      </c>
      <c r="I40" s="971"/>
      <c r="N40" s="3167" t="s">
        <v>2853</v>
      </c>
      <c r="O40" s="3194" t="s">
        <v>2867</v>
      </c>
      <c r="P40" s="3158" t="s">
        <v>2917</v>
      </c>
      <c r="Q40" s="3158" t="s">
        <v>2946</v>
      </c>
      <c r="R40" s="3158" t="s">
        <v>2974</v>
      </c>
    </row>
    <row r="41" spans="1:18" ht="14.25" customHeight="1">
      <c r="A41" s="3158" t="s">
        <v>1145</v>
      </c>
      <c r="B41" s="1216" t="s">
        <v>1056</v>
      </c>
      <c r="C41" s="3158">
        <v>21220</v>
      </c>
      <c r="D41" s="3158">
        <v>21120</v>
      </c>
      <c r="E41" s="3158">
        <v>22590</v>
      </c>
      <c r="F41" s="3164"/>
      <c r="G41" s="3164">
        <v>14780</v>
      </c>
      <c r="I41" s="971"/>
      <c r="N41" s="3167" t="s">
        <v>2854</v>
      </c>
      <c r="O41" s="3195" t="s">
        <v>2868</v>
      </c>
      <c r="P41" s="1216" t="s">
        <v>2918</v>
      </c>
      <c r="Q41" s="3167" t="s">
        <v>2947</v>
      </c>
      <c r="R41" s="1216" t="s">
        <v>2975</v>
      </c>
    </row>
    <row r="42" spans="1:18" ht="14.25" customHeight="1">
      <c r="A42" s="3158" t="s">
        <v>1145</v>
      </c>
      <c r="B42" s="1216" t="s">
        <v>1063</v>
      </c>
      <c r="C42" s="3158">
        <v>24800</v>
      </c>
      <c r="D42" s="3158">
        <v>22280</v>
      </c>
      <c r="E42" s="3158">
        <v>24350</v>
      </c>
      <c r="F42" s="3164"/>
      <c r="G42" s="3164">
        <v>15590</v>
      </c>
      <c r="I42" s="971"/>
      <c r="O42" s="3158" t="s">
        <v>2869</v>
      </c>
      <c r="P42" s="3158" t="s">
        <v>2919</v>
      </c>
      <c r="Q42" s="3167" t="s">
        <v>2948</v>
      </c>
      <c r="R42" s="3158" t="s">
        <v>2976</v>
      </c>
    </row>
    <row r="43" spans="1:18" ht="14.25" customHeight="1">
      <c r="A43" s="3158" t="s">
        <v>1145</v>
      </c>
      <c r="B43" s="1216" t="s">
        <v>1071</v>
      </c>
      <c r="C43" s="3158">
        <v>21210</v>
      </c>
      <c r="D43" s="3158">
        <v>21160</v>
      </c>
      <c r="E43" s="3158">
        <v>22650</v>
      </c>
      <c r="F43" s="3164"/>
      <c r="G43" s="3164">
        <v>14800</v>
      </c>
      <c r="I43" s="971"/>
      <c r="O43" s="3158" t="s">
        <v>2870</v>
      </c>
      <c r="P43" s="3158" t="s">
        <v>2920</v>
      </c>
      <c r="Q43" s="3167" t="s">
        <v>2949</v>
      </c>
      <c r="R43" s="3158" t="s">
        <v>2977</v>
      </c>
    </row>
    <row r="44" spans="1:18" ht="14.25" customHeight="1">
      <c r="A44" s="3158" t="s">
        <v>1145</v>
      </c>
      <c r="B44" s="1216" t="s">
        <v>1079</v>
      </c>
      <c r="C44" s="3158">
        <v>22370</v>
      </c>
      <c r="D44" s="3158">
        <v>23140</v>
      </c>
      <c r="E44" s="3158">
        <v>25090</v>
      </c>
      <c r="F44" s="3164"/>
      <c r="G44" s="3164">
        <v>16190</v>
      </c>
      <c r="I44" s="971"/>
      <c r="O44" s="3158" t="s">
        <v>2871</v>
      </c>
      <c r="P44" s="3158" t="s">
        <v>2921</v>
      </c>
      <c r="Q44" s="3167" t="s">
        <v>2950</v>
      </c>
      <c r="R44" s="3158" t="s">
        <v>2978</v>
      </c>
    </row>
    <row r="45" spans="1:18" ht="14.25" customHeight="1">
      <c r="A45" s="3158" t="s">
        <v>1145</v>
      </c>
      <c r="B45" s="1216" t="s">
        <v>1084</v>
      </c>
      <c r="C45" s="3158">
        <v>21240</v>
      </c>
      <c r="D45" s="3158">
        <v>27050</v>
      </c>
      <c r="E45" s="3158">
        <v>28000</v>
      </c>
      <c r="F45" s="3164"/>
      <c r="G45" s="3164">
        <v>18940</v>
      </c>
      <c r="I45" s="971"/>
      <c r="O45" s="3158" t="s">
        <v>2872</v>
      </c>
      <c r="P45" s="3158" t="s">
        <v>2922</v>
      </c>
      <c r="R45" s="3158" t="s">
        <v>2979</v>
      </c>
    </row>
    <row r="46" spans="1:18" ht="14.25" customHeight="1">
      <c r="A46" s="3158" t="s">
        <v>1145</v>
      </c>
      <c r="B46" s="1216" t="s">
        <v>1093</v>
      </c>
      <c r="C46" s="3158">
        <v>23240</v>
      </c>
      <c r="D46" s="3158">
        <v>23000</v>
      </c>
      <c r="E46" s="3158">
        <v>24980</v>
      </c>
      <c r="F46" s="3164"/>
      <c r="G46" s="3164">
        <v>16100</v>
      </c>
      <c r="I46" s="971"/>
      <c r="O46" s="3158" t="s">
        <v>2873</v>
      </c>
      <c r="P46" s="3158"/>
      <c r="R46" s="3158" t="s">
        <v>2980</v>
      </c>
    </row>
    <row r="47" spans="1:18" ht="14.25" customHeight="1">
      <c r="A47" s="3158" t="s">
        <v>1145</v>
      </c>
      <c r="B47" s="2406" t="s">
        <v>1100</v>
      </c>
      <c r="C47" s="1214">
        <v>27150</v>
      </c>
      <c r="D47" s="1214">
        <v>23310</v>
      </c>
      <c r="E47" s="1214">
        <v>25150</v>
      </c>
      <c r="F47" s="3169"/>
      <c r="G47" s="3169">
        <v>16310</v>
      </c>
      <c r="I47" s="971"/>
      <c r="O47" s="3158" t="s">
        <v>2874</v>
      </c>
      <c r="P47" s="3158"/>
      <c r="R47" s="3167" t="s">
        <v>2981</v>
      </c>
    </row>
    <row r="48" spans="1:18" ht="14.25" customHeight="1">
      <c r="A48" s="3158" t="s">
        <v>1145</v>
      </c>
      <c r="B48" s="3158" t="s">
        <v>1108</v>
      </c>
      <c r="C48" s="3158">
        <v>23100</v>
      </c>
      <c r="D48" s="3158">
        <v>21110</v>
      </c>
      <c r="E48" s="3158">
        <v>23080</v>
      </c>
      <c r="F48" s="3164"/>
      <c r="G48" s="3171">
        <v>14780</v>
      </c>
      <c r="I48" s="971"/>
      <c r="O48" s="3158" t="s">
        <v>2875</v>
      </c>
      <c r="P48" s="3158"/>
      <c r="R48" s="3167" t="s">
        <v>2982</v>
      </c>
    </row>
    <row r="49" spans="1:18" ht="14.25" customHeight="1">
      <c r="A49" s="3158" t="s">
        <v>1145</v>
      </c>
      <c r="B49" s="1216" t="s">
        <v>1115</v>
      </c>
      <c r="C49" s="1216">
        <v>23400</v>
      </c>
      <c r="D49" s="1216">
        <v>22920</v>
      </c>
      <c r="E49" s="1216">
        <v>24900</v>
      </c>
      <c r="F49" s="3159"/>
      <c r="G49" s="3159">
        <v>16040</v>
      </c>
      <c r="I49" s="971"/>
      <c r="O49" s="3158" t="s">
        <v>2876</v>
      </c>
      <c r="P49" s="3158"/>
      <c r="R49" s="3167" t="s">
        <v>2983</v>
      </c>
    </row>
    <row r="50" spans="1:18" ht="14.25" customHeight="1">
      <c r="A50" s="3158" t="s">
        <v>1145</v>
      </c>
      <c r="B50" s="3158" t="s">
        <v>2825</v>
      </c>
      <c r="C50" s="3158">
        <v>21200</v>
      </c>
      <c r="D50" s="3158">
        <v>26540</v>
      </c>
      <c r="E50" s="3158">
        <v>23200</v>
      </c>
      <c r="F50" s="3164"/>
      <c r="G50" s="3164">
        <v>18580</v>
      </c>
      <c r="I50" s="971"/>
      <c r="O50" s="3167" t="s">
        <v>2877</v>
      </c>
      <c r="R50" s="3167" t="s">
        <v>2984</v>
      </c>
    </row>
    <row r="51" spans="1:18" ht="14.25" customHeight="1">
      <c r="A51" s="3158" t="s">
        <v>1145</v>
      </c>
      <c r="B51" s="3158" t="s">
        <v>2826</v>
      </c>
      <c r="C51" s="3158">
        <v>23000</v>
      </c>
      <c r="D51" s="3158">
        <v>23460</v>
      </c>
      <c r="E51" s="3158">
        <v>25290</v>
      </c>
      <c r="F51" s="3164"/>
      <c r="G51" s="3164">
        <v>16420</v>
      </c>
      <c r="I51" s="971"/>
      <c r="O51" s="3167" t="s">
        <v>2878</v>
      </c>
      <c r="R51" s="3167" t="s">
        <v>2985</v>
      </c>
    </row>
    <row r="52" spans="1:18" ht="14.25" customHeight="1">
      <c r="A52" s="3158" t="s">
        <v>1145</v>
      </c>
      <c r="B52" s="3158" t="s">
        <v>2827</v>
      </c>
      <c r="C52" s="3158">
        <v>26660</v>
      </c>
      <c r="D52" s="3158">
        <v>22350</v>
      </c>
      <c r="E52" s="3158">
        <v>22920</v>
      </c>
      <c r="F52" s="3164"/>
      <c r="G52" s="3164">
        <v>15640</v>
      </c>
      <c r="I52" s="971"/>
      <c r="O52" s="3167" t="s">
        <v>2879</v>
      </c>
    </row>
    <row r="53" spans="1:18" ht="14.25" customHeight="1">
      <c r="A53" s="3158" t="s">
        <v>1145</v>
      </c>
      <c r="B53" s="3158" t="s">
        <v>2828</v>
      </c>
      <c r="C53" s="3158">
        <v>23580</v>
      </c>
      <c r="D53" s="3158"/>
      <c r="E53" s="3158">
        <v>24280</v>
      </c>
      <c r="F53" s="3164"/>
      <c r="G53" s="3164"/>
      <c r="I53" s="971"/>
      <c r="O53" s="3167" t="s">
        <v>2880</v>
      </c>
    </row>
    <row r="54" spans="1:18" ht="14.25" customHeight="1" thickBot="1">
      <c r="A54" s="3173" t="s">
        <v>1145</v>
      </c>
      <c r="B54" s="3161" t="s">
        <v>2829</v>
      </c>
      <c r="C54" s="3161">
        <v>22460</v>
      </c>
      <c r="D54" s="3161"/>
      <c r="E54" s="3161"/>
      <c r="F54" s="3162"/>
      <c r="G54" s="3174"/>
      <c r="I54" s="971"/>
      <c r="O54" s="3167" t="s">
        <v>2881</v>
      </c>
    </row>
    <row r="55" spans="1:18" ht="14.25" customHeight="1">
      <c r="A55" s="3172" t="s">
        <v>853</v>
      </c>
      <c r="B55" s="1216" t="s">
        <v>2830</v>
      </c>
      <c r="C55" s="1216">
        <v>21970</v>
      </c>
      <c r="D55" s="1216">
        <v>20370</v>
      </c>
      <c r="E55" s="1216">
        <v>20180</v>
      </c>
      <c r="F55" s="3159">
        <v>5730</v>
      </c>
      <c r="G55" s="3159">
        <v>13820</v>
      </c>
      <c r="I55" s="971"/>
      <c r="O55" s="3167" t="s">
        <v>2882</v>
      </c>
    </row>
    <row r="56" spans="1:18" ht="14.25" customHeight="1">
      <c r="A56" s="3158" t="s">
        <v>853</v>
      </c>
      <c r="B56" s="3158" t="s">
        <v>975</v>
      </c>
      <c r="C56" s="3158">
        <v>20470</v>
      </c>
      <c r="D56" s="3158">
        <v>20700</v>
      </c>
      <c r="E56" s="3158">
        <v>20380</v>
      </c>
      <c r="F56" s="3164">
        <v>4760</v>
      </c>
      <c r="G56" s="3164">
        <v>14050</v>
      </c>
      <c r="I56" s="971"/>
      <c r="O56" s="3167" t="s">
        <v>2883</v>
      </c>
    </row>
    <row r="57" spans="1:18" ht="14.25" customHeight="1">
      <c r="A57" s="3158" t="s">
        <v>853</v>
      </c>
      <c r="B57" s="3158" t="s">
        <v>985</v>
      </c>
      <c r="C57" s="3158">
        <v>20790</v>
      </c>
      <c r="D57" s="3158">
        <v>21370</v>
      </c>
      <c r="E57" s="3158">
        <v>20890</v>
      </c>
      <c r="F57" s="3164">
        <v>4910</v>
      </c>
      <c r="G57" s="3164">
        <v>14510</v>
      </c>
      <c r="I57" s="971"/>
      <c r="O57" s="3167" t="s">
        <v>2884</v>
      </c>
    </row>
    <row r="58" spans="1:18" ht="14.25" customHeight="1">
      <c r="A58" s="3158" t="s">
        <v>853</v>
      </c>
      <c r="B58" s="3158" t="s">
        <v>994</v>
      </c>
      <c r="C58" s="3158">
        <v>21460</v>
      </c>
      <c r="D58" s="3158">
        <v>20920</v>
      </c>
      <c r="E58" s="3158">
        <v>23410</v>
      </c>
      <c r="F58" s="3164">
        <v>5100</v>
      </c>
      <c r="G58" s="3164">
        <v>14200</v>
      </c>
      <c r="I58" s="971"/>
      <c r="O58" s="3167" t="s">
        <v>2885</v>
      </c>
    </row>
    <row r="59" spans="1:18" ht="14.25" customHeight="1">
      <c r="A59" s="3158" t="s">
        <v>853</v>
      </c>
      <c r="B59" s="3158" t="s">
        <v>1004</v>
      </c>
      <c r="C59" s="3158">
        <v>21000</v>
      </c>
      <c r="D59" s="3158">
        <v>21550</v>
      </c>
      <c r="E59" s="3158">
        <v>21150</v>
      </c>
      <c r="F59" s="3164">
        <v>5250</v>
      </c>
      <c r="G59" s="3164">
        <v>14630</v>
      </c>
      <c r="I59" s="971"/>
      <c r="O59" s="3167" t="s">
        <v>2886</v>
      </c>
    </row>
    <row r="60" spans="1:18" ht="14.25" customHeight="1">
      <c r="A60" s="3158" t="s">
        <v>853</v>
      </c>
      <c r="B60" s="3158" t="s">
        <v>1011</v>
      </c>
      <c r="C60" s="3158">
        <v>21640</v>
      </c>
      <c r="D60" s="3158">
        <v>21260</v>
      </c>
      <c r="E60" s="3158">
        <v>24040</v>
      </c>
      <c r="F60" s="3164">
        <v>4470</v>
      </c>
      <c r="G60" s="3164">
        <v>14430</v>
      </c>
      <c r="I60" s="971"/>
      <c r="O60" s="3167" t="s">
        <v>2887</v>
      </c>
    </row>
    <row r="61" spans="1:18" ht="14.25" customHeight="1">
      <c r="A61" s="3158" t="s">
        <v>853</v>
      </c>
      <c r="B61" s="3158" t="s">
        <v>1017</v>
      </c>
      <c r="C61" s="3158">
        <v>21330</v>
      </c>
      <c r="D61" s="3158">
        <v>18640</v>
      </c>
      <c r="E61" s="3158">
        <v>21190</v>
      </c>
      <c r="F61" s="3164">
        <v>4180</v>
      </c>
      <c r="G61" s="3166">
        <v>12650</v>
      </c>
      <c r="I61" s="971"/>
      <c r="O61" s="3167" t="s">
        <v>2888</v>
      </c>
    </row>
    <row r="62" spans="1:18" ht="14.25" customHeight="1">
      <c r="A62" s="3158" t="s">
        <v>853</v>
      </c>
      <c r="B62" s="3158" t="s">
        <v>1024</v>
      </c>
      <c r="C62" s="3158">
        <v>18710</v>
      </c>
      <c r="D62" s="3158">
        <v>19400</v>
      </c>
      <c r="E62" s="3158">
        <v>23750</v>
      </c>
      <c r="F62" s="3164">
        <v>4860</v>
      </c>
      <c r="G62" s="3166">
        <v>13170</v>
      </c>
      <c r="I62" s="971"/>
      <c r="O62" s="3167" t="s">
        <v>2889</v>
      </c>
    </row>
    <row r="63" spans="1:18" ht="14.25" customHeight="1">
      <c r="A63" s="3158" t="s">
        <v>853</v>
      </c>
      <c r="B63" s="3158" t="s">
        <v>1034</v>
      </c>
      <c r="C63" s="3158">
        <v>19480</v>
      </c>
      <c r="D63" s="3158">
        <v>16830</v>
      </c>
      <c r="E63" s="3158">
        <v>21590</v>
      </c>
      <c r="F63" s="3164">
        <v>4560</v>
      </c>
      <c r="G63" s="3166">
        <v>11420</v>
      </c>
      <c r="I63" s="971"/>
      <c r="O63" s="3167" t="s">
        <v>2890</v>
      </c>
    </row>
    <row r="64" spans="1:18" ht="14.25" customHeight="1">
      <c r="A64" s="3158" t="s">
        <v>853</v>
      </c>
      <c r="B64" s="3158" t="s">
        <v>1043</v>
      </c>
      <c r="C64" s="3158">
        <v>16920</v>
      </c>
      <c r="D64" s="3158">
        <v>19190</v>
      </c>
      <c r="E64" s="3158">
        <v>22200</v>
      </c>
      <c r="F64" s="3164">
        <v>4390</v>
      </c>
      <c r="G64" s="3166">
        <v>13030</v>
      </c>
      <c r="I64" s="971"/>
      <c r="O64" s="3167" t="s">
        <v>2891</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2831</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2832</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2833</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2834</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2835</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2836</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2837</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2838</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2839</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2840</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2841</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2842</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2843</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2844</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2845</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2846</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2847</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2848</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2849</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2850</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2851</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2852</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2853</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2854</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2855</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2856</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2857</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2858</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2859</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2860</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2861</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2862</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2863</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2864</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2865</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2866</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2867</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2868</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2869</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2870</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2871</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2872</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2873</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2874</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2875</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2876</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2877</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2878</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2879</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2880</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2881</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2882</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2883</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2884</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2885</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2886</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2887</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2888</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2889</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2890</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2891</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2892</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2893</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2894</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2895</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2896</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2897</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2898</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2899</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2900</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2901</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2902</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2903</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2904</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2905</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2906</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2907</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2908</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2909</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2910</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2911</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2912</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2913</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2914</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2915</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2916</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2917</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2918</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2919</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2920</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2921</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2922</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2923</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2924</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2925</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2926</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2927</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2928</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2929</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2930</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2931</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2932</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2933</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2934</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2935</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2936</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2937</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2938</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2939</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2940</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2941</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2942</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2943</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2944</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2945</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2946</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2947</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2948</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2949</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2950</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2951</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2952</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2953</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2954</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2955</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2956</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2957</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2958</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2959</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2960</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2961</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2962</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2963</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2964</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2965</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2966</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2967</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2968</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2969</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2970</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2971</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2972</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2973</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2974</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2975</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2976</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2977</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2978</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2979</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2980</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2981</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2982</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2983</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2984</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2985</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2986</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2987</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2988</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2989</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2990</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2991</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2992</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2993</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2994</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2995</v>
      </c>
      <c r="C345" s="3167">
        <v>3190</v>
      </c>
      <c r="D345" s="3167">
        <v>3140</v>
      </c>
      <c r="E345" s="3167">
        <v>3450</v>
      </c>
      <c r="F345" s="3167">
        <v>720</v>
      </c>
      <c r="G345" s="3167">
        <v>1880</v>
      </c>
      <c r="H345" s="957"/>
    </row>
    <row r="346" spans="1:21">
      <c r="A346" s="3167" t="s">
        <v>1157</v>
      </c>
      <c r="B346" s="3167" t="s">
        <v>2996</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2997</v>
      </c>
      <c r="C348" s="3167">
        <v>4000</v>
      </c>
      <c r="D348" s="3167">
        <v>3950</v>
      </c>
      <c r="E348" s="3167">
        <v>4430</v>
      </c>
      <c r="F348" s="3167">
        <v>760</v>
      </c>
      <c r="G348" s="3167">
        <v>2360</v>
      </c>
      <c r="H348" s="957"/>
    </row>
    <row r="349" spans="1:21">
      <c r="A349" s="3167" t="s">
        <v>1157</v>
      </c>
      <c r="B349" s="3167" t="s">
        <v>2998</v>
      </c>
      <c r="C349" s="3167">
        <v>3820</v>
      </c>
      <c r="D349" s="3167">
        <v>3780</v>
      </c>
      <c r="E349" s="3167">
        <v>4170</v>
      </c>
      <c r="F349" s="3167">
        <v>710</v>
      </c>
      <c r="G349" s="3167">
        <v>2260</v>
      </c>
      <c r="H349" s="957"/>
    </row>
    <row r="350" spans="1:21">
      <c r="A350" s="3167" t="s">
        <v>1157</v>
      </c>
      <c r="B350" s="3167" t="s">
        <v>2999</v>
      </c>
      <c r="C350" s="3167">
        <v>3760</v>
      </c>
      <c r="D350" s="3167">
        <v>3730</v>
      </c>
      <c r="E350" s="3167">
        <v>4100</v>
      </c>
      <c r="F350" s="3167">
        <v>800</v>
      </c>
      <c r="G350" s="3167">
        <v>2230</v>
      </c>
      <c r="H350" s="957"/>
    </row>
    <row r="351" spans="1:21">
      <c r="A351" s="3167" t="s">
        <v>1157</v>
      </c>
      <c r="B351" s="3167" t="s">
        <v>3000</v>
      </c>
      <c r="C351" s="3167">
        <v>3610</v>
      </c>
      <c r="D351" s="3167">
        <v>3580</v>
      </c>
      <c r="E351" s="3167">
        <v>3930</v>
      </c>
      <c r="F351" s="3167">
        <v>700</v>
      </c>
      <c r="G351" s="3167">
        <v>2140</v>
      </c>
      <c r="H351" s="957"/>
    </row>
    <row r="352" spans="1:21">
      <c r="A352" s="3167" t="s">
        <v>1157</v>
      </c>
      <c r="B352" s="3167" t="s">
        <v>3001</v>
      </c>
      <c r="C352" s="3167">
        <v>3670</v>
      </c>
      <c r="D352" s="3167">
        <v>3630</v>
      </c>
      <c r="E352" s="3167">
        <v>4000</v>
      </c>
      <c r="F352" s="3167">
        <v>750</v>
      </c>
      <c r="G352" s="3167">
        <v>2180</v>
      </c>
      <c r="H352" s="957"/>
    </row>
    <row r="353" spans="1:8">
      <c r="A353" s="3167" t="s">
        <v>1157</v>
      </c>
      <c r="B353" s="3167" t="s">
        <v>3002</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3003</v>
      </c>
      <c r="C355" s="3167">
        <v>3650</v>
      </c>
      <c r="D355" s="3167">
        <v>3610</v>
      </c>
      <c r="E355" s="3167">
        <v>4200</v>
      </c>
      <c r="F355" s="3167">
        <v>640</v>
      </c>
      <c r="G355" s="3167">
        <v>2160</v>
      </c>
      <c r="H355" s="957"/>
    </row>
    <row r="356" spans="1:8">
      <c r="A356" s="3167" t="s">
        <v>1157</v>
      </c>
      <c r="B356" s="3167" t="s">
        <v>3004</v>
      </c>
      <c r="C356" s="3167">
        <v>3260</v>
      </c>
      <c r="D356" s="3167">
        <v>3230</v>
      </c>
      <c r="E356" s="3167">
        <v>3740</v>
      </c>
      <c r="F356" s="3167">
        <v>600</v>
      </c>
      <c r="G356" s="3167">
        <v>1930</v>
      </c>
      <c r="H356" s="957"/>
    </row>
    <row r="357" spans="1:8" ht="14.25" thickBot="1">
      <c r="A357" s="3182" t="s">
        <v>1157</v>
      </c>
      <c r="B357" s="3182" t="s">
        <v>3005</v>
      </c>
      <c r="C357" s="3182">
        <v>3690</v>
      </c>
      <c r="D357" s="3182">
        <v>3650</v>
      </c>
      <c r="E357" s="3182">
        <v>4020</v>
      </c>
      <c r="F357" s="3182">
        <v>700</v>
      </c>
      <c r="G357" s="3182">
        <v>2190</v>
      </c>
      <c r="H357" s="957"/>
    </row>
    <row r="358" spans="1:8">
      <c r="A358" s="3183" t="s">
        <v>2763</v>
      </c>
      <c r="B358" s="3184" t="s">
        <v>3006</v>
      </c>
      <c r="C358" s="3184">
        <v>2080</v>
      </c>
      <c r="D358" s="3184">
        <v>2040</v>
      </c>
      <c r="E358" s="3184">
        <v>2010</v>
      </c>
      <c r="F358" s="3184">
        <v>530</v>
      </c>
      <c r="G358" s="3185">
        <v>1230</v>
      </c>
      <c r="H358" s="957"/>
    </row>
    <row r="359" spans="1:8">
      <c r="A359" s="3186" t="s">
        <v>2763</v>
      </c>
      <c r="B359" s="3167" t="s">
        <v>3007</v>
      </c>
      <c r="C359" s="3167">
        <v>1850</v>
      </c>
      <c r="D359" s="3167">
        <v>1820</v>
      </c>
      <c r="E359" s="3167">
        <v>1780</v>
      </c>
      <c r="F359" s="3167">
        <v>520</v>
      </c>
      <c r="G359" s="3179">
        <v>1100</v>
      </c>
      <c r="H359" s="957"/>
    </row>
    <row r="360" spans="1:8">
      <c r="A360" s="3186" t="s">
        <v>2763</v>
      </c>
      <c r="B360" s="3167" t="s">
        <v>3008</v>
      </c>
      <c r="C360" s="3167">
        <v>2020</v>
      </c>
      <c r="D360" s="3167">
        <v>1990</v>
      </c>
      <c r="E360" s="3167">
        <v>1950</v>
      </c>
      <c r="F360" s="3167">
        <v>500</v>
      </c>
      <c r="G360" s="3179">
        <v>1200</v>
      </c>
      <c r="H360" s="957"/>
    </row>
    <row r="361" spans="1:8">
      <c r="A361" s="3186" t="s">
        <v>2763</v>
      </c>
      <c r="B361" s="3167" t="s">
        <v>999</v>
      </c>
      <c r="C361" s="3167">
        <v>2260</v>
      </c>
      <c r="D361" s="3167">
        <v>2220</v>
      </c>
      <c r="E361" s="3167">
        <v>2180</v>
      </c>
      <c r="F361" s="3167">
        <v>580</v>
      </c>
      <c r="G361" s="3179">
        <v>1340</v>
      </c>
      <c r="H361" s="957"/>
    </row>
    <row r="362" spans="1:8">
      <c r="A362" s="3186" t="s">
        <v>2763</v>
      </c>
      <c r="B362" s="3167" t="s">
        <v>3009</v>
      </c>
      <c r="C362" s="3167">
        <v>2650</v>
      </c>
      <c r="D362" s="3167">
        <v>2610</v>
      </c>
      <c r="E362" s="3167">
        <v>2570</v>
      </c>
      <c r="F362" s="3167">
        <v>630</v>
      </c>
      <c r="G362" s="3179">
        <v>1570</v>
      </c>
      <c r="H362" s="957"/>
    </row>
    <row r="363" spans="1:8">
      <c r="A363" s="3186" t="s">
        <v>2763</v>
      </c>
      <c r="B363" s="3167" t="s">
        <v>3010</v>
      </c>
      <c r="C363" s="3167">
        <v>2390</v>
      </c>
      <c r="D363" s="3167">
        <v>2360</v>
      </c>
      <c r="E363" s="3167">
        <v>2320</v>
      </c>
      <c r="F363" s="3167">
        <v>600</v>
      </c>
      <c r="G363" s="3179">
        <v>1420</v>
      </c>
      <c r="H363" s="957"/>
    </row>
    <row r="364" spans="1:8">
      <c r="A364" s="3186" t="s">
        <v>2763</v>
      </c>
      <c r="B364" s="3167" t="s">
        <v>3011</v>
      </c>
      <c r="C364" s="3167">
        <v>2050</v>
      </c>
      <c r="D364" s="3167">
        <v>2030</v>
      </c>
      <c r="E364" s="3167">
        <v>1990</v>
      </c>
      <c r="F364" s="3167">
        <v>550</v>
      </c>
      <c r="G364" s="3179">
        <v>1220</v>
      </c>
      <c r="H364" s="957"/>
    </row>
    <row r="365" spans="1:8">
      <c r="A365" s="3186" t="s">
        <v>2763</v>
      </c>
      <c r="B365" s="3167" t="s">
        <v>1047</v>
      </c>
      <c r="C365" s="3167">
        <v>2140</v>
      </c>
      <c r="D365" s="3167">
        <v>2100</v>
      </c>
      <c r="E365" s="3167">
        <v>2060</v>
      </c>
      <c r="F365" s="3167">
        <v>540</v>
      </c>
      <c r="G365" s="3179">
        <v>1270</v>
      </c>
      <c r="H365" s="957"/>
    </row>
    <row r="366" spans="1:8">
      <c r="A366" s="3186" t="s">
        <v>2763</v>
      </c>
      <c r="B366" s="3167" t="s">
        <v>3012</v>
      </c>
      <c r="C366" s="3167">
        <v>2410</v>
      </c>
      <c r="D366" s="3167">
        <v>2370</v>
      </c>
      <c r="E366" s="3167">
        <v>2330</v>
      </c>
      <c r="F366" s="3167">
        <v>570</v>
      </c>
      <c r="G366" s="3179">
        <v>1440</v>
      </c>
      <c r="H366" s="957"/>
    </row>
    <row r="367" spans="1:8">
      <c r="A367" s="3186" t="s">
        <v>2763</v>
      </c>
      <c r="B367" s="3167" t="s">
        <v>3013</v>
      </c>
      <c r="C367" s="3167">
        <v>2300</v>
      </c>
      <c r="D367" s="3167">
        <v>2260</v>
      </c>
      <c r="E367" s="3167">
        <v>2220</v>
      </c>
      <c r="F367" s="3167">
        <v>560</v>
      </c>
      <c r="G367" s="3179">
        <v>1370</v>
      </c>
      <c r="H367" s="957"/>
    </row>
    <row r="368" spans="1:8">
      <c r="A368" s="3186" t="s">
        <v>2763</v>
      </c>
      <c r="B368" s="3167" t="s">
        <v>3014</v>
      </c>
      <c r="C368" s="3167">
        <v>2430</v>
      </c>
      <c r="D368" s="3167">
        <v>2390</v>
      </c>
      <c r="E368" s="3167">
        <v>2350</v>
      </c>
      <c r="F368" s="3167">
        <v>570</v>
      </c>
      <c r="G368" s="3179">
        <v>1450</v>
      </c>
      <c r="H368" s="957"/>
    </row>
    <row r="369" spans="1:8">
      <c r="A369" s="3186" t="s">
        <v>2763</v>
      </c>
      <c r="B369" s="3167" t="s">
        <v>1061</v>
      </c>
      <c r="C369" s="3167">
        <v>2320</v>
      </c>
      <c r="D369" s="3167">
        <v>2290</v>
      </c>
      <c r="E369" s="3167">
        <v>2250</v>
      </c>
      <c r="F369" s="3167">
        <v>550</v>
      </c>
      <c r="G369" s="3179">
        <v>1380</v>
      </c>
      <c r="H369" s="957"/>
    </row>
    <row r="370" spans="1:8">
      <c r="A370" s="3186" t="s">
        <v>2763</v>
      </c>
      <c r="B370" s="3167" t="s">
        <v>1069</v>
      </c>
      <c r="C370" s="3167">
        <v>2190</v>
      </c>
      <c r="D370" s="3167">
        <v>2170</v>
      </c>
      <c r="E370" s="3167">
        <v>2130</v>
      </c>
      <c r="F370" s="3167">
        <v>530</v>
      </c>
      <c r="G370" s="3179">
        <v>1310</v>
      </c>
      <c r="H370" s="957"/>
    </row>
    <row r="371" spans="1:8">
      <c r="A371" s="3186" t="s">
        <v>2763</v>
      </c>
      <c r="B371" s="3167" t="s">
        <v>1077</v>
      </c>
      <c r="C371" s="3167">
        <v>2460</v>
      </c>
      <c r="D371" s="3167">
        <v>2420</v>
      </c>
      <c r="E371" s="3167">
        <v>2370</v>
      </c>
      <c r="F371" s="3167">
        <v>560</v>
      </c>
      <c r="G371" s="3179">
        <v>1470</v>
      </c>
      <c r="H371" s="957"/>
    </row>
    <row r="372" spans="1:8">
      <c r="A372" s="3186" t="s">
        <v>2763</v>
      </c>
      <c r="B372" s="3167" t="s">
        <v>3015</v>
      </c>
      <c r="C372" s="3167">
        <v>2250</v>
      </c>
      <c r="D372" s="3167">
        <v>2210</v>
      </c>
      <c r="E372" s="3167">
        <v>2180</v>
      </c>
      <c r="F372" s="3167">
        <v>550</v>
      </c>
      <c r="G372" s="3179">
        <v>1340</v>
      </c>
      <c r="H372" s="957"/>
    </row>
    <row r="373" spans="1:8">
      <c r="A373" s="3186" t="s">
        <v>2763</v>
      </c>
      <c r="B373" s="3167" t="s">
        <v>1106</v>
      </c>
      <c r="C373" s="3167">
        <v>2210</v>
      </c>
      <c r="D373" s="3167">
        <v>2190</v>
      </c>
      <c r="E373" s="3167">
        <v>2150</v>
      </c>
      <c r="F373" s="3167">
        <v>530</v>
      </c>
      <c r="G373" s="3179">
        <v>1320</v>
      </c>
      <c r="H373" s="957"/>
    </row>
    <row r="374" spans="1:8">
      <c r="A374" s="3186" t="s">
        <v>2763</v>
      </c>
      <c r="B374" s="3167" t="s">
        <v>1114</v>
      </c>
      <c r="C374" s="3167">
        <v>2320</v>
      </c>
      <c r="D374" s="3167">
        <v>2280</v>
      </c>
      <c r="E374" s="3167">
        <v>2230</v>
      </c>
      <c r="F374" s="3167">
        <v>580</v>
      </c>
      <c r="G374" s="3179">
        <v>1380</v>
      </c>
      <c r="H374" s="957"/>
    </row>
    <row r="375" spans="1:8">
      <c r="A375" s="3186" t="s">
        <v>2763</v>
      </c>
      <c r="B375" s="3167" t="s">
        <v>3016</v>
      </c>
      <c r="C375" s="3167">
        <v>2090</v>
      </c>
      <c r="D375" s="3167">
        <v>2050</v>
      </c>
      <c r="E375" s="3167">
        <v>2020</v>
      </c>
      <c r="F375" s="3167">
        <v>520</v>
      </c>
      <c r="G375" s="3179">
        <v>1240</v>
      </c>
      <c r="H375" s="957"/>
    </row>
    <row r="376" spans="1:8">
      <c r="A376" s="3186" t="s">
        <v>2763</v>
      </c>
      <c r="B376" s="3167" t="s">
        <v>1126</v>
      </c>
      <c r="C376" s="3167">
        <v>2010</v>
      </c>
      <c r="D376" s="3167">
        <v>1980</v>
      </c>
      <c r="E376" s="3167">
        <v>1940</v>
      </c>
      <c r="F376" s="3167">
        <v>540</v>
      </c>
      <c r="G376" s="3179">
        <v>1190</v>
      </c>
      <c r="H376" s="957"/>
    </row>
    <row r="377" spans="1:8" ht="14.25" thickBot="1">
      <c r="A377" s="3188" t="s">
        <v>2763</v>
      </c>
      <c r="B377" s="3182" t="s">
        <v>3017</v>
      </c>
      <c r="C377" s="3182">
        <v>1930</v>
      </c>
      <c r="D377" s="3182">
        <v>1890</v>
      </c>
      <c r="E377" s="3182">
        <v>1860</v>
      </c>
      <c r="F377" s="3182">
        <v>530</v>
      </c>
      <c r="G377" s="3189">
        <v>1150</v>
      </c>
      <c r="H377" s="957"/>
    </row>
    <row r="378" spans="1:8">
      <c r="A378" s="3183" t="s">
        <v>2764</v>
      </c>
      <c r="B378" s="3184" t="s">
        <v>3018</v>
      </c>
      <c r="C378" s="3184">
        <v>1520</v>
      </c>
      <c r="D378" s="3184">
        <v>1490</v>
      </c>
      <c r="E378" s="3184">
        <v>1460</v>
      </c>
      <c r="F378" s="3184">
        <v>460</v>
      </c>
      <c r="G378" s="3185">
        <v>940</v>
      </c>
      <c r="H378" s="957"/>
    </row>
    <row r="379" spans="1:8">
      <c r="A379" s="3186" t="s">
        <v>2764</v>
      </c>
      <c r="B379" s="3167" t="s">
        <v>3019</v>
      </c>
      <c r="C379" s="3167">
        <v>1500</v>
      </c>
      <c r="D379" s="3167">
        <v>1470</v>
      </c>
      <c r="E379" s="3167">
        <v>1430</v>
      </c>
      <c r="F379" s="3167">
        <v>460</v>
      </c>
      <c r="G379" s="3179">
        <v>920</v>
      </c>
      <c r="H379" s="957"/>
    </row>
    <row r="380" spans="1:8">
      <c r="A380" s="3186" t="s">
        <v>2764</v>
      </c>
      <c r="B380" s="3167" t="s">
        <v>3020</v>
      </c>
      <c r="C380" s="3167">
        <v>1620</v>
      </c>
      <c r="D380" s="3167">
        <v>1590</v>
      </c>
      <c r="E380" s="3167">
        <v>1560</v>
      </c>
      <c r="F380" s="3167">
        <v>480</v>
      </c>
      <c r="G380" s="3179">
        <v>1000</v>
      </c>
      <c r="H380" s="957"/>
    </row>
    <row r="381" spans="1:8">
      <c r="A381" s="3186" t="s">
        <v>2764</v>
      </c>
      <c r="B381" s="3167" t="s">
        <v>3021</v>
      </c>
      <c r="C381" s="3167">
        <v>1460</v>
      </c>
      <c r="D381" s="3167">
        <v>1430</v>
      </c>
      <c r="E381" s="3167">
        <v>1390</v>
      </c>
      <c r="F381" s="3167">
        <v>450</v>
      </c>
      <c r="G381" s="3179">
        <v>900</v>
      </c>
      <c r="H381" s="957"/>
    </row>
    <row r="382" spans="1:8">
      <c r="A382" s="3186" t="s">
        <v>2764</v>
      </c>
      <c r="B382" s="3167" t="s">
        <v>3022</v>
      </c>
      <c r="C382" s="3167">
        <v>1310</v>
      </c>
      <c r="D382" s="3167">
        <v>1280</v>
      </c>
      <c r="E382" s="3167">
        <v>1250</v>
      </c>
      <c r="F382" s="3167">
        <v>440</v>
      </c>
      <c r="G382" s="3179">
        <v>800</v>
      </c>
      <c r="H382" s="957"/>
    </row>
    <row r="383" spans="1:8">
      <c r="A383" s="3186" t="s">
        <v>2764</v>
      </c>
      <c r="B383" s="3167" t="s">
        <v>3023</v>
      </c>
      <c r="C383" s="3167">
        <v>1260</v>
      </c>
      <c r="D383" s="3167">
        <v>1230</v>
      </c>
      <c r="E383" s="3167">
        <v>1200</v>
      </c>
      <c r="F383" s="3167">
        <v>420</v>
      </c>
      <c r="G383" s="3179">
        <v>770</v>
      </c>
      <c r="H383" s="957"/>
    </row>
    <row r="384" spans="1:8" ht="14.25" thickBot="1">
      <c r="A384" s="3187" t="s">
        <v>2764</v>
      </c>
      <c r="B384" s="3181" t="s">
        <v>3024</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7"/>
  <sheetViews>
    <sheetView workbookViewId="0">
      <selection sqref="A1:XFD1048576"/>
    </sheetView>
  </sheetViews>
  <sheetFormatPr defaultRowHeight="13.5"/>
  <sheetData>
    <row r="1" spans="1:6">
      <c r="A1" s="3706" t="s">
        <v>3187</v>
      </c>
      <c r="B1" s="3706"/>
      <c r="C1" s="3706"/>
      <c r="D1" s="3706"/>
      <c r="E1" s="3706"/>
      <c r="F1" s="3707"/>
    </row>
    <row r="2" spans="1:6">
      <c r="A2" s="3232" t="s">
        <v>3188</v>
      </c>
      <c r="B2" s="1490"/>
      <c r="C2" s="1490"/>
      <c r="D2" s="1490"/>
      <c r="E2" s="1490"/>
      <c r="F2" s="1490"/>
    </row>
    <row r="3" spans="1:6">
      <c r="A3" s="3232" t="s">
        <v>3189</v>
      </c>
      <c r="B3" s="1490"/>
      <c r="C3" s="1490"/>
      <c r="D3" s="1490"/>
      <c r="E3" s="1490"/>
      <c r="F3" s="3233" t="s">
        <v>3190</v>
      </c>
    </row>
    <row r="4" spans="1:6">
      <c r="A4" s="3234" t="s">
        <v>3185</v>
      </c>
      <c r="B4" s="3234" t="s">
        <v>2739</v>
      </c>
      <c r="C4" s="3234" t="s">
        <v>1212</v>
      </c>
      <c r="D4" s="3234" t="s">
        <v>3186</v>
      </c>
      <c r="E4" s="3234" t="s">
        <v>905</v>
      </c>
      <c r="F4" s="3234" t="s">
        <v>3191</v>
      </c>
    </row>
    <row r="5" spans="1:6">
      <c r="A5" s="3235" t="s">
        <v>2762</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2763</v>
      </c>
      <c r="B16" s="3237">
        <v>2230</v>
      </c>
      <c r="C16" s="3237">
        <v>2200</v>
      </c>
      <c r="D16" s="3237">
        <v>2180</v>
      </c>
      <c r="E16" s="3237">
        <v>570</v>
      </c>
      <c r="F16" s="3237">
        <v>1330</v>
      </c>
    </row>
    <row r="17" spans="1:6">
      <c r="A17" s="3235" t="s">
        <v>2764</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2776</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2763</v>
      </c>
      <c r="M2" s="925" t="s">
        <v>2764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2777</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2763</v>
      </c>
      <c r="M94" s="931" t="s">
        <v>2764</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2778</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2763</v>
      </c>
      <c r="M186" s="931" t="s">
        <v>2764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2779</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2763</v>
      </c>
      <c r="M278" s="931" t="s">
        <v>2764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2780</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2763</v>
      </c>
      <c r="M370" s="931" t="s">
        <v>2764</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708" t="s">
        <v>3025</v>
      </c>
      <c r="B1" s="3708"/>
    </row>
    <row r="2" spans="1:7" ht="14.25" thickBot="1">
      <c r="A2" s="3198"/>
      <c r="B2" s="3198"/>
    </row>
    <row r="3" spans="1:7" ht="14.25" thickBot="1">
      <c r="A3" s="3198"/>
      <c r="B3" s="3198"/>
      <c r="C3" s="3199" t="s">
        <v>3026</v>
      </c>
      <c r="D3" s="3199" t="s">
        <v>3027</v>
      </c>
      <c r="E3" s="3199" t="s">
        <v>3028</v>
      </c>
      <c r="F3" s="3199" t="s">
        <v>3029</v>
      </c>
      <c r="G3" s="3199" t="s">
        <v>3030</v>
      </c>
    </row>
    <row r="4" spans="1:7" ht="14.25" thickBot="1">
      <c r="A4" s="3200" t="s">
        <v>3031</v>
      </c>
      <c r="B4" s="3201" t="s">
        <v>3032</v>
      </c>
      <c r="C4" s="3199"/>
      <c r="D4" s="3199"/>
      <c r="E4" s="3199"/>
      <c r="F4" s="3199"/>
      <c r="G4" s="3199"/>
    </row>
    <row r="5" spans="1:7">
      <c r="A5" s="3202" t="s">
        <v>3033</v>
      </c>
      <c r="B5" s="3203" t="s">
        <v>3034</v>
      </c>
      <c r="C5" s="3204">
        <v>9.8000000000000004E-2</v>
      </c>
      <c r="D5" s="3204">
        <v>8.6999999999999994E-2</v>
      </c>
      <c r="E5" s="3204">
        <v>8.6999999999999994E-2</v>
      </c>
      <c r="F5" s="3204">
        <v>9.8000000000000004E-2</v>
      </c>
      <c r="G5" s="3205">
        <v>9.5000000000000001E-2</v>
      </c>
    </row>
    <row r="6" spans="1:7">
      <c r="A6" s="3206" t="s">
        <v>990</v>
      </c>
      <c r="B6" s="3207" t="s">
        <v>3035</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3036</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3037</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2823</v>
      </c>
      <c r="C29" s="3216"/>
      <c r="D29" s="3212">
        <v>5.1999999999999998E-2</v>
      </c>
      <c r="E29" s="3212">
        <v>7.0000000000000007E-2</v>
      </c>
      <c r="F29" s="3216"/>
      <c r="G29" s="3214">
        <v>7.0999999999999994E-2</v>
      </c>
    </row>
    <row r="30" spans="1:7">
      <c r="A30" s="3217" t="s">
        <v>1145</v>
      </c>
      <c r="B30" s="3203" t="s">
        <v>3038</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3039</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2825</v>
      </c>
      <c r="C50" s="3208">
        <v>9.8000000000000004E-2</v>
      </c>
      <c r="D50" s="3208">
        <v>7.2999999999999995E-2</v>
      </c>
      <c r="E50" s="3208">
        <v>7.0999999999999994E-2</v>
      </c>
      <c r="F50" s="3219"/>
      <c r="G50" s="3209">
        <v>7.2999999999999995E-2</v>
      </c>
    </row>
    <row r="51" spans="1:7">
      <c r="A51" s="3218" t="s">
        <v>1145</v>
      </c>
      <c r="B51" s="3207" t="s">
        <v>2826</v>
      </c>
      <c r="C51" s="3208">
        <v>9.9000000000000005E-2</v>
      </c>
      <c r="D51" s="3208">
        <v>8.5000000000000006E-2</v>
      </c>
      <c r="E51" s="3208">
        <v>6.3E-2</v>
      </c>
      <c r="F51" s="3219"/>
      <c r="G51" s="3209">
        <v>9.6000000000000002E-2</v>
      </c>
    </row>
    <row r="52" spans="1:7">
      <c r="A52" s="3218" t="s">
        <v>1145</v>
      </c>
      <c r="B52" s="3207" t="s">
        <v>2827</v>
      </c>
      <c r="C52" s="3208">
        <v>7.3999999999999996E-2</v>
      </c>
      <c r="D52" s="3208">
        <v>9.6000000000000002E-2</v>
      </c>
      <c r="E52" s="3208">
        <v>0.05</v>
      </c>
      <c r="F52" s="3219"/>
      <c r="G52" s="3209">
        <v>9.8000000000000004E-2</v>
      </c>
    </row>
    <row r="53" spans="1:7">
      <c r="A53" s="3218" t="s">
        <v>1145</v>
      </c>
      <c r="B53" s="3207" t="s">
        <v>2828</v>
      </c>
      <c r="C53" s="3208">
        <v>8.5999999999999993E-2</v>
      </c>
      <c r="D53" s="3219"/>
      <c r="E53" s="3208">
        <v>9.1999999999999998E-2</v>
      </c>
      <c r="F53" s="3219"/>
      <c r="G53" s="3220"/>
    </row>
    <row r="54" spans="1:7" ht="14.25" thickBot="1">
      <c r="A54" s="3221" t="s">
        <v>1145</v>
      </c>
      <c r="B54" s="3211" t="s">
        <v>2829</v>
      </c>
      <c r="C54" s="3212">
        <v>9.6000000000000002E-2</v>
      </c>
      <c r="D54" s="3213"/>
      <c r="E54" s="3222"/>
      <c r="F54" s="3213"/>
      <c r="G54" s="3223"/>
    </row>
    <row r="55" spans="1:7">
      <c r="A55" s="3217" t="s">
        <v>853</v>
      </c>
      <c r="B55" s="3203" t="s">
        <v>3040</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2831</v>
      </c>
      <c r="C78" s="3208">
        <v>0.1</v>
      </c>
      <c r="D78" s="3208">
        <v>8.5000000000000006E-2</v>
      </c>
      <c r="E78" s="3208">
        <v>9.6000000000000002E-2</v>
      </c>
      <c r="F78" s="3219"/>
      <c r="G78" s="3209">
        <v>9.6000000000000002E-2</v>
      </c>
    </row>
    <row r="79" spans="1:7">
      <c r="A79" s="3218" t="s">
        <v>853</v>
      </c>
      <c r="B79" s="3207" t="s">
        <v>2832</v>
      </c>
      <c r="C79" s="3208">
        <v>0.05</v>
      </c>
      <c r="D79" s="3208">
        <v>9.6000000000000002E-2</v>
      </c>
      <c r="E79" s="3208">
        <v>9.5000000000000001E-2</v>
      </c>
      <c r="F79" s="3219"/>
      <c r="G79" s="3209">
        <v>9.8000000000000004E-2</v>
      </c>
    </row>
    <row r="80" spans="1:7">
      <c r="A80" s="3218" t="s">
        <v>853</v>
      </c>
      <c r="B80" s="3207" t="s">
        <v>2833</v>
      </c>
      <c r="C80" s="3208">
        <v>8.5999999999999993E-2</v>
      </c>
      <c r="D80" s="3224"/>
      <c r="E80" s="3208">
        <v>0.1</v>
      </c>
      <c r="F80" s="3219"/>
      <c r="G80" s="3220"/>
    </row>
    <row r="81" spans="1:7">
      <c r="A81" s="3218" t="s">
        <v>853</v>
      </c>
      <c r="B81" s="3207" t="s">
        <v>2834</v>
      </c>
      <c r="C81" s="3208">
        <v>9.6000000000000002E-2</v>
      </c>
      <c r="D81" s="3219"/>
      <c r="E81" s="3208">
        <v>9.8000000000000004E-2</v>
      </c>
      <c r="F81" s="3219"/>
      <c r="G81" s="3220"/>
    </row>
    <row r="82" spans="1:7">
      <c r="A82" s="3218" t="s">
        <v>853</v>
      </c>
      <c r="B82" s="3207" t="s">
        <v>2835</v>
      </c>
      <c r="C82" s="3224"/>
      <c r="D82" s="3219"/>
      <c r="E82" s="3208">
        <v>7.6999999999999999E-2</v>
      </c>
      <c r="F82" s="3219"/>
      <c r="G82" s="3220"/>
    </row>
    <row r="83" spans="1:7">
      <c r="A83" s="3218" t="s">
        <v>853</v>
      </c>
      <c r="B83" s="3207" t="s">
        <v>3041</v>
      </c>
      <c r="C83" s="3219"/>
      <c r="D83" s="3219"/>
      <c r="E83" s="3219"/>
      <c r="F83" s="3208">
        <v>0.1</v>
      </c>
      <c r="G83" s="3225"/>
    </row>
    <row r="84" spans="1:7">
      <c r="A84" s="3218" t="s">
        <v>853</v>
      </c>
      <c r="B84" s="3207" t="s">
        <v>3042</v>
      </c>
      <c r="C84" s="3219"/>
      <c r="D84" s="3219"/>
      <c r="E84" s="3219"/>
      <c r="F84" s="3208">
        <v>0.1</v>
      </c>
      <c r="G84" s="3225"/>
    </row>
    <row r="85" spans="1:7">
      <c r="A85" s="3218" t="s">
        <v>853</v>
      </c>
      <c r="B85" s="3207" t="s">
        <v>3043</v>
      </c>
      <c r="C85" s="3219"/>
      <c r="D85" s="3219"/>
      <c r="E85" s="3219"/>
      <c r="F85" s="3208">
        <v>0.1</v>
      </c>
      <c r="G85" s="3225"/>
    </row>
    <row r="86" spans="1:7" ht="14.25" thickBot="1">
      <c r="A86" s="3221" t="s">
        <v>853</v>
      </c>
      <c r="B86" s="3211" t="s">
        <v>3044</v>
      </c>
      <c r="C86" s="3212">
        <v>9.8000000000000004E-2</v>
      </c>
      <c r="D86" s="3212">
        <v>9.8000000000000004E-2</v>
      </c>
      <c r="E86" s="3212">
        <v>9.6000000000000002E-2</v>
      </c>
      <c r="F86" s="3222"/>
      <c r="G86" s="3214">
        <v>0.1</v>
      </c>
    </row>
    <row r="87" spans="1:7">
      <c r="A87" s="3217" t="s">
        <v>1152</v>
      </c>
      <c r="B87" s="3203" t="s">
        <v>3045</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2841</v>
      </c>
      <c r="C113" s="3208">
        <v>0.1</v>
      </c>
      <c r="D113" s="3208">
        <v>0.1</v>
      </c>
      <c r="E113" s="3219"/>
      <c r="F113" s="3219"/>
      <c r="G113" s="3209">
        <v>0.1</v>
      </c>
    </row>
    <row r="114" spans="1:7">
      <c r="A114" s="3218" t="s">
        <v>1152</v>
      </c>
      <c r="B114" s="3207" t="s">
        <v>2842</v>
      </c>
      <c r="C114" s="3208">
        <v>9.7000000000000003E-2</v>
      </c>
      <c r="D114" s="3208">
        <v>9.7000000000000003E-2</v>
      </c>
      <c r="E114" s="3219"/>
      <c r="F114" s="3219"/>
      <c r="G114" s="3209">
        <v>9.9000000000000005E-2</v>
      </c>
    </row>
    <row r="115" spans="1:7">
      <c r="A115" s="3218" t="s">
        <v>1152</v>
      </c>
      <c r="B115" s="3207" t="s">
        <v>2843</v>
      </c>
      <c r="C115" s="3208">
        <v>0.1</v>
      </c>
      <c r="D115" s="3208">
        <v>0.1</v>
      </c>
      <c r="E115" s="3219"/>
      <c r="F115" s="3219"/>
      <c r="G115" s="3209">
        <v>0.1</v>
      </c>
    </row>
    <row r="116" spans="1:7">
      <c r="A116" s="3218" t="s">
        <v>1152</v>
      </c>
      <c r="B116" s="3207" t="s">
        <v>2844</v>
      </c>
      <c r="C116" s="3208">
        <v>0.1</v>
      </c>
      <c r="D116" s="3208">
        <v>0.1</v>
      </c>
      <c r="E116" s="3219"/>
      <c r="F116" s="3219"/>
      <c r="G116" s="3209">
        <v>0.1</v>
      </c>
    </row>
    <row r="117" spans="1:7">
      <c r="A117" s="3218" t="s">
        <v>1152</v>
      </c>
      <c r="B117" s="3207" t="s">
        <v>2845</v>
      </c>
      <c r="C117" s="3208">
        <v>9.7000000000000003E-2</v>
      </c>
      <c r="D117" s="3208">
        <v>9.7000000000000003E-2</v>
      </c>
      <c r="E117" s="3219"/>
      <c r="F117" s="3219"/>
      <c r="G117" s="3209">
        <v>9.7000000000000003E-2</v>
      </c>
    </row>
    <row r="118" spans="1:7">
      <c r="A118" s="3218" t="s">
        <v>1152</v>
      </c>
      <c r="B118" s="3207" t="s">
        <v>2846</v>
      </c>
      <c r="C118" s="3208">
        <v>0.1</v>
      </c>
      <c r="D118" s="3208">
        <v>0.1</v>
      </c>
      <c r="E118" s="3219"/>
      <c r="F118" s="3219"/>
      <c r="G118" s="3209">
        <v>0.1</v>
      </c>
    </row>
    <row r="119" spans="1:7">
      <c r="A119" s="3218" t="s">
        <v>1152</v>
      </c>
      <c r="B119" s="3207" t="s">
        <v>2847</v>
      </c>
      <c r="C119" s="3208">
        <v>5.0999999999999997E-2</v>
      </c>
      <c r="D119" s="3208">
        <v>5.1999999999999998E-2</v>
      </c>
      <c r="E119" s="3219"/>
      <c r="F119" s="3224"/>
      <c r="G119" s="3209">
        <v>0.06</v>
      </c>
    </row>
    <row r="120" spans="1:7">
      <c r="A120" s="3218" t="s">
        <v>1152</v>
      </c>
      <c r="B120" s="3207" t="s">
        <v>3046</v>
      </c>
      <c r="C120" s="3219"/>
      <c r="D120" s="3219"/>
      <c r="E120" s="3219"/>
      <c r="F120" s="3208">
        <v>0.1</v>
      </c>
      <c r="G120" s="3225"/>
    </row>
    <row r="121" spans="1:7">
      <c r="A121" s="3218" t="s">
        <v>1152</v>
      </c>
      <c r="B121" s="3207" t="s">
        <v>3047</v>
      </c>
      <c r="C121" s="3219"/>
      <c r="D121" s="3219"/>
      <c r="E121" s="3219"/>
      <c r="F121" s="3208">
        <v>0.1</v>
      </c>
      <c r="G121" s="3225"/>
    </row>
    <row r="122" spans="1:7">
      <c r="A122" s="3218" t="s">
        <v>1152</v>
      </c>
      <c r="B122" s="3207" t="s">
        <v>3048</v>
      </c>
      <c r="C122" s="3208">
        <v>0.1</v>
      </c>
      <c r="D122" s="3208">
        <v>0.1</v>
      </c>
      <c r="E122" s="3208">
        <v>9.8000000000000004E-2</v>
      </c>
      <c r="F122" s="3208">
        <v>0.1</v>
      </c>
      <c r="G122" s="3209">
        <v>0.1</v>
      </c>
    </row>
    <row r="123" spans="1:7">
      <c r="A123" s="3218" t="s">
        <v>1152</v>
      </c>
      <c r="B123" s="3207" t="s">
        <v>2851</v>
      </c>
      <c r="C123" s="3208">
        <v>0.1</v>
      </c>
      <c r="D123" s="3208">
        <v>0.1</v>
      </c>
      <c r="E123" s="3208">
        <v>9.8000000000000004E-2</v>
      </c>
      <c r="F123" s="3208">
        <v>0.1</v>
      </c>
      <c r="G123" s="3209">
        <v>0.1</v>
      </c>
    </row>
    <row r="124" spans="1:7">
      <c r="A124" s="3218" t="s">
        <v>1152</v>
      </c>
      <c r="B124" s="3207" t="s">
        <v>2852</v>
      </c>
      <c r="C124" s="3208">
        <v>0.1</v>
      </c>
      <c r="D124" s="3208">
        <v>0.1</v>
      </c>
      <c r="E124" s="3208">
        <v>9.8000000000000004E-2</v>
      </c>
      <c r="F124" s="3224"/>
      <c r="G124" s="3209">
        <v>0.1</v>
      </c>
    </row>
    <row r="125" spans="1:7">
      <c r="A125" s="3218" t="s">
        <v>1152</v>
      </c>
      <c r="B125" s="3207" t="s">
        <v>2853</v>
      </c>
      <c r="C125" s="3208">
        <v>9.8000000000000004E-2</v>
      </c>
      <c r="D125" s="3208">
        <v>9.8000000000000004E-2</v>
      </c>
      <c r="E125" s="3208">
        <v>9.6000000000000002E-2</v>
      </c>
      <c r="F125" s="3224"/>
      <c r="G125" s="3209">
        <v>0.1</v>
      </c>
    </row>
    <row r="126" spans="1:7" ht="14.25" thickBot="1">
      <c r="A126" s="3221" t="s">
        <v>1152</v>
      </c>
      <c r="B126" s="3211" t="s">
        <v>3049</v>
      </c>
      <c r="C126" s="3212">
        <v>0.1</v>
      </c>
      <c r="D126" s="3212">
        <v>0.1</v>
      </c>
      <c r="E126" s="3212">
        <v>9.8000000000000004E-2</v>
      </c>
      <c r="F126" s="3212">
        <v>0.1</v>
      </c>
      <c r="G126" s="3214">
        <v>0.1</v>
      </c>
    </row>
    <row r="127" spans="1:7">
      <c r="A127" s="3217" t="s">
        <v>1153</v>
      </c>
      <c r="B127" s="3203" t="s">
        <v>3050</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3051</v>
      </c>
      <c r="C148" s="3208">
        <v>0.13</v>
      </c>
      <c r="D148" s="3208">
        <v>0.13</v>
      </c>
      <c r="E148" s="3208">
        <v>0.13</v>
      </c>
      <c r="F148" s="3219"/>
      <c r="G148" s="3209">
        <v>0.13</v>
      </c>
    </row>
    <row r="149" spans="1:7">
      <c r="A149" s="3218" t="s">
        <v>1153</v>
      </c>
      <c r="B149" s="3207" t="s">
        <v>3052</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2858</v>
      </c>
      <c r="C153" s="3208">
        <v>0.13</v>
      </c>
      <c r="D153" s="3208">
        <v>0.13</v>
      </c>
      <c r="E153" s="3208">
        <v>0.13</v>
      </c>
      <c r="F153" s="3208">
        <v>0.13</v>
      </c>
      <c r="G153" s="3209">
        <v>0.13</v>
      </c>
    </row>
    <row r="154" spans="1:7">
      <c r="A154" s="3218" t="s">
        <v>1153</v>
      </c>
      <c r="B154" s="3207" t="s">
        <v>3053</v>
      </c>
      <c r="C154" s="3208">
        <v>0.121</v>
      </c>
      <c r="D154" s="3208">
        <v>0.121</v>
      </c>
      <c r="E154" s="3208">
        <v>0.105</v>
      </c>
      <c r="F154" s="3208">
        <v>0.121</v>
      </c>
      <c r="G154" s="3209">
        <v>0.123</v>
      </c>
    </row>
    <row r="155" spans="1:7">
      <c r="A155" s="3218" t="s">
        <v>1153</v>
      </c>
      <c r="B155" s="3207" t="s">
        <v>2860</v>
      </c>
      <c r="C155" s="3208">
        <v>0.1</v>
      </c>
      <c r="D155" s="3208">
        <v>0.1</v>
      </c>
      <c r="E155" s="3208">
        <v>0.1</v>
      </c>
      <c r="F155" s="3208">
        <v>0.1</v>
      </c>
      <c r="G155" s="3209">
        <v>0.1</v>
      </c>
    </row>
    <row r="156" spans="1:7">
      <c r="A156" s="3218" t="s">
        <v>1153</v>
      </c>
      <c r="B156" s="3207" t="s">
        <v>3054</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3055</v>
      </c>
      <c r="C160" s="3208">
        <v>0.13</v>
      </c>
      <c r="D160" s="3208">
        <v>0.13</v>
      </c>
      <c r="E160" s="3208">
        <v>0.124</v>
      </c>
      <c r="F160" s="3208">
        <v>0.126</v>
      </c>
      <c r="G160" s="3209">
        <v>0.13</v>
      </c>
    </row>
    <row r="161" spans="1:7">
      <c r="A161" s="3218" t="s">
        <v>1153</v>
      </c>
      <c r="B161" s="3207" t="s">
        <v>2863</v>
      </c>
      <c r="C161" s="3208">
        <v>0.13</v>
      </c>
      <c r="D161" s="3208">
        <v>0.13</v>
      </c>
      <c r="E161" s="3208">
        <v>0.124</v>
      </c>
      <c r="F161" s="3208">
        <v>0.127</v>
      </c>
      <c r="G161" s="3209">
        <v>0.13</v>
      </c>
    </row>
    <row r="162" spans="1:7">
      <c r="A162" s="3218" t="s">
        <v>1153</v>
      </c>
      <c r="B162" s="3207" t="s">
        <v>2864</v>
      </c>
      <c r="C162" s="3208">
        <v>0.1</v>
      </c>
      <c r="D162" s="3208">
        <v>0.1</v>
      </c>
      <c r="E162" s="3208">
        <v>0.1</v>
      </c>
      <c r="F162" s="3208">
        <v>0.121</v>
      </c>
      <c r="G162" s="3209">
        <v>0.105</v>
      </c>
    </row>
    <row r="163" spans="1:7">
      <c r="A163" s="3218" t="s">
        <v>1153</v>
      </c>
      <c r="B163" s="3207" t="s">
        <v>2865</v>
      </c>
      <c r="C163" s="3208">
        <v>0.1</v>
      </c>
      <c r="D163" s="3208">
        <v>0.1</v>
      </c>
      <c r="E163" s="3208">
        <v>0.1</v>
      </c>
      <c r="F163" s="3208">
        <v>0.1</v>
      </c>
      <c r="G163" s="3209">
        <v>0.1</v>
      </c>
    </row>
    <row r="164" spans="1:7">
      <c r="A164" s="3218" t="s">
        <v>1153</v>
      </c>
      <c r="B164" s="3207" t="s">
        <v>2866</v>
      </c>
      <c r="C164" s="3224"/>
      <c r="D164" s="3224"/>
      <c r="E164" s="3224"/>
      <c r="F164" s="3208">
        <v>0.1</v>
      </c>
      <c r="G164" s="3220"/>
    </row>
    <row r="165" spans="1:7">
      <c r="A165" s="3218" t="s">
        <v>1153</v>
      </c>
      <c r="B165" s="3207" t="s">
        <v>3056</v>
      </c>
      <c r="C165" s="3208">
        <v>0.126</v>
      </c>
      <c r="D165" s="3208">
        <v>0.126</v>
      </c>
      <c r="E165" s="3208">
        <v>0.11899999999999999</v>
      </c>
      <c r="F165" s="3208">
        <v>0.13</v>
      </c>
      <c r="G165" s="3209">
        <v>0.128</v>
      </c>
    </row>
    <row r="166" spans="1:7">
      <c r="A166" s="3218" t="s">
        <v>1153</v>
      </c>
      <c r="B166" s="3207" t="s">
        <v>2868</v>
      </c>
      <c r="C166" s="3208">
        <v>0.129</v>
      </c>
      <c r="D166" s="3208">
        <v>0.129</v>
      </c>
      <c r="E166" s="3208">
        <v>0.123</v>
      </c>
      <c r="F166" s="3208">
        <v>0.128</v>
      </c>
      <c r="G166" s="3209">
        <v>0.13</v>
      </c>
    </row>
    <row r="167" spans="1:7">
      <c r="A167" s="3218" t="s">
        <v>1153</v>
      </c>
      <c r="B167" s="3207" t="s">
        <v>2869</v>
      </c>
      <c r="C167" s="3208">
        <v>0.125</v>
      </c>
      <c r="D167" s="3208">
        <v>0.125</v>
      </c>
      <c r="E167" s="3208">
        <v>0.11700000000000001</v>
      </c>
      <c r="F167" s="3208">
        <v>0.13</v>
      </c>
      <c r="G167" s="3209">
        <v>0.126</v>
      </c>
    </row>
    <row r="168" spans="1:7">
      <c r="A168" s="3218" t="s">
        <v>1153</v>
      </c>
      <c r="B168" s="3207" t="s">
        <v>2870</v>
      </c>
      <c r="C168" s="3208">
        <v>0.128</v>
      </c>
      <c r="D168" s="3208">
        <v>0.128</v>
      </c>
      <c r="E168" s="3208">
        <v>0.123</v>
      </c>
      <c r="F168" s="3219"/>
      <c r="G168" s="3209">
        <v>0.13</v>
      </c>
    </row>
    <row r="169" spans="1:7">
      <c r="A169" s="3218" t="s">
        <v>1153</v>
      </c>
      <c r="B169" s="3207" t="s">
        <v>3057</v>
      </c>
      <c r="C169" s="3224"/>
      <c r="D169" s="3224"/>
      <c r="E169" s="3224"/>
      <c r="F169" s="3208">
        <v>0.05</v>
      </c>
      <c r="G169" s="3220"/>
    </row>
    <row r="170" spans="1:7">
      <c r="A170" s="3218" t="s">
        <v>1153</v>
      </c>
      <c r="B170" s="3207" t="s">
        <v>3058</v>
      </c>
      <c r="C170" s="3224"/>
      <c r="D170" s="3224"/>
      <c r="E170" s="3224"/>
      <c r="F170" s="3208">
        <v>0.05</v>
      </c>
      <c r="G170" s="3220"/>
    </row>
    <row r="171" spans="1:7">
      <c r="A171" s="3218" t="s">
        <v>1153</v>
      </c>
      <c r="B171" s="3207" t="s">
        <v>3059</v>
      </c>
      <c r="C171" s="3224"/>
      <c r="D171" s="3224"/>
      <c r="E171" s="3224"/>
      <c r="F171" s="3208">
        <v>0.05</v>
      </c>
      <c r="G171" s="3225"/>
    </row>
    <row r="172" spans="1:7">
      <c r="A172" s="3218" t="s">
        <v>1153</v>
      </c>
      <c r="B172" s="3207" t="s">
        <v>3060</v>
      </c>
      <c r="C172" s="3224"/>
      <c r="D172" s="3224"/>
      <c r="E172" s="3224"/>
      <c r="F172" s="3208">
        <v>0.05</v>
      </c>
      <c r="G172" s="3225"/>
    </row>
    <row r="173" spans="1:7">
      <c r="A173" s="3218" t="s">
        <v>1153</v>
      </c>
      <c r="B173" s="3207" t="s">
        <v>3061</v>
      </c>
      <c r="C173" s="3224"/>
      <c r="D173" s="3224"/>
      <c r="E173" s="3224"/>
      <c r="F173" s="3208">
        <v>0.05</v>
      </c>
      <c r="G173" s="3220"/>
    </row>
    <row r="174" spans="1:7">
      <c r="A174" s="3218" t="s">
        <v>1153</v>
      </c>
      <c r="B174" s="3207" t="s">
        <v>3062</v>
      </c>
      <c r="C174" s="3224"/>
      <c r="D174" s="3224"/>
      <c r="E174" s="3224"/>
      <c r="F174" s="3208">
        <v>0.05</v>
      </c>
      <c r="G174" s="3220"/>
    </row>
    <row r="175" spans="1:7">
      <c r="A175" s="3218" t="s">
        <v>1153</v>
      </c>
      <c r="B175" s="3207" t="s">
        <v>3063</v>
      </c>
      <c r="C175" s="3224"/>
      <c r="D175" s="3224"/>
      <c r="E175" s="3224"/>
      <c r="F175" s="3208">
        <v>0.05</v>
      </c>
      <c r="G175" s="3220"/>
    </row>
    <row r="176" spans="1:7">
      <c r="A176" s="3218" t="s">
        <v>1153</v>
      </c>
      <c r="B176" s="3207" t="s">
        <v>3064</v>
      </c>
      <c r="C176" s="3224"/>
      <c r="D176" s="3224"/>
      <c r="E176" s="3224"/>
      <c r="F176" s="3208">
        <v>0.05</v>
      </c>
      <c r="G176" s="3220"/>
    </row>
    <row r="177" spans="1:7">
      <c r="A177" s="3218" t="s">
        <v>1153</v>
      </c>
      <c r="B177" s="3207" t="s">
        <v>3065</v>
      </c>
      <c r="C177" s="3219"/>
      <c r="D177" s="3219"/>
      <c r="E177" s="3219"/>
      <c r="F177" s="3208">
        <v>0.05</v>
      </c>
      <c r="G177" s="3225"/>
    </row>
    <row r="178" spans="1:7">
      <c r="A178" s="3218" t="s">
        <v>1153</v>
      </c>
      <c r="B178" s="3207" t="s">
        <v>3066</v>
      </c>
      <c r="C178" s="3219"/>
      <c r="D178" s="3219"/>
      <c r="E178" s="3219"/>
      <c r="F178" s="3208">
        <v>0.05</v>
      </c>
      <c r="G178" s="3225"/>
    </row>
    <row r="179" spans="1:7">
      <c r="A179" s="3218" t="s">
        <v>1153</v>
      </c>
      <c r="B179" s="3207" t="s">
        <v>3067</v>
      </c>
      <c r="C179" s="3219"/>
      <c r="D179" s="3219"/>
      <c r="E179" s="3219"/>
      <c r="F179" s="3208">
        <v>0.05</v>
      </c>
      <c r="G179" s="3225"/>
    </row>
    <row r="180" spans="1:7">
      <c r="A180" s="3218" t="s">
        <v>1153</v>
      </c>
      <c r="B180" s="3207" t="s">
        <v>3068</v>
      </c>
      <c r="C180" s="3219"/>
      <c r="D180" s="3219"/>
      <c r="E180" s="3219"/>
      <c r="F180" s="3208">
        <v>0.05</v>
      </c>
      <c r="G180" s="3225"/>
    </row>
    <row r="181" spans="1:7">
      <c r="A181" s="3218" t="s">
        <v>1153</v>
      </c>
      <c r="B181" s="3207" t="s">
        <v>3069</v>
      </c>
      <c r="C181" s="3219"/>
      <c r="D181" s="3219"/>
      <c r="E181" s="3219"/>
      <c r="F181" s="3208">
        <v>0.05</v>
      </c>
      <c r="G181" s="3225"/>
    </row>
    <row r="182" spans="1:7">
      <c r="A182" s="3218" t="s">
        <v>1153</v>
      </c>
      <c r="B182" s="3207" t="s">
        <v>3070</v>
      </c>
      <c r="C182" s="3219"/>
      <c r="D182" s="3219"/>
      <c r="E182" s="3219"/>
      <c r="F182" s="3208">
        <v>0.05</v>
      </c>
      <c r="G182" s="3225"/>
    </row>
    <row r="183" spans="1:7">
      <c r="A183" s="3218" t="s">
        <v>1153</v>
      </c>
      <c r="B183" s="3207" t="s">
        <v>3071</v>
      </c>
      <c r="C183" s="3219"/>
      <c r="D183" s="3219"/>
      <c r="E183" s="3219"/>
      <c r="F183" s="3208">
        <v>0.05</v>
      </c>
      <c r="G183" s="3225"/>
    </row>
    <row r="184" spans="1:7">
      <c r="A184" s="3218" t="s">
        <v>1153</v>
      </c>
      <c r="B184" s="3207" t="s">
        <v>3072</v>
      </c>
      <c r="C184" s="3219"/>
      <c r="D184" s="3219"/>
      <c r="E184" s="3219"/>
      <c r="F184" s="3208">
        <v>0.05</v>
      </c>
      <c r="G184" s="3225"/>
    </row>
    <row r="185" spans="1:7">
      <c r="A185" s="3218" t="s">
        <v>1153</v>
      </c>
      <c r="B185" s="3207" t="s">
        <v>3073</v>
      </c>
      <c r="C185" s="3219"/>
      <c r="D185" s="3219"/>
      <c r="E185" s="3219"/>
      <c r="F185" s="3208">
        <v>0.05</v>
      </c>
      <c r="G185" s="3225"/>
    </row>
    <row r="186" spans="1:7">
      <c r="A186" s="3218" t="s">
        <v>1153</v>
      </c>
      <c r="B186" s="3207" t="s">
        <v>3074</v>
      </c>
      <c r="C186" s="3219"/>
      <c r="D186" s="3219"/>
      <c r="E186" s="3219"/>
      <c r="F186" s="3208">
        <v>0.05</v>
      </c>
      <c r="G186" s="3225"/>
    </row>
    <row r="187" spans="1:7">
      <c r="A187" s="3218" t="s">
        <v>1153</v>
      </c>
      <c r="B187" s="3207" t="s">
        <v>3075</v>
      </c>
      <c r="C187" s="3219"/>
      <c r="D187" s="3219"/>
      <c r="E187" s="3219"/>
      <c r="F187" s="3208">
        <v>0.05</v>
      </c>
      <c r="G187" s="3225"/>
    </row>
    <row r="188" spans="1:7">
      <c r="A188" s="3218" t="s">
        <v>1153</v>
      </c>
      <c r="B188" s="3207" t="s">
        <v>3076</v>
      </c>
      <c r="C188" s="3219"/>
      <c r="D188" s="3219"/>
      <c r="E188" s="3219"/>
      <c r="F188" s="3208">
        <v>0.05</v>
      </c>
      <c r="G188" s="3225"/>
    </row>
    <row r="189" spans="1:7" ht="14.25" thickBot="1">
      <c r="A189" s="3221" t="s">
        <v>1153</v>
      </c>
      <c r="B189" s="3211" t="s">
        <v>3077</v>
      </c>
      <c r="C189" s="3213"/>
      <c r="D189" s="3213"/>
      <c r="E189" s="3213"/>
      <c r="F189" s="3212">
        <v>0.05</v>
      </c>
      <c r="G189" s="3226"/>
    </row>
    <row r="190" spans="1:7">
      <c r="A190" s="3217" t="s">
        <v>1154</v>
      </c>
      <c r="B190" s="3203" t="s">
        <v>3078</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3079</v>
      </c>
      <c r="C199" s="3208">
        <v>0.13</v>
      </c>
      <c r="D199" s="3208">
        <v>0.13</v>
      </c>
      <c r="E199" s="3208">
        <v>0.13</v>
      </c>
      <c r="F199" s="3208">
        <v>0.13</v>
      </c>
      <c r="G199" s="3209">
        <v>0.13</v>
      </c>
    </row>
    <row r="200" spans="1:7">
      <c r="A200" s="3218" t="s">
        <v>1154</v>
      </c>
      <c r="B200" s="3207" t="s">
        <v>2894</v>
      </c>
      <c r="C200" s="3224"/>
      <c r="D200" s="3224"/>
      <c r="E200" s="3224"/>
      <c r="F200" s="3208">
        <v>0.13</v>
      </c>
      <c r="G200" s="3220"/>
    </row>
    <row r="201" spans="1:7">
      <c r="A201" s="3218" t="s">
        <v>1154</v>
      </c>
      <c r="B201" s="3207" t="s">
        <v>3080</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3081</v>
      </c>
      <c r="C203" s="3208">
        <v>0.129</v>
      </c>
      <c r="D203" s="3208">
        <v>0.129</v>
      </c>
      <c r="E203" s="3208">
        <v>0.13</v>
      </c>
      <c r="F203" s="3208">
        <v>0.13</v>
      </c>
      <c r="G203" s="3209">
        <v>0.13</v>
      </c>
    </row>
    <row r="204" spans="1:7">
      <c r="A204" s="3218" t="s">
        <v>1154</v>
      </c>
      <c r="B204" s="3207" t="s">
        <v>2897</v>
      </c>
      <c r="C204" s="3208">
        <v>0.129</v>
      </c>
      <c r="D204" s="3208">
        <v>0.129</v>
      </c>
      <c r="E204" s="3208">
        <v>0.123</v>
      </c>
      <c r="F204" s="3208">
        <v>0.13</v>
      </c>
      <c r="G204" s="3209">
        <v>0.13</v>
      </c>
    </row>
    <row r="205" spans="1:7">
      <c r="A205" s="3218" t="s">
        <v>1154</v>
      </c>
      <c r="B205" s="3207" t="s">
        <v>2898</v>
      </c>
      <c r="C205" s="3208">
        <v>0.13</v>
      </c>
      <c r="D205" s="3208">
        <v>0.13</v>
      </c>
      <c r="E205" s="3208">
        <v>0.13</v>
      </c>
      <c r="F205" s="3208">
        <v>0.13</v>
      </c>
      <c r="G205" s="3209">
        <v>0.13</v>
      </c>
    </row>
    <row r="206" spans="1:7">
      <c r="A206" s="3218" t="s">
        <v>1154</v>
      </c>
      <c r="B206" s="3207" t="s">
        <v>2899</v>
      </c>
      <c r="C206" s="3208">
        <v>0.13</v>
      </c>
      <c r="D206" s="3208">
        <v>0.13</v>
      </c>
      <c r="E206" s="3208">
        <v>0.13</v>
      </c>
      <c r="F206" s="3208">
        <v>0.128</v>
      </c>
      <c r="G206" s="3209">
        <v>0.13</v>
      </c>
    </row>
    <row r="207" spans="1:7">
      <c r="A207" s="3218" t="s">
        <v>1154</v>
      </c>
      <c r="B207" s="3207" t="s">
        <v>2900</v>
      </c>
      <c r="C207" s="3208">
        <v>0.13</v>
      </c>
      <c r="D207" s="3208">
        <v>0.13</v>
      </c>
      <c r="E207" s="3208">
        <v>0.13</v>
      </c>
      <c r="F207" s="3208">
        <v>0.13</v>
      </c>
      <c r="G207" s="3209">
        <v>0.13</v>
      </c>
    </row>
    <row r="208" spans="1:7">
      <c r="A208" s="3218" t="s">
        <v>1154</v>
      </c>
      <c r="B208" s="3207" t="s">
        <v>3082</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2902</v>
      </c>
      <c r="C210" s="3208">
        <v>0.121</v>
      </c>
      <c r="D210" s="3208">
        <v>0.121</v>
      </c>
      <c r="E210" s="3208">
        <v>0.125</v>
      </c>
      <c r="F210" s="3208">
        <v>0.13</v>
      </c>
      <c r="G210" s="3209">
        <v>0.123</v>
      </c>
    </row>
    <row r="211" spans="1:7">
      <c r="A211" s="3218" t="s">
        <v>1154</v>
      </c>
      <c r="B211" s="3207" t="s">
        <v>3083</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3084</v>
      </c>
      <c r="C214" s="3208">
        <v>0.128</v>
      </c>
      <c r="D214" s="3208">
        <v>0.128</v>
      </c>
      <c r="E214" s="3208">
        <v>0.13</v>
      </c>
      <c r="F214" s="3208">
        <v>0.13</v>
      </c>
      <c r="G214" s="3209">
        <v>0.13</v>
      </c>
    </row>
    <row r="215" spans="1:7">
      <c r="A215" s="3218" t="s">
        <v>1154</v>
      </c>
      <c r="B215" s="3207" t="s">
        <v>3085</v>
      </c>
      <c r="C215" s="3208">
        <v>0.13</v>
      </c>
      <c r="D215" s="3208">
        <v>0.13</v>
      </c>
      <c r="E215" s="3208">
        <v>0.13</v>
      </c>
      <c r="F215" s="3208">
        <v>0.129</v>
      </c>
      <c r="G215" s="3209">
        <v>0.13</v>
      </c>
    </row>
    <row r="216" spans="1:7">
      <c r="A216" s="3218" t="s">
        <v>1154</v>
      </c>
      <c r="B216" s="3207" t="s">
        <v>3086</v>
      </c>
      <c r="C216" s="3208">
        <v>0.13</v>
      </c>
      <c r="D216" s="3208">
        <v>0.13</v>
      </c>
      <c r="E216" s="3208">
        <v>0.13</v>
      </c>
      <c r="F216" s="3208">
        <v>0.13</v>
      </c>
      <c r="G216" s="3209">
        <v>0.13</v>
      </c>
    </row>
    <row r="217" spans="1:7">
      <c r="A217" s="3218" t="s">
        <v>1154</v>
      </c>
      <c r="B217" s="3207" t="s">
        <v>2906</v>
      </c>
      <c r="C217" s="3208">
        <v>0.129</v>
      </c>
      <c r="D217" s="3208">
        <v>0.129</v>
      </c>
      <c r="E217" s="3208">
        <v>0.13</v>
      </c>
      <c r="F217" s="3208">
        <v>0.13</v>
      </c>
      <c r="G217" s="3209">
        <v>0.13</v>
      </c>
    </row>
    <row r="218" spans="1:7">
      <c r="A218" s="3218" t="s">
        <v>1154</v>
      </c>
      <c r="B218" s="3207" t="s">
        <v>3087</v>
      </c>
      <c r="C218" s="3219"/>
      <c r="D218" s="3219"/>
      <c r="E218" s="3219"/>
      <c r="F218" s="3208">
        <v>0.05</v>
      </c>
      <c r="G218" s="3225"/>
    </row>
    <row r="219" spans="1:7">
      <c r="A219" s="3218" t="s">
        <v>1154</v>
      </c>
      <c r="B219" s="3207" t="s">
        <v>3088</v>
      </c>
      <c r="C219" s="3219"/>
      <c r="D219" s="3219"/>
      <c r="E219" s="3219"/>
      <c r="F219" s="3208">
        <v>0.05</v>
      </c>
      <c r="G219" s="3225"/>
    </row>
    <row r="220" spans="1:7">
      <c r="A220" s="3218" t="s">
        <v>1154</v>
      </c>
      <c r="B220" s="3207" t="s">
        <v>3089</v>
      </c>
      <c r="C220" s="3219"/>
      <c r="D220" s="3219"/>
      <c r="E220" s="3219"/>
      <c r="F220" s="3208">
        <v>0.05</v>
      </c>
      <c r="G220" s="3225"/>
    </row>
    <row r="221" spans="1:7">
      <c r="A221" s="3218" t="s">
        <v>1154</v>
      </c>
      <c r="B221" s="3207" t="s">
        <v>3090</v>
      </c>
      <c r="C221" s="3219"/>
      <c r="D221" s="3219"/>
      <c r="E221" s="3219"/>
      <c r="F221" s="3208">
        <v>0.05</v>
      </c>
      <c r="G221" s="3225"/>
    </row>
    <row r="222" spans="1:7">
      <c r="A222" s="3218" t="s">
        <v>1154</v>
      </c>
      <c r="B222" s="3207" t="s">
        <v>3091</v>
      </c>
      <c r="C222" s="3219"/>
      <c r="D222" s="3219"/>
      <c r="E222" s="3219"/>
      <c r="F222" s="3208">
        <v>0.05</v>
      </c>
      <c r="G222" s="3225"/>
    </row>
    <row r="223" spans="1:7">
      <c r="A223" s="3218" t="s">
        <v>1154</v>
      </c>
      <c r="B223" s="3207" t="s">
        <v>3092</v>
      </c>
      <c r="C223" s="3219"/>
      <c r="D223" s="3219"/>
      <c r="E223" s="3219"/>
      <c r="F223" s="3208">
        <v>0.05</v>
      </c>
      <c r="G223" s="3225"/>
    </row>
    <row r="224" spans="1:7">
      <c r="A224" s="3218" t="s">
        <v>1154</v>
      </c>
      <c r="B224" s="3207" t="s">
        <v>3093</v>
      </c>
      <c r="C224" s="3219"/>
      <c r="D224" s="3219"/>
      <c r="E224" s="3219"/>
      <c r="F224" s="3208">
        <v>0.05</v>
      </c>
      <c r="G224" s="3225"/>
    </row>
    <row r="225" spans="1:7">
      <c r="A225" s="3218" t="s">
        <v>1154</v>
      </c>
      <c r="B225" s="3207" t="s">
        <v>3094</v>
      </c>
      <c r="C225" s="3219"/>
      <c r="D225" s="3219"/>
      <c r="E225" s="3219"/>
      <c r="F225" s="3208">
        <v>0.05</v>
      </c>
      <c r="G225" s="3225"/>
    </row>
    <row r="226" spans="1:7">
      <c r="A226" s="3218" t="s">
        <v>1154</v>
      </c>
      <c r="B226" s="3207" t="s">
        <v>3095</v>
      </c>
      <c r="C226" s="3219"/>
      <c r="D226" s="3219"/>
      <c r="E226" s="3219"/>
      <c r="F226" s="3208">
        <v>0.05</v>
      </c>
      <c r="G226" s="3225"/>
    </row>
    <row r="227" spans="1:7">
      <c r="A227" s="3218" t="s">
        <v>1154</v>
      </c>
      <c r="B227" s="3207" t="s">
        <v>3096</v>
      </c>
      <c r="C227" s="3219"/>
      <c r="D227" s="3219"/>
      <c r="E227" s="3219"/>
      <c r="F227" s="3208">
        <v>0.05</v>
      </c>
      <c r="G227" s="3225"/>
    </row>
    <row r="228" spans="1:7">
      <c r="A228" s="3218" t="s">
        <v>1154</v>
      </c>
      <c r="B228" s="3207" t="s">
        <v>3097</v>
      </c>
      <c r="C228" s="3219"/>
      <c r="D228" s="3219"/>
      <c r="E228" s="3219"/>
      <c r="F228" s="3208">
        <v>0.05</v>
      </c>
      <c r="G228" s="3225"/>
    </row>
    <row r="229" spans="1:7">
      <c r="A229" s="3218" t="s">
        <v>1154</v>
      </c>
      <c r="B229" s="3207" t="s">
        <v>3098</v>
      </c>
      <c r="C229" s="3219"/>
      <c r="D229" s="3219"/>
      <c r="E229" s="3219"/>
      <c r="F229" s="3208">
        <v>0.05</v>
      </c>
      <c r="G229" s="3225"/>
    </row>
    <row r="230" spans="1:7">
      <c r="A230" s="3218" t="s">
        <v>1154</v>
      </c>
      <c r="B230" s="3207" t="s">
        <v>3099</v>
      </c>
      <c r="C230" s="3219"/>
      <c r="D230" s="3219"/>
      <c r="E230" s="3219"/>
      <c r="F230" s="3208">
        <v>0.05</v>
      </c>
      <c r="G230" s="3225"/>
    </row>
    <row r="231" spans="1:7">
      <c r="A231" s="3218" t="s">
        <v>1154</v>
      </c>
      <c r="B231" s="3207" t="s">
        <v>3100</v>
      </c>
      <c r="C231" s="3219"/>
      <c r="D231" s="3219"/>
      <c r="E231" s="3219"/>
      <c r="F231" s="3208">
        <v>0.05</v>
      </c>
      <c r="G231" s="3225"/>
    </row>
    <row r="232" spans="1:7">
      <c r="A232" s="3218" t="s">
        <v>1154</v>
      </c>
      <c r="B232" s="3207" t="s">
        <v>3101</v>
      </c>
      <c r="C232" s="3219"/>
      <c r="D232" s="3219"/>
      <c r="E232" s="3219"/>
      <c r="F232" s="3208">
        <v>0.05</v>
      </c>
      <c r="G232" s="3225"/>
    </row>
    <row r="233" spans="1:7" ht="14.25" thickBot="1">
      <c r="A233" s="3221" t="s">
        <v>1154</v>
      </c>
      <c r="B233" s="3211" t="s">
        <v>3102</v>
      </c>
      <c r="C233" s="3213"/>
      <c r="D233" s="3213"/>
      <c r="E233" s="3213"/>
      <c r="F233" s="3212">
        <v>0.05</v>
      </c>
      <c r="G233" s="3226"/>
    </row>
    <row r="234" spans="1:7">
      <c r="A234" s="3217" t="s">
        <v>1155</v>
      </c>
      <c r="B234" s="3203" t="s">
        <v>3103</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2924</v>
      </c>
      <c r="C238" s="3208">
        <v>0.14899999999999999</v>
      </c>
      <c r="D238" s="3208">
        <v>0.14899999999999999</v>
      </c>
      <c r="E238" s="3208">
        <v>0.15</v>
      </c>
      <c r="F238" s="3208">
        <v>0.15</v>
      </c>
      <c r="G238" s="3209">
        <v>0.15</v>
      </c>
    </row>
    <row r="239" spans="1:7">
      <c r="A239" s="3218" t="s">
        <v>1155</v>
      </c>
      <c r="B239" s="3207" t="s">
        <v>3104</v>
      </c>
      <c r="C239" s="3208">
        <v>0.15</v>
      </c>
      <c r="D239" s="3208">
        <v>0.15</v>
      </c>
      <c r="E239" s="3208">
        <v>0.15</v>
      </c>
      <c r="F239" s="3208">
        <v>0.15</v>
      </c>
      <c r="G239" s="3209">
        <v>0.15</v>
      </c>
    </row>
    <row r="240" spans="1:7">
      <c r="A240" s="3218" t="s">
        <v>1155</v>
      </c>
      <c r="B240" s="3207" t="s">
        <v>3105</v>
      </c>
      <c r="C240" s="3208">
        <v>0.15</v>
      </c>
      <c r="D240" s="3208">
        <v>0.15</v>
      </c>
      <c r="E240" s="3208">
        <v>0.15</v>
      </c>
      <c r="F240" s="3208">
        <v>0.15</v>
      </c>
      <c r="G240" s="3209">
        <v>0.15</v>
      </c>
    </row>
    <row r="241" spans="1:7">
      <c r="A241" s="3218" t="s">
        <v>1155</v>
      </c>
      <c r="B241" s="3207" t="s">
        <v>3106</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3107</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3108</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3109</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3110</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3111</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2933</v>
      </c>
      <c r="C258" s="3208">
        <v>0.14299999999999999</v>
      </c>
      <c r="D258" s="3208">
        <v>0.14299999999999999</v>
      </c>
      <c r="E258" s="3208">
        <v>0.15</v>
      </c>
      <c r="F258" s="3208">
        <v>0.14799999999999999</v>
      </c>
      <c r="G258" s="3209">
        <v>0.14599999999999999</v>
      </c>
    </row>
    <row r="259" spans="1:7">
      <c r="A259" s="3218" t="s">
        <v>1155</v>
      </c>
      <c r="B259" s="3207" t="s">
        <v>3112</v>
      </c>
      <c r="C259" s="3208">
        <v>0.14399999999999999</v>
      </c>
      <c r="D259" s="3208">
        <v>0.14399999999999999</v>
      </c>
      <c r="E259" s="3208">
        <v>0.14899999999999999</v>
      </c>
      <c r="F259" s="3208">
        <v>0.14699999999999999</v>
      </c>
      <c r="G259" s="3209">
        <v>0.14599999999999999</v>
      </c>
    </row>
    <row r="260" spans="1:7">
      <c r="A260" s="3218" t="s">
        <v>1155</v>
      </c>
      <c r="B260" s="3207" t="s">
        <v>3113</v>
      </c>
      <c r="C260" s="3208">
        <v>0.109</v>
      </c>
      <c r="D260" s="3208">
        <v>0.111</v>
      </c>
      <c r="E260" s="3208">
        <v>0.13100000000000001</v>
      </c>
      <c r="F260" s="3208">
        <v>0.126</v>
      </c>
      <c r="G260" s="3209">
        <v>0.11899999999999999</v>
      </c>
    </row>
    <row r="261" spans="1:7">
      <c r="A261" s="3218" t="s">
        <v>1155</v>
      </c>
      <c r="B261" s="3207" t="s">
        <v>3114</v>
      </c>
      <c r="C261" s="3208">
        <v>0.1</v>
      </c>
      <c r="D261" s="3208">
        <v>0.1</v>
      </c>
      <c r="E261" s="3208">
        <v>0.11799999999999999</v>
      </c>
      <c r="F261" s="3208">
        <v>0.108</v>
      </c>
      <c r="G261" s="3209">
        <v>0.107</v>
      </c>
    </row>
    <row r="262" spans="1:7">
      <c r="A262" s="3218" t="s">
        <v>1155</v>
      </c>
      <c r="B262" s="3207" t="s">
        <v>3115</v>
      </c>
      <c r="C262" s="3208">
        <v>0.1</v>
      </c>
      <c r="D262" s="3208">
        <v>0.1</v>
      </c>
      <c r="E262" s="3208">
        <v>0.1</v>
      </c>
      <c r="F262" s="3208">
        <v>0.14099999999999999</v>
      </c>
      <c r="G262" s="3209">
        <v>0.1</v>
      </c>
    </row>
    <row r="263" spans="1:7">
      <c r="A263" s="3218" t="s">
        <v>1155</v>
      </c>
      <c r="B263" s="3207" t="s">
        <v>3116</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3117</v>
      </c>
      <c r="C265" s="3219"/>
      <c r="D265" s="3219"/>
      <c r="E265" s="3219"/>
      <c r="F265" s="3208">
        <v>0.05</v>
      </c>
      <c r="G265" s="3225"/>
    </row>
    <row r="266" spans="1:7">
      <c r="A266" s="3218" t="s">
        <v>1155</v>
      </c>
      <c r="B266" s="3207" t="s">
        <v>3118</v>
      </c>
      <c r="C266" s="3219"/>
      <c r="D266" s="3219"/>
      <c r="E266" s="3219"/>
      <c r="F266" s="3208">
        <v>0.05</v>
      </c>
      <c r="G266" s="3225"/>
    </row>
    <row r="267" spans="1:7">
      <c r="A267" s="3218" t="s">
        <v>1155</v>
      </c>
      <c r="B267" s="3207" t="s">
        <v>3119</v>
      </c>
      <c r="C267" s="3219"/>
      <c r="D267" s="3219"/>
      <c r="E267" s="3219"/>
      <c r="F267" s="3208">
        <v>0.05</v>
      </c>
      <c r="G267" s="3225"/>
    </row>
    <row r="268" spans="1:7">
      <c r="A268" s="3218" t="s">
        <v>1155</v>
      </c>
      <c r="B268" s="3207" t="s">
        <v>3120</v>
      </c>
      <c r="C268" s="3219"/>
      <c r="D268" s="3219"/>
      <c r="E268" s="3219"/>
      <c r="F268" s="3208">
        <v>0.05</v>
      </c>
      <c r="G268" s="3225"/>
    </row>
    <row r="269" spans="1:7">
      <c r="A269" s="3218" t="s">
        <v>1155</v>
      </c>
      <c r="B269" s="3207" t="s">
        <v>3121</v>
      </c>
      <c r="C269" s="3219"/>
      <c r="D269" s="3219"/>
      <c r="E269" s="3219"/>
      <c r="F269" s="3208">
        <v>0.05</v>
      </c>
      <c r="G269" s="3225"/>
    </row>
    <row r="270" spans="1:7">
      <c r="A270" s="3218" t="s">
        <v>1155</v>
      </c>
      <c r="B270" s="3207" t="s">
        <v>3122</v>
      </c>
      <c r="C270" s="3219"/>
      <c r="D270" s="3219"/>
      <c r="E270" s="3219"/>
      <c r="F270" s="3208">
        <v>0.05</v>
      </c>
      <c r="G270" s="3225"/>
    </row>
    <row r="271" spans="1:7">
      <c r="A271" s="3218" t="s">
        <v>1155</v>
      </c>
      <c r="B271" s="3207" t="s">
        <v>3123</v>
      </c>
      <c r="C271" s="3219"/>
      <c r="D271" s="3219"/>
      <c r="E271" s="3219"/>
      <c r="F271" s="3208">
        <v>0.05</v>
      </c>
      <c r="G271" s="3225"/>
    </row>
    <row r="272" spans="1:7">
      <c r="A272" s="3218" t="s">
        <v>1155</v>
      </c>
      <c r="B272" s="3207" t="s">
        <v>3124</v>
      </c>
      <c r="C272" s="3219"/>
      <c r="D272" s="3219"/>
      <c r="E272" s="3219"/>
      <c r="F272" s="3208">
        <v>0.05</v>
      </c>
      <c r="G272" s="3225"/>
    </row>
    <row r="273" spans="1:7">
      <c r="A273" s="3218" t="s">
        <v>1155</v>
      </c>
      <c r="B273" s="3207" t="s">
        <v>3125</v>
      </c>
      <c r="C273" s="3219"/>
      <c r="D273" s="3219"/>
      <c r="E273" s="3219"/>
      <c r="F273" s="3208">
        <v>0.05</v>
      </c>
      <c r="G273" s="3225"/>
    </row>
    <row r="274" spans="1:7">
      <c r="A274" s="3218" t="s">
        <v>1155</v>
      </c>
      <c r="B274" s="3207" t="s">
        <v>3126</v>
      </c>
      <c r="C274" s="3219"/>
      <c r="D274" s="3219"/>
      <c r="E274" s="3219"/>
      <c r="F274" s="3208">
        <v>0.05</v>
      </c>
      <c r="G274" s="3225"/>
    </row>
    <row r="275" spans="1:7">
      <c r="A275" s="3218" t="s">
        <v>1155</v>
      </c>
      <c r="B275" s="3207" t="s">
        <v>3127</v>
      </c>
      <c r="C275" s="3219"/>
      <c r="D275" s="3219"/>
      <c r="E275" s="3219"/>
      <c r="F275" s="3208">
        <v>0.05</v>
      </c>
      <c r="G275" s="3225"/>
    </row>
    <row r="276" spans="1:7" ht="14.25" thickBot="1">
      <c r="A276" s="3221" t="s">
        <v>1155</v>
      </c>
      <c r="B276" s="3211" t="s">
        <v>3128</v>
      </c>
      <c r="C276" s="3213"/>
      <c r="D276" s="3213"/>
      <c r="E276" s="3213"/>
      <c r="F276" s="3212">
        <v>0.05</v>
      </c>
      <c r="G276" s="3226"/>
    </row>
    <row r="277" spans="1:7">
      <c r="A277" s="3217" t="s">
        <v>1156</v>
      </c>
      <c r="B277" s="3203" t="s">
        <v>3129</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3130</v>
      </c>
      <c r="C279" s="3208">
        <v>0.15</v>
      </c>
      <c r="D279" s="3208">
        <v>0.15</v>
      </c>
      <c r="E279" s="3208">
        <v>0.15</v>
      </c>
      <c r="F279" s="3208">
        <v>0.15</v>
      </c>
      <c r="G279" s="3209">
        <v>0.15</v>
      </c>
    </row>
    <row r="280" spans="1:7">
      <c r="A280" s="3218" t="s">
        <v>1156</v>
      </c>
      <c r="B280" s="3207" t="s">
        <v>3131</v>
      </c>
      <c r="C280" s="3208">
        <v>0.15</v>
      </c>
      <c r="D280" s="3208">
        <v>0.15</v>
      </c>
      <c r="E280" s="3208">
        <v>0.15</v>
      </c>
      <c r="F280" s="3208">
        <v>0.15</v>
      </c>
      <c r="G280" s="3209">
        <v>0.15</v>
      </c>
    </row>
    <row r="281" spans="1:7">
      <c r="A281" s="3218" t="s">
        <v>1156</v>
      </c>
      <c r="B281" s="3207" t="s">
        <v>3132</v>
      </c>
      <c r="C281" s="3208">
        <v>0.15</v>
      </c>
      <c r="D281" s="3208">
        <v>0.15</v>
      </c>
      <c r="E281" s="3208">
        <v>0.15</v>
      </c>
      <c r="F281" s="3208">
        <v>0.15</v>
      </c>
      <c r="G281" s="3209">
        <v>0.15</v>
      </c>
    </row>
    <row r="282" spans="1:7">
      <c r="A282" s="3218" t="s">
        <v>1156</v>
      </c>
      <c r="B282" s="3207" t="s">
        <v>3133</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3134</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3135</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2958</v>
      </c>
      <c r="C293" s="3208">
        <v>0.15</v>
      </c>
      <c r="D293" s="3208">
        <v>0.15</v>
      </c>
      <c r="E293" s="3208">
        <v>0.15</v>
      </c>
      <c r="F293" s="3208">
        <v>0.14499999999999999</v>
      </c>
      <c r="G293" s="3209">
        <v>0.15</v>
      </c>
    </row>
    <row r="294" spans="1:7">
      <c r="A294" s="3218" t="s">
        <v>1156</v>
      </c>
      <c r="B294" s="3207" t="s">
        <v>3136</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2960</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3137</v>
      </c>
      <c r="C302" s="3208">
        <v>0.15</v>
      </c>
      <c r="D302" s="3208">
        <v>0.15</v>
      </c>
      <c r="E302" s="3208">
        <v>0.15</v>
      </c>
      <c r="F302" s="3208">
        <v>0.14699999999999999</v>
      </c>
      <c r="G302" s="3209">
        <v>0.15</v>
      </c>
    </row>
    <row r="303" spans="1:7">
      <c r="A303" s="3218" t="s">
        <v>1156</v>
      </c>
      <c r="B303" s="3207" t="s">
        <v>2962</v>
      </c>
      <c r="C303" s="3208">
        <v>0.15</v>
      </c>
      <c r="D303" s="3208">
        <v>0.15</v>
      </c>
      <c r="E303" s="3208">
        <v>0.15</v>
      </c>
      <c r="F303" s="3208">
        <v>0.14199999999999999</v>
      </c>
      <c r="G303" s="3209">
        <v>0.15</v>
      </c>
    </row>
    <row r="304" spans="1:7">
      <c r="A304" s="3218" t="s">
        <v>1156</v>
      </c>
      <c r="B304" s="3207" t="s">
        <v>2963</v>
      </c>
      <c r="C304" s="3208">
        <v>0.15</v>
      </c>
      <c r="D304" s="3208">
        <v>0.15</v>
      </c>
      <c r="E304" s="3208">
        <v>0.15</v>
      </c>
      <c r="F304" s="3208">
        <v>0.14499999999999999</v>
      </c>
      <c r="G304" s="3209">
        <v>0.15</v>
      </c>
    </row>
    <row r="305" spans="1:7">
      <c r="A305" s="3218" t="s">
        <v>1156</v>
      </c>
      <c r="B305" s="3207" t="s">
        <v>2964</v>
      </c>
      <c r="C305" s="3208">
        <v>0.15</v>
      </c>
      <c r="D305" s="3208">
        <v>0.15</v>
      </c>
      <c r="E305" s="3208">
        <v>0.15</v>
      </c>
      <c r="F305" s="3208">
        <v>0.111</v>
      </c>
      <c r="G305" s="3209">
        <v>0.15</v>
      </c>
    </row>
    <row r="306" spans="1:7">
      <c r="A306" s="3218" t="s">
        <v>1156</v>
      </c>
      <c r="B306" s="3207" t="s">
        <v>3138</v>
      </c>
      <c r="C306" s="3208">
        <v>0.15</v>
      </c>
      <c r="D306" s="3208">
        <v>0.15</v>
      </c>
      <c r="E306" s="3208">
        <v>0.15</v>
      </c>
      <c r="F306" s="3208">
        <v>0.126</v>
      </c>
      <c r="G306" s="3209">
        <v>0.15</v>
      </c>
    </row>
    <row r="307" spans="1:7">
      <c r="A307" s="3218" t="s">
        <v>1156</v>
      </c>
      <c r="B307" s="3207" t="s">
        <v>2966</v>
      </c>
      <c r="C307" s="3208">
        <v>0.15</v>
      </c>
      <c r="D307" s="3208">
        <v>0.15</v>
      </c>
      <c r="E307" s="3208">
        <v>0.15</v>
      </c>
      <c r="F307" s="3208">
        <v>0.12</v>
      </c>
      <c r="G307" s="3209">
        <v>0.15</v>
      </c>
    </row>
    <row r="308" spans="1:7">
      <c r="A308" s="3218" t="s">
        <v>1156</v>
      </c>
      <c r="B308" s="3207" t="s">
        <v>3139</v>
      </c>
      <c r="C308" s="3208">
        <v>0.15</v>
      </c>
      <c r="D308" s="3208">
        <v>0.15</v>
      </c>
      <c r="E308" s="3208">
        <v>0.15</v>
      </c>
      <c r="F308" s="3208">
        <v>0.13</v>
      </c>
      <c r="G308" s="3209">
        <v>0.15</v>
      </c>
    </row>
    <row r="309" spans="1:7">
      <c r="A309" s="3218" t="s">
        <v>1156</v>
      </c>
      <c r="B309" s="3207" t="s">
        <v>3140</v>
      </c>
      <c r="C309" s="3208">
        <v>0.15</v>
      </c>
      <c r="D309" s="3208">
        <v>0.15</v>
      </c>
      <c r="E309" s="3208">
        <v>0.15</v>
      </c>
      <c r="F309" s="3208">
        <v>0.14099999999999999</v>
      </c>
      <c r="G309" s="3209">
        <v>0.15</v>
      </c>
    </row>
    <row r="310" spans="1:7">
      <c r="A310" s="3218" t="s">
        <v>1156</v>
      </c>
      <c r="B310" s="3207" t="s">
        <v>2969</v>
      </c>
      <c r="C310" s="3208">
        <v>0.15</v>
      </c>
      <c r="D310" s="3208">
        <v>0.15</v>
      </c>
      <c r="E310" s="3208">
        <v>0.15</v>
      </c>
      <c r="F310" s="3208">
        <v>0.15</v>
      </c>
      <c r="G310" s="3209">
        <v>0.15</v>
      </c>
    </row>
    <row r="311" spans="1:7">
      <c r="A311" s="3218" t="s">
        <v>1156</v>
      </c>
      <c r="B311" s="3207" t="s">
        <v>3141</v>
      </c>
      <c r="C311" s="3208">
        <v>0.13200000000000001</v>
      </c>
      <c r="D311" s="3208">
        <v>0.13300000000000001</v>
      </c>
      <c r="E311" s="3208">
        <v>0.14499999999999999</v>
      </c>
      <c r="F311" s="3208">
        <v>0.14199999999999999</v>
      </c>
      <c r="G311" s="3209">
        <v>0.14000000000000001</v>
      </c>
    </row>
    <row r="312" spans="1:7">
      <c r="A312" s="3218" t="s">
        <v>1156</v>
      </c>
      <c r="B312" s="3207" t="s">
        <v>2971</v>
      </c>
      <c r="C312" s="3208">
        <v>0.13800000000000001</v>
      </c>
      <c r="D312" s="3208">
        <v>0.14000000000000001</v>
      </c>
      <c r="E312" s="3208">
        <v>0.14599999999999999</v>
      </c>
      <c r="F312" s="3208">
        <v>0.14899999999999999</v>
      </c>
      <c r="G312" s="3209">
        <v>0.14199999999999999</v>
      </c>
    </row>
    <row r="313" spans="1:7">
      <c r="A313" s="3218" t="s">
        <v>1156</v>
      </c>
      <c r="B313" s="3207" t="s">
        <v>2972</v>
      </c>
      <c r="C313" s="3208">
        <v>0.125</v>
      </c>
      <c r="D313" s="3208">
        <v>0.127</v>
      </c>
      <c r="E313" s="3208">
        <v>0.14399999999999999</v>
      </c>
      <c r="F313" s="3208">
        <v>0.115</v>
      </c>
      <c r="G313" s="3209">
        <v>0.13600000000000001</v>
      </c>
    </row>
    <row r="314" spans="1:7">
      <c r="A314" s="3218" t="s">
        <v>1156</v>
      </c>
      <c r="B314" s="3207" t="s">
        <v>3142</v>
      </c>
      <c r="C314" s="3224"/>
      <c r="D314" s="3224"/>
      <c r="E314" s="3224"/>
      <c r="F314" s="3208">
        <v>0.05</v>
      </c>
      <c r="G314" s="3225"/>
    </row>
    <row r="315" spans="1:7">
      <c r="A315" s="3218" t="s">
        <v>1156</v>
      </c>
      <c r="B315" s="3207" t="s">
        <v>3143</v>
      </c>
      <c r="C315" s="3224"/>
      <c r="D315" s="3224"/>
      <c r="E315" s="3224"/>
      <c r="F315" s="3208">
        <v>0.05</v>
      </c>
      <c r="G315" s="3225"/>
    </row>
    <row r="316" spans="1:7">
      <c r="A316" s="3218" t="s">
        <v>1156</v>
      </c>
      <c r="B316" s="3207" t="s">
        <v>3144</v>
      </c>
      <c r="C316" s="3219"/>
      <c r="D316" s="3219"/>
      <c r="E316" s="3219"/>
      <c r="F316" s="3208">
        <v>0.05</v>
      </c>
      <c r="G316" s="3225"/>
    </row>
    <row r="317" spans="1:7">
      <c r="A317" s="3218" t="s">
        <v>1156</v>
      </c>
      <c r="B317" s="3207" t="s">
        <v>3145</v>
      </c>
      <c r="C317" s="3219"/>
      <c r="D317" s="3219"/>
      <c r="E317" s="3219"/>
      <c r="F317" s="3208">
        <v>0.05</v>
      </c>
      <c r="G317" s="3225"/>
    </row>
    <row r="318" spans="1:7">
      <c r="A318" s="3218" t="s">
        <v>1156</v>
      </c>
      <c r="B318" s="3207" t="s">
        <v>3146</v>
      </c>
      <c r="C318" s="3219"/>
      <c r="D318" s="3219"/>
      <c r="E318" s="3219"/>
      <c r="F318" s="3208">
        <v>0.05</v>
      </c>
      <c r="G318" s="3225"/>
    </row>
    <row r="319" spans="1:7">
      <c r="A319" s="3218" t="s">
        <v>1156</v>
      </c>
      <c r="B319" s="3207" t="s">
        <v>3147</v>
      </c>
      <c r="C319" s="3219"/>
      <c r="D319" s="3219"/>
      <c r="E319" s="3219"/>
      <c r="F319" s="3208">
        <v>0.05</v>
      </c>
      <c r="G319" s="3225"/>
    </row>
    <row r="320" spans="1:7">
      <c r="A320" s="3218" t="s">
        <v>1156</v>
      </c>
      <c r="B320" s="3207" t="s">
        <v>3148</v>
      </c>
      <c r="C320" s="3219"/>
      <c r="D320" s="3219"/>
      <c r="E320" s="3219"/>
      <c r="F320" s="3208">
        <v>0.05</v>
      </c>
      <c r="G320" s="3225"/>
    </row>
    <row r="321" spans="1:7">
      <c r="A321" s="3218" t="s">
        <v>1156</v>
      </c>
      <c r="B321" s="3207" t="s">
        <v>3149</v>
      </c>
      <c r="C321" s="3219"/>
      <c r="D321" s="3219"/>
      <c r="E321" s="3219"/>
      <c r="F321" s="3208">
        <v>0.05</v>
      </c>
      <c r="G321" s="3225"/>
    </row>
    <row r="322" spans="1:7">
      <c r="A322" s="3218" t="s">
        <v>1156</v>
      </c>
      <c r="B322" s="3207" t="s">
        <v>3150</v>
      </c>
      <c r="C322" s="3219"/>
      <c r="D322" s="3219"/>
      <c r="E322" s="3219"/>
      <c r="F322" s="3208">
        <v>0.05</v>
      </c>
      <c r="G322" s="3225"/>
    </row>
    <row r="323" spans="1:7">
      <c r="A323" s="3218" t="s">
        <v>1156</v>
      </c>
      <c r="B323" s="3207" t="s">
        <v>3151</v>
      </c>
      <c r="C323" s="3219"/>
      <c r="D323" s="3219"/>
      <c r="E323" s="3219"/>
      <c r="F323" s="3208">
        <v>0.05</v>
      </c>
      <c r="G323" s="3225"/>
    </row>
    <row r="324" spans="1:7">
      <c r="A324" s="3218" t="s">
        <v>1156</v>
      </c>
      <c r="B324" s="3207" t="s">
        <v>3152</v>
      </c>
      <c r="C324" s="3219"/>
      <c r="D324" s="3219"/>
      <c r="E324" s="3219"/>
      <c r="F324" s="3208">
        <v>0.05</v>
      </c>
      <c r="G324" s="3225"/>
    </row>
    <row r="325" spans="1:7">
      <c r="A325" s="3218" t="s">
        <v>1156</v>
      </c>
      <c r="B325" s="3207" t="s">
        <v>3153</v>
      </c>
      <c r="C325" s="3219"/>
      <c r="D325" s="3219"/>
      <c r="E325" s="3219"/>
      <c r="F325" s="3208">
        <v>0.05</v>
      </c>
      <c r="G325" s="3225"/>
    </row>
    <row r="326" spans="1:7" ht="14.25" thickBot="1">
      <c r="A326" s="3221" t="s">
        <v>1156</v>
      </c>
      <c r="B326" s="3211" t="s">
        <v>3154</v>
      </c>
      <c r="C326" s="3213"/>
      <c r="D326" s="3213"/>
      <c r="E326" s="3213"/>
      <c r="F326" s="3212">
        <v>0.05</v>
      </c>
      <c r="G326" s="3226"/>
    </row>
    <row r="327" spans="1:7">
      <c r="A327" s="3217" t="s">
        <v>1157</v>
      </c>
      <c r="B327" s="3203" t="s">
        <v>3155</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3156</v>
      </c>
      <c r="C329" s="3208">
        <v>0.15</v>
      </c>
      <c r="D329" s="3208">
        <v>0.15</v>
      </c>
      <c r="E329" s="3208">
        <v>0.15</v>
      </c>
      <c r="F329" s="3208">
        <v>0.15</v>
      </c>
      <c r="G329" s="3209">
        <v>0.15</v>
      </c>
    </row>
    <row r="330" spans="1:7">
      <c r="A330" s="3218" t="s">
        <v>1157</v>
      </c>
      <c r="B330" s="3207" t="s">
        <v>3157</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2989</v>
      </c>
      <c r="C332" s="3208">
        <v>0.15</v>
      </c>
      <c r="D332" s="3208">
        <v>0.15</v>
      </c>
      <c r="E332" s="3208">
        <v>0.15</v>
      </c>
      <c r="F332" s="3208">
        <v>0.15</v>
      </c>
      <c r="G332" s="3209">
        <v>0.15</v>
      </c>
    </row>
    <row r="333" spans="1:7">
      <c r="A333" s="3218" t="s">
        <v>1157</v>
      </c>
      <c r="B333" s="3207" t="s">
        <v>3158</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2991</v>
      </c>
      <c r="C336" s="3208">
        <v>0.15</v>
      </c>
      <c r="D336" s="3208">
        <v>0.15</v>
      </c>
      <c r="E336" s="3208">
        <v>0.15</v>
      </c>
      <c r="F336" s="3208">
        <v>0.14199999999999999</v>
      </c>
      <c r="G336" s="3209">
        <v>0.15</v>
      </c>
    </row>
    <row r="337" spans="1:7">
      <c r="A337" s="3218" t="s">
        <v>1157</v>
      </c>
      <c r="B337" s="3207" t="s">
        <v>3159</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3160</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3161</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2995</v>
      </c>
      <c r="C345" s="3208">
        <v>0.15</v>
      </c>
      <c r="D345" s="3208">
        <v>0.15</v>
      </c>
      <c r="E345" s="3208">
        <v>0.15</v>
      </c>
      <c r="F345" s="3208">
        <v>0.13800000000000001</v>
      </c>
      <c r="G345" s="3209">
        <v>0.15</v>
      </c>
    </row>
    <row r="346" spans="1:7">
      <c r="A346" s="3218" t="s">
        <v>1157</v>
      </c>
      <c r="B346" s="3207" t="s">
        <v>3162</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2997</v>
      </c>
      <c r="C348" s="3208">
        <v>0.15</v>
      </c>
      <c r="D348" s="3208">
        <v>0.15</v>
      </c>
      <c r="E348" s="3208">
        <v>0.15</v>
      </c>
      <c r="F348" s="3208">
        <v>0.14399999999999999</v>
      </c>
      <c r="G348" s="3209">
        <v>0.15</v>
      </c>
    </row>
    <row r="349" spans="1:7">
      <c r="A349" s="3218" t="s">
        <v>1157</v>
      </c>
      <c r="B349" s="3207" t="s">
        <v>2998</v>
      </c>
      <c r="C349" s="3208">
        <v>0.15</v>
      </c>
      <c r="D349" s="3208">
        <v>0.15</v>
      </c>
      <c r="E349" s="3208">
        <v>0.15</v>
      </c>
      <c r="F349" s="3208">
        <v>0.15</v>
      </c>
      <c r="G349" s="3209">
        <v>0.15</v>
      </c>
    </row>
    <row r="350" spans="1:7">
      <c r="A350" s="3218" t="s">
        <v>1157</v>
      </c>
      <c r="B350" s="3207" t="s">
        <v>3163</v>
      </c>
      <c r="C350" s="3208">
        <v>0.15</v>
      </c>
      <c r="D350" s="3208">
        <v>0.15</v>
      </c>
      <c r="E350" s="3208">
        <v>0.15</v>
      </c>
      <c r="F350" s="3208">
        <v>0.14699999999999999</v>
      </c>
      <c r="G350" s="3209">
        <v>0.15</v>
      </c>
    </row>
    <row r="351" spans="1:7">
      <c r="A351" s="3218" t="s">
        <v>1157</v>
      </c>
      <c r="B351" s="3207" t="s">
        <v>3000</v>
      </c>
      <c r="C351" s="3208">
        <v>0.15</v>
      </c>
      <c r="D351" s="3208">
        <v>0.15</v>
      </c>
      <c r="E351" s="3208">
        <v>0.15</v>
      </c>
      <c r="F351" s="3208">
        <v>0.13</v>
      </c>
      <c r="G351" s="3209">
        <v>0.15</v>
      </c>
    </row>
    <row r="352" spans="1:7">
      <c r="A352" s="3218" t="s">
        <v>1157</v>
      </c>
      <c r="B352" s="3207" t="s">
        <v>3001</v>
      </c>
      <c r="C352" s="3208">
        <v>0.15</v>
      </c>
      <c r="D352" s="3208">
        <v>0.15</v>
      </c>
      <c r="E352" s="3208">
        <v>0.15</v>
      </c>
      <c r="F352" s="3208">
        <v>0.14599999999999999</v>
      </c>
      <c r="G352" s="3209">
        <v>0.15</v>
      </c>
    </row>
    <row r="353" spans="1:7">
      <c r="A353" s="3218" t="s">
        <v>1157</v>
      </c>
      <c r="B353" s="3207" t="s">
        <v>3164</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3003</v>
      </c>
      <c r="C355" s="3208">
        <v>0.15</v>
      </c>
      <c r="D355" s="3208">
        <v>0.15</v>
      </c>
      <c r="E355" s="3208">
        <v>0.15</v>
      </c>
      <c r="F355" s="3208">
        <v>0.15</v>
      </c>
      <c r="G355" s="3209">
        <v>0.15</v>
      </c>
    </row>
    <row r="356" spans="1:7">
      <c r="A356" s="3218" t="s">
        <v>1157</v>
      </c>
      <c r="B356" s="3207" t="s">
        <v>3004</v>
      </c>
      <c r="C356" s="3208">
        <v>0.15</v>
      </c>
      <c r="D356" s="3208">
        <v>0.15</v>
      </c>
      <c r="E356" s="3208">
        <v>0.15</v>
      </c>
      <c r="F356" s="3208">
        <v>0.15</v>
      </c>
      <c r="G356" s="3209">
        <v>0.15</v>
      </c>
    </row>
    <row r="357" spans="1:7" ht="14.25" thickBot="1">
      <c r="A357" s="3221" t="s">
        <v>1157</v>
      </c>
      <c r="B357" s="3211" t="s">
        <v>3165</v>
      </c>
      <c r="C357" s="3212">
        <v>0.126</v>
      </c>
      <c r="D357" s="3212">
        <v>0.127</v>
      </c>
      <c r="E357" s="3212">
        <v>0.14299999999999999</v>
      </c>
      <c r="F357" s="3212">
        <v>0.125</v>
      </c>
      <c r="G357" s="3214">
        <v>0.129</v>
      </c>
    </row>
    <row r="358" spans="1:7">
      <c r="A358" s="3217" t="s">
        <v>3166</v>
      </c>
      <c r="B358" s="3203" t="s">
        <v>3167</v>
      </c>
      <c r="C358" s="3204">
        <v>0.15</v>
      </c>
      <c r="D358" s="3204">
        <v>0.15</v>
      </c>
      <c r="E358" s="3204">
        <v>0.15</v>
      </c>
      <c r="F358" s="3204">
        <v>0.15</v>
      </c>
      <c r="G358" s="3205">
        <v>0.15</v>
      </c>
    </row>
    <row r="359" spans="1:7">
      <c r="A359" s="3218" t="s">
        <v>3166</v>
      </c>
      <c r="B359" s="3207" t="s">
        <v>3168</v>
      </c>
      <c r="C359" s="3208">
        <v>0.1</v>
      </c>
      <c r="D359" s="3208">
        <v>0.1</v>
      </c>
      <c r="E359" s="3208">
        <v>0.1</v>
      </c>
      <c r="F359" s="3208">
        <v>0.1</v>
      </c>
      <c r="G359" s="3209">
        <v>0.1</v>
      </c>
    </row>
    <row r="360" spans="1:7">
      <c r="A360" s="3218" t="s">
        <v>3166</v>
      </c>
      <c r="B360" s="3207" t="s">
        <v>3169</v>
      </c>
      <c r="C360" s="3208">
        <v>0.15</v>
      </c>
      <c r="D360" s="3208">
        <v>0.15</v>
      </c>
      <c r="E360" s="3208">
        <v>0.15</v>
      </c>
      <c r="F360" s="3208">
        <v>0.14899999999999999</v>
      </c>
      <c r="G360" s="3209">
        <v>0.15</v>
      </c>
    </row>
    <row r="361" spans="1:7">
      <c r="A361" s="3218" t="s">
        <v>3166</v>
      </c>
      <c r="B361" s="3207" t="s">
        <v>999</v>
      </c>
      <c r="C361" s="3208">
        <v>0.15</v>
      </c>
      <c r="D361" s="3208">
        <v>0.15</v>
      </c>
      <c r="E361" s="3208">
        <v>0.15</v>
      </c>
      <c r="F361" s="3208">
        <v>0.115</v>
      </c>
      <c r="G361" s="3209">
        <v>0.15</v>
      </c>
    </row>
    <row r="362" spans="1:7">
      <c r="A362" s="3218" t="s">
        <v>3166</v>
      </c>
      <c r="B362" s="3207" t="s">
        <v>3170</v>
      </c>
      <c r="C362" s="3208">
        <v>0.15</v>
      </c>
      <c r="D362" s="3208">
        <v>0.15</v>
      </c>
      <c r="E362" s="3208">
        <v>0.15</v>
      </c>
      <c r="F362" s="3208">
        <v>0.106</v>
      </c>
      <c r="G362" s="3209">
        <v>0.15</v>
      </c>
    </row>
    <row r="363" spans="1:7">
      <c r="A363" s="3218" t="s">
        <v>3166</v>
      </c>
      <c r="B363" s="3207" t="s">
        <v>3010</v>
      </c>
      <c r="C363" s="3208">
        <v>0.15</v>
      </c>
      <c r="D363" s="3208">
        <v>0.15</v>
      </c>
      <c r="E363" s="3208">
        <v>0.15</v>
      </c>
      <c r="F363" s="3208">
        <v>0.14699999999999999</v>
      </c>
      <c r="G363" s="3209">
        <v>0.15</v>
      </c>
    </row>
    <row r="364" spans="1:7">
      <c r="A364" s="3218" t="s">
        <v>3166</v>
      </c>
      <c r="B364" s="3207" t="s">
        <v>3171</v>
      </c>
      <c r="C364" s="3208">
        <v>0.15</v>
      </c>
      <c r="D364" s="3208">
        <v>0.15</v>
      </c>
      <c r="E364" s="3208">
        <v>0.15</v>
      </c>
      <c r="F364" s="3208">
        <v>0.14799999999999999</v>
      </c>
      <c r="G364" s="3209">
        <v>0.15</v>
      </c>
    </row>
    <row r="365" spans="1:7">
      <c r="A365" s="3218" t="s">
        <v>3166</v>
      </c>
      <c r="B365" s="3207" t="s">
        <v>1047</v>
      </c>
      <c r="C365" s="3208">
        <v>0.15</v>
      </c>
      <c r="D365" s="3208">
        <v>0.15</v>
      </c>
      <c r="E365" s="3208">
        <v>0.15</v>
      </c>
      <c r="F365" s="3208">
        <v>0.15</v>
      </c>
      <c r="G365" s="3209">
        <v>0.15</v>
      </c>
    </row>
    <row r="366" spans="1:7">
      <c r="A366" s="3218" t="s">
        <v>3166</v>
      </c>
      <c r="B366" s="3207" t="s">
        <v>3012</v>
      </c>
      <c r="C366" s="3208">
        <v>0.15</v>
      </c>
      <c r="D366" s="3208">
        <v>0.15</v>
      </c>
      <c r="E366" s="3208">
        <v>0.15</v>
      </c>
      <c r="F366" s="3208">
        <v>0.15</v>
      </c>
      <c r="G366" s="3209">
        <v>0.15</v>
      </c>
    </row>
    <row r="367" spans="1:7">
      <c r="A367" s="3218" t="s">
        <v>3166</v>
      </c>
      <c r="B367" s="3207" t="s">
        <v>3172</v>
      </c>
      <c r="C367" s="3208">
        <v>0.15</v>
      </c>
      <c r="D367" s="3208">
        <v>0.15</v>
      </c>
      <c r="E367" s="3208">
        <v>0.15</v>
      </c>
      <c r="F367" s="3208">
        <v>0.14699999999999999</v>
      </c>
      <c r="G367" s="3209">
        <v>0.15</v>
      </c>
    </row>
    <row r="368" spans="1:7">
      <c r="A368" s="3218" t="s">
        <v>3166</v>
      </c>
      <c r="B368" s="3207" t="s">
        <v>3173</v>
      </c>
      <c r="C368" s="3208">
        <v>0.15</v>
      </c>
      <c r="D368" s="3208">
        <v>0.15</v>
      </c>
      <c r="E368" s="3208">
        <v>0.15</v>
      </c>
      <c r="F368" s="3208">
        <v>0.13600000000000001</v>
      </c>
      <c r="G368" s="3209">
        <v>0.15</v>
      </c>
    </row>
    <row r="369" spans="1:7">
      <c r="A369" s="3218" t="s">
        <v>3166</v>
      </c>
      <c r="B369" s="3207" t="s">
        <v>1061</v>
      </c>
      <c r="C369" s="3208">
        <v>0.15</v>
      </c>
      <c r="D369" s="3208">
        <v>0.15</v>
      </c>
      <c r="E369" s="3208">
        <v>0.15</v>
      </c>
      <c r="F369" s="3208">
        <v>0.14399999999999999</v>
      </c>
      <c r="G369" s="3209">
        <v>0.15</v>
      </c>
    </row>
    <row r="370" spans="1:7">
      <c r="A370" s="3218" t="s">
        <v>3166</v>
      </c>
      <c r="B370" s="3207" t="s">
        <v>1069</v>
      </c>
      <c r="C370" s="3208">
        <v>0.15</v>
      </c>
      <c r="D370" s="3208">
        <v>0.15</v>
      </c>
      <c r="E370" s="3208">
        <v>0.15</v>
      </c>
      <c r="F370" s="3208">
        <v>0.14599999999999999</v>
      </c>
      <c r="G370" s="3209">
        <v>0.15</v>
      </c>
    </row>
    <row r="371" spans="1:7">
      <c r="A371" s="3218" t="s">
        <v>3166</v>
      </c>
      <c r="B371" s="3207" t="s">
        <v>1077</v>
      </c>
      <c r="C371" s="3208">
        <v>0.15</v>
      </c>
      <c r="D371" s="3208">
        <v>0.15</v>
      </c>
      <c r="E371" s="3208">
        <v>0.15</v>
      </c>
      <c r="F371" s="3208">
        <v>0.12</v>
      </c>
      <c r="G371" s="3209">
        <v>0.15</v>
      </c>
    </row>
    <row r="372" spans="1:7">
      <c r="A372" s="3218" t="s">
        <v>3166</v>
      </c>
      <c r="B372" s="3207" t="s">
        <v>3174</v>
      </c>
      <c r="C372" s="3208">
        <v>0.15</v>
      </c>
      <c r="D372" s="3208">
        <v>0.15</v>
      </c>
      <c r="E372" s="3208">
        <v>0.15</v>
      </c>
      <c r="F372" s="3208">
        <v>0.14299999999999999</v>
      </c>
      <c r="G372" s="3209">
        <v>0.15</v>
      </c>
    </row>
    <row r="373" spans="1:7">
      <c r="A373" s="3218" t="s">
        <v>3166</v>
      </c>
      <c r="B373" s="3207" t="s">
        <v>1106</v>
      </c>
      <c r="C373" s="3208">
        <v>0.15</v>
      </c>
      <c r="D373" s="3208">
        <v>0.15</v>
      </c>
      <c r="E373" s="3208">
        <v>0.15</v>
      </c>
      <c r="F373" s="3208">
        <v>0.14599999999999999</v>
      </c>
      <c r="G373" s="3209">
        <v>0.15</v>
      </c>
    </row>
    <row r="374" spans="1:7">
      <c r="A374" s="3218" t="s">
        <v>3166</v>
      </c>
      <c r="B374" s="3207" t="s">
        <v>1114</v>
      </c>
      <c r="C374" s="3208">
        <v>0.15</v>
      </c>
      <c r="D374" s="3208">
        <v>0.15</v>
      </c>
      <c r="E374" s="3208">
        <v>0.15</v>
      </c>
      <c r="F374" s="3208">
        <v>0.14399999999999999</v>
      </c>
      <c r="G374" s="3209">
        <v>0.15</v>
      </c>
    </row>
    <row r="375" spans="1:7">
      <c r="A375" s="3218" t="s">
        <v>3166</v>
      </c>
      <c r="B375" s="3207" t="s">
        <v>3175</v>
      </c>
      <c r="C375" s="3208">
        <v>0.15</v>
      </c>
      <c r="D375" s="3208">
        <v>0.15</v>
      </c>
      <c r="E375" s="3208">
        <v>0.15</v>
      </c>
      <c r="F375" s="3208">
        <v>0.13</v>
      </c>
      <c r="G375" s="3209">
        <v>0.15</v>
      </c>
    </row>
    <row r="376" spans="1:7">
      <c r="A376" s="3218" t="s">
        <v>3166</v>
      </c>
      <c r="B376" s="3207" t="s">
        <v>1126</v>
      </c>
      <c r="C376" s="3208">
        <v>0.15</v>
      </c>
      <c r="D376" s="3208">
        <v>0.15</v>
      </c>
      <c r="E376" s="3208">
        <v>0.15</v>
      </c>
      <c r="F376" s="3208">
        <v>0.14199999999999999</v>
      </c>
      <c r="G376" s="3209">
        <v>0.15</v>
      </c>
    </row>
    <row r="377" spans="1:7" ht="14.25" thickBot="1">
      <c r="A377" s="3221" t="s">
        <v>3166</v>
      </c>
      <c r="B377" s="3211" t="s">
        <v>3017</v>
      </c>
      <c r="C377" s="3212">
        <v>0.15</v>
      </c>
      <c r="D377" s="3212">
        <v>0.15</v>
      </c>
      <c r="E377" s="3212">
        <v>0.15</v>
      </c>
      <c r="F377" s="3212">
        <v>0.14000000000000001</v>
      </c>
      <c r="G377" s="3214">
        <v>0.15</v>
      </c>
    </row>
    <row r="378" spans="1:7">
      <c r="A378" s="3217" t="s">
        <v>3176</v>
      </c>
      <c r="B378" s="3203" t="s">
        <v>3177</v>
      </c>
      <c r="C378" s="3204">
        <v>0.15</v>
      </c>
      <c r="D378" s="3204">
        <v>0.15</v>
      </c>
      <c r="E378" s="3204">
        <v>0.15</v>
      </c>
      <c r="F378" s="3204">
        <v>0.107</v>
      </c>
      <c r="G378" s="3205">
        <v>0.15</v>
      </c>
    </row>
    <row r="379" spans="1:7">
      <c r="A379" s="3218" t="s">
        <v>3176</v>
      </c>
      <c r="B379" s="3207" t="s">
        <v>3178</v>
      </c>
      <c r="C379" s="3208">
        <v>0.15</v>
      </c>
      <c r="D379" s="3208">
        <v>0.15</v>
      </c>
      <c r="E379" s="3208">
        <v>0.15</v>
      </c>
      <c r="F379" s="3208">
        <v>0.115</v>
      </c>
      <c r="G379" s="3209">
        <v>0.14899999999999999</v>
      </c>
    </row>
    <row r="380" spans="1:7">
      <c r="A380" s="3218" t="s">
        <v>3179</v>
      </c>
      <c r="B380" s="3207" t="s">
        <v>3180</v>
      </c>
      <c r="C380" s="3208">
        <v>0.15</v>
      </c>
      <c r="D380" s="3208">
        <v>0.15</v>
      </c>
      <c r="E380" s="3208">
        <v>0.15</v>
      </c>
      <c r="F380" s="3208">
        <v>0.1</v>
      </c>
      <c r="G380" s="3209">
        <v>0.14799999999999999</v>
      </c>
    </row>
    <row r="381" spans="1:7">
      <c r="A381" s="3218" t="s">
        <v>3179</v>
      </c>
      <c r="B381" s="3207" t="s">
        <v>3181</v>
      </c>
      <c r="C381" s="3208">
        <v>0.15</v>
      </c>
      <c r="D381" s="3208">
        <v>0.15</v>
      </c>
      <c r="E381" s="3208">
        <v>0.15</v>
      </c>
      <c r="F381" s="3208">
        <v>0.126</v>
      </c>
      <c r="G381" s="3209">
        <v>0.15</v>
      </c>
    </row>
    <row r="382" spans="1:7">
      <c r="A382" s="3218" t="s">
        <v>3179</v>
      </c>
      <c r="B382" s="3207" t="s">
        <v>3182</v>
      </c>
      <c r="C382" s="3208">
        <v>0.15</v>
      </c>
      <c r="D382" s="3208">
        <v>0.15</v>
      </c>
      <c r="E382" s="3208">
        <v>0.15</v>
      </c>
      <c r="F382" s="3208">
        <v>0.15</v>
      </c>
      <c r="G382" s="3209">
        <v>0.15</v>
      </c>
    </row>
    <row r="383" spans="1:7">
      <c r="A383" s="3218" t="s">
        <v>3179</v>
      </c>
      <c r="B383" s="3207" t="s">
        <v>3183</v>
      </c>
      <c r="C383" s="3208">
        <v>0.15</v>
      </c>
      <c r="D383" s="3208">
        <v>0.15</v>
      </c>
      <c r="E383" s="3208">
        <v>0.15</v>
      </c>
      <c r="F383" s="3208">
        <v>0.14699999999999999</v>
      </c>
      <c r="G383" s="3209">
        <v>0.15</v>
      </c>
    </row>
    <row r="384" spans="1:7" ht="14.25" thickBot="1">
      <c r="A384" s="3228" t="s">
        <v>3179</v>
      </c>
      <c r="B384" s="3229" t="s">
        <v>3184</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716" t="s">
        <v>1858</v>
      </c>
      <c r="C1" s="3716"/>
      <c r="D1" s="3716"/>
      <c r="E1" s="3716"/>
      <c r="F1" s="3716"/>
      <c r="G1" s="3715" t="s">
        <v>1859</v>
      </c>
      <c r="H1" s="3715"/>
      <c r="I1" s="3715"/>
      <c r="J1" s="3715"/>
      <c r="K1" s="3715"/>
      <c r="L1" s="3715"/>
      <c r="N1" s="3715" t="s">
        <v>1860</v>
      </c>
      <c r="O1" s="3715"/>
      <c r="P1" s="3715"/>
      <c r="Q1" s="3715"/>
      <c r="S1" s="3715" t="s">
        <v>1861</v>
      </c>
      <c r="T1" s="3715"/>
      <c r="U1" s="3715"/>
      <c r="V1" s="3715"/>
      <c r="X1" s="3714" t="s">
        <v>1921</v>
      </c>
      <c r="Y1" s="3715"/>
      <c r="Z1" s="3715"/>
      <c r="AA1" s="3715"/>
      <c r="AB1" s="3715"/>
      <c r="AD1" s="3714" t="s">
        <v>1925</v>
      </c>
      <c r="AE1" s="3715"/>
      <c r="AF1" s="3715"/>
      <c r="AG1" s="3715"/>
      <c r="AH1" s="3715"/>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2290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2287</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2286</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710">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710"/>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710"/>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711"/>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709">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710"/>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710"/>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711"/>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709">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710"/>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710"/>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713"/>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712">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710"/>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710"/>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713"/>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712">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710"/>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710"/>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713"/>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717">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18"/>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718"/>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19"/>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712">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710"/>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710"/>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713"/>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712">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710">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710">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713">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712">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710">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710">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713">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712">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710">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710">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713">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712">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710">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710">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713">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712">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710">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710">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713">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712">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710">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710">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713">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712">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710">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710">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713">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712">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710">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710">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713">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712">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710">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710">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713">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712">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710">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710">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713">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4">
        <f>基准地价!G23</f>
        <v>45637</v>
      </c>
      <c r="B1" s="3091" t="s">
        <v>3269</v>
      </c>
      <c r="C1" s="3092"/>
      <c r="D1" s="3092"/>
      <c r="E1" s="3092"/>
      <c r="F1" s="3092"/>
      <c r="G1" s="3092"/>
      <c r="H1" s="3092"/>
      <c r="I1" s="3092"/>
      <c r="J1" s="3093"/>
      <c r="K1" s="3092" t="s">
        <v>2790</v>
      </c>
      <c r="L1" s="3092"/>
      <c r="M1" s="3092"/>
      <c r="N1" s="3092"/>
      <c r="O1" s="3092"/>
      <c r="P1" s="3092"/>
      <c r="Q1" s="3093"/>
      <c r="R1" s="3720" t="s">
        <v>2798</v>
      </c>
      <c r="S1" s="3721"/>
      <c r="T1" s="3721"/>
      <c r="U1" s="3721"/>
      <c r="V1" s="3721"/>
      <c r="W1" s="3721"/>
      <c r="X1" s="3093"/>
      <c r="Y1" s="3720" t="s">
        <v>2809</v>
      </c>
      <c r="Z1" s="3721"/>
      <c r="AA1" s="3721"/>
      <c r="AB1" s="3721"/>
      <c r="AC1" s="3721"/>
      <c r="AD1" s="3721"/>
    </row>
    <row r="2" spans="1:30" ht="14.25" thickBot="1">
      <c r="A2" s="3086"/>
      <c r="B2" s="3094"/>
      <c r="C2" s="3095"/>
      <c r="D2" s="2424" t="s">
        <v>2792</v>
      </c>
      <c r="E2" s="2425" t="s">
        <v>2793</v>
      </c>
      <c r="F2" s="2425" t="s">
        <v>2794</v>
      </c>
      <c r="G2" s="2425" t="s">
        <v>2795</v>
      </c>
      <c r="H2" s="2425" t="s">
        <v>2796</v>
      </c>
      <c r="I2" s="2425" t="s">
        <v>2738</v>
      </c>
      <c r="J2" s="3096"/>
      <c r="K2" s="2424" t="s">
        <v>2792</v>
      </c>
      <c r="L2" s="2425" t="s">
        <v>2793</v>
      </c>
      <c r="M2" s="2425" t="s">
        <v>2794</v>
      </c>
      <c r="N2" s="2425" t="s">
        <v>2795</v>
      </c>
      <c r="O2" s="2425" t="s">
        <v>2796</v>
      </c>
      <c r="P2" s="2425" t="s">
        <v>2738</v>
      </c>
      <c r="Q2" s="3096"/>
      <c r="R2" s="2424" t="s">
        <v>2799</v>
      </c>
      <c r="S2" s="2425" t="s">
        <v>2800</v>
      </c>
      <c r="T2" s="2425" t="s">
        <v>2801</v>
      </c>
      <c r="U2" s="2425" t="s">
        <v>2802</v>
      </c>
      <c r="V2" s="2425" t="s">
        <v>2803</v>
      </c>
      <c r="W2" s="2425" t="s">
        <v>2804</v>
      </c>
      <c r="X2" s="3096"/>
      <c r="Y2" s="2424" t="s">
        <v>2792</v>
      </c>
      <c r="Z2" s="2425" t="s">
        <v>1470</v>
      </c>
      <c r="AA2" s="2425" t="s">
        <v>2810</v>
      </c>
      <c r="AB2" s="2425" t="s">
        <v>1469</v>
      </c>
      <c r="AC2" s="2425" t="s">
        <v>2796</v>
      </c>
      <c r="AD2" s="2425" t="s">
        <v>2455</v>
      </c>
    </row>
    <row r="3" spans="1:30">
      <c r="A3" s="3087" t="s">
        <v>2781</v>
      </c>
      <c r="B3" s="3097"/>
      <c r="C3" s="3098"/>
      <c r="D3" s="3098">
        <f>ROUND(AVERAGEIF(D4:D21,"&lt;&gt;0"),2)</f>
        <v>0.47</v>
      </c>
      <c r="E3" s="3098">
        <f>ROUND(AVERAGEIF(E4:E21,"&lt;&gt;0"),2)</f>
        <v>0.3</v>
      </c>
      <c r="F3" s="3098">
        <f>ROUND(AVERAGEIF(F4:F21,"&lt;&gt;0"),2)</f>
        <v>0.04</v>
      </c>
      <c r="G3" s="3098">
        <f>ROUND(AVERAGEIF(G4:G21,"&lt;&gt;0"),2)</f>
        <v>0.51</v>
      </c>
      <c r="H3" s="3098">
        <f>ROUND(AVERAGEIF(H4:H21,"&lt;&gt;0"),2)</f>
        <v>0.55000000000000004</v>
      </c>
      <c r="I3" s="3098">
        <f>F3</f>
        <v>0.04</v>
      </c>
      <c r="J3" s="3099"/>
      <c r="K3" s="3100">
        <f>ROUND(AVERAGEIF(K4:K21,"&lt;&gt;0"),4)</f>
        <v>4.7000000000000002E-3</v>
      </c>
      <c r="L3" s="3101">
        <f>ROUND(AVERAGEIF(L4:L21,"&lt;&gt;0"),4)</f>
        <v>3.0000000000000001E-3</v>
      </c>
      <c r="M3" s="3101">
        <f>ROUND(AVERAGEIF(M4:M21,"&lt;&gt;0"),4)</f>
        <v>4.0000000000000002E-4</v>
      </c>
      <c r="N3" s="3101">
        <f>ROUND(AVERAGEIF(N4:N21,"&lt;&gt;0"),4)</f>
        <v>5.1000000000000004E-3</v>
      </c>
      <c r="O3" s="3101">
        <f>ROUND(AVERAGEIF(O4:O21,"&lt;&gt;0"),4)</f>
        <v>5.4999999999999997E-3</v>
      </c>
      <c r="P3" s="3101">
        <f>M3</f>
        <v>4.0000000000000002E-4</v>
      </c>
      <c r="Q3" s="3099"/>
      <c r="R3" s="3114">
        <f>ROUND(SUMPRODUCT(PRODUCT(1+K4:K21)),4)</f>
        <v>1.0723</v>
      </c>
      <c r="S3" s="3115">
        <f>ROUND(SUMPRODUCT(PRODUCT(1+L4:L21)),4)</f>
        <v>1.0465</v>
      </c>
      <c r="T3" s="3115">
        <f>ROUND(SUMPRODUCT(PRODUCT(1+M4:M21)),4)</f>
        <v>1.0054000000000001</v>
      </c>
      <c r="U3" s="3115">
        <f>ROUND(SUMPRODUCT(PRODUCT(1+N4:N21)),4)</f>
        <v>1.0790999999999999</v>
      </c>
      <c r="V3" s="3115">
        <f>ROUND(SUMPRODUCT(PRODUCT(1+O4:O21)),4)</f>
        <v>1.0857000000000001</v>
      </c>
      <c r="W3" s="3114">
        <f>T3</f>
        <v>1.0054000000000001</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89" t="s">
        <v>3264</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1.0620000000000001</v>
      </c>
      <c r="S5" s="3116">
        <f>ROUND(IF(项目基本情况!$B$8="出让",SUMPRODUCT(PRODUCT(1+L5:$L$21)),SUMPRODUCT(PRODUCT(1+L5:$L$20))),4)</f>
        <v>1.0448</v>
      </c>
      <c r="T5" s="3116">
        <f>ROUND(IF(项目基本情况!$B$8="出让",SUMPRODUCT(PRODUCT(1+M5:$M$21)),SUMPRODUCT(PRODUCT(1+M5:$M$20))),4)</f>
        <v>1.0079</v>
      </c>
      <c r="U5" s="3116">
        <f>ROUND(IF(项目基本情况!$B$8="出让",SUMPRODUCT(PRODUCT(1+N5:$N$21)),SUMPRODUCT(PRODUCT(1+N5:$N$20))),4)</f>
        <v>1.0672999999999999</v>
      </c>
      <c r="V5" s="3116">
        <f>ROUND(IF(项目基本情况!$B$8="出让",SUMPRODUCT(PRODUCT(1+O5:$O$21)),SUMPRODUCT(PRODUCT(1+O5:$O$20))),4)</f>
        <v>1.0818000000000001</v>
      </c>
      <c r="W5" s="3116">
        <f>T5</f>
        <v>1.0079</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3265</v>
      </c>
      <c r="B6" s="3140">
        <v>2024</v>
      </c>
      <c r="C6" s="3141">
        <v>4</v>
      </c>
      <c r="D6" s="3141">
        <v>0</v>
      </c>
      <c r="E6" s="3141">
        <v>0</v>
      </c>
      <c r="F6" s="3141">
        <v>0</v>
      </c>
      <c r="G6" s="3141">
        <v>0</v>
      </c>
      <c r="H6" s="3142">
        <v>0</v>
      </c>
      <c r="I6" s="3143">
        <f t="shared" ref="I6" si="12">F6</f>
        <v>0</v>
      </c>
      <c r="J6" s="3108"/>
      <c r="K6" s="3109">
        <f t="shared" ref="K6" si="13">D6/100</f>
        <v>0</v>
      </c>
      <c r="L6" s="3110">
        <f t="shared" ref="L6" si="14">E6/100</f>
        <v>0</v>
      </c>
      <c r="M6" s="3110">
        <f t="shared" ref="M6" si="15">F6/100</f>
        <v>0</v>
      </c>
      <c r="N6" s="3110">
        <f t="shared" ref="N6" si="16">G6/100</f>
        <v>0</v>
      </c>
      <c r="O6" s="3110">
        <f t="shared" ref="O6" si="17">H6/100</f>
        <v>0</v>
      </c>
      <c r="P6" s="3110">
        <f>M6</f>
        <v>0</v>
      </c>
      <c r="Q6" s="3108"/>
      <c r="R6" s="3108">
        <f>ROUND(IF(项目基本情况!$B$8="出让",SUMPRODUCT(PRODUCT(1+K6:$K$21)),SUMPRODUCT(PRODUCT(1+K6:$K$20))),4)</f>
        <v>1.0620000000000001</v>
      </c>
      <c r="S6" s="3108">
        <f>ROUND(IF(项目基本情况!$B$8="出让",SUMPRODUCT(PRODUCT(1+L6:$L$21)),SUMPRODUCT(PRODUCT(1+L6:$L$20))),4)</f>
        <v>1.0448</v>
      </c>
      <c r="T6" s="3108">
        <f>ROUND(IF(项目基本情况!$B$8="出让",SUMPRODUCT(PRODUCT(1+M6:$M$21)),SUMPRODUCT(PRODUCT(1+M6:$M$20))),4)</f>
        <v>1.0079</v>
      </c>
      <c r="U6" s="3108">
        <f>ROUND(IF(项目基本情况!$B$8="出让",SUMPRODUCT(PRODUCT(1+N6:$N$21)),SUMPRODUCT(PRODUCT(1+N6:$N$20))),4)</f>
        <v>1.0672999999999999</v>
      </c>
      <c r="V6" s="3108">
        <f>ROUND(IF(项目基本情况!$B$8="出让",SUMPRODUCT(PRODUCT(1+O6:$O$21)),SUMPRODUCT(PRODUCT(1+O6:$O$20))),4)</f>
        <v>1.0818000000000001</v>
      </c>
      <c r="W6" s="3108">
        <f>T6</f>
        <v>1.0079</v>
      </c>
      <c r="X6" s="3108"/>
      <c r="Y6" s="3110">
        <f t="shared" ref="Y6" si="18">IF(D6=0,0,ROUND(AVERAGE(D6:D19)/100,4))</f>
        <v>0</v>
      </c>
      <c r="Z6" s="3110">
        <f t="shared" ref="Z6" si="19">IF(E6=0,0,ROUND(AVERAGE(E6:E19)/100,4))</f>
        <v>0</v>
      </c>
      <c r="AA6" s="3110">
        <f t="shared" ref="AA6" si="20">IF(F6=0,0,ROUND(AVERAGE(F6:F19)/100,4))</f>
        <v>0</v>
      </c>
      <c r="AB6" s="3110">
        <f t="shared" ref="AB6" si="21">IF(G6=0,0,ROUND(AVERAGE(G6:G19)/100,4))</f>
        <v>0</v>
      </c>
      <c r="AC6" s="3110">
        <f t="shared" ref="AC6" si="22">IF(H6=0,0,ROUND(AVERAGE(H6:H19)/100,4))</f>
        <v>0</v>
      </c>
      <c r="AD6" s="3110">
        <f t="shared" ref="AD6" si="23">AA6</f>
        <v>0</v>
      </c>
    </row>
    <row r="7" spans="1:30">
      <c r="A7" s="3389" t="s">
        <v>3257</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3266</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3260</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3255</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3254</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3252</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3250</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3248</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3245</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3246</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2782</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2783</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2784</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2785</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2786</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8" t="s">
        <v>3271</v>
      </c>
    </row>
    <row r="24" spans="1:30">
      <c r="I24" s="2749" t="s">
        <v>2797</v>
      </c>
    </row>
    <row r="26" spans="1:30">
      <c r="A26" s="2440"/>
      <c r="B26" s="3091" t="s">
        <v>3270</v>
      </c>
      <c r="C26" s="3092"/>
      <c r="D26" s="3092"/>
      <c r="E26" s="3092"/>
      <c r="F26" s="3092"/>
      <c r="G26" s="3092"/>
      <c r="H26" s="3092"/>
      <c r="I26" s="3092"/>
      <c r="J26" s="3093"/>
      <c r="K26" s="3092" t="s">
        <v>2790</v>
      </c>
      <c r="L26" s="3092"/>
      <c r="M26" s="3092"/>
      <c r="N26" s="3092"/>
      <c r="O26" s="3092"/>
      <c r="P26" s="3092"/>
      <c r="Q26" s="3093"/>
      <c r="R26" s="3720" t="s">
        <v>2805</v>
      </c>
      <c r="S26" s="3721"/>
      <c r="T26" s="3721"/>
      <c r="U26" s="3721"/>
      <c r="V26" s="3721"/>
      <c r="W26" s="3721"/>
      <c r="X26" s="3093"/>
      <c r="Y26" s="3720" t="s">
        <v>1925</v>
      </c>
      <c r="Z26" s="3721"/>
      <c r="AA26" s="3721"/>
      <c r="AB26" s="3721"/>
      <c r="AC26" s="3721"/>
      <c r="AD26" s="3721"/>
    </row>
    <row r="27" spans="1:30" ht="14.25" thickBot="1">
      <c r="A27" s="3086"/>
      <c r="B27" s="3094"/>
      <c r="C27" s="3095"/>
      <c r="D27" s="2424" t="s">
        <v>2792</v>
      </c>
      <c r="E27" s="2425" t="s">
        <v>2793</v>
      </c>
      <c r="F27" s="2425" t="s">
        <v>2794</v>
      </c>
      <c r="G27" s="2425" t="s">
        <v>1469</v>
      </c>
      <c r="H27" s="2425"/>
      <c r="I27" s="2425" t="s">
        <v>2738</v>
      </c>
      <c r="J27" s="3096"/>
      <c r="K27" s="2424" t="s">
        <v>2792</v>
      </c>
      <c r="L27" s="2425" t="s">
        <v>2793</v>
      </c>
      <c r="M27" s="2425" t="s">
        <v>2794</v>
      </c>
      <c r="N27" s="2425" t="s">
        <v>2795</v>
      </c>
      <c r="O27" s="2425"/>
      <c r="P27" s="2425" t="s">
        <v>2738</v>
      </c>
      <c r="Q27" s="3096"/>
      <c r="R27" s="2424" t="s">
        <v>2806</v>
      </c>
      <c r="S27" s="2425" t="s">
        <v>2807</v>
      </c>
      <c r="T27" s="2425" t="s">
        <v>2794</v>
      </c>
      <c r="U27" s="2425" t="s">
        <v>1469</v>
      </c>
      <c r="V27" s="2425"/>
      <c r="W27" s="2425" t="s">
        <v>2808</v>
      </c>
      <c r="X27" s="3096"/>
      <c r="Y27" s="2424" t="s">
        <v>2791</v>
      </c>
      <c r="Z27" s="2425" t="s">
        <v>2793</v>
      </c>
      <c r="AA27" s="2425" t="s">
        <v>2794</v>
      </c>
      <c r="AB27" s="2425" t="s">
        <v>1469</v>
      </c>
      <c r="AC27" s="2425"/>
      <c r="AD27" s="2425" t="s">
        <v>2811</v>
      </c>
    </row>
    <row r="28" spans="1:30">
      <c r="A28" s="3087" t="s">
        <v>2787</v>
      </c>
      <c r="B28" s="3097"/>
      <c r="C28" s="3098"/>
      <c r="D28" s="3098"/>
      <c r="E28" s="3098">
        <f>ROUND(AVERAGEIF(E29:E46,"&lt;&gt;0"),2)</f>
        <v>0.26</v>
      </c>
      <c r="F28" s="3098">
        <f>ROUND(AVERAGEIF(F29:F46,"&lt;&gt;0"),2)</f>
        <v>0.19</v>
      </c>
      <c r="G28" s="3098">
        <f>ROUND(AVERAGEIF(G29:G46,"&lt;&gt;0"),2)</f>
        <v>0.38</v>
      </c>
      <c r="H28" s="3098"/>
      <c r="I28" s="3098">
        <f>F28</f>
        <v>0.19</v>
      </c>
      <c r="J28" s="3099"/>
      <c r="K28" s="3100"/>
      <c r="L28" s="3101">
        <f>ROUND(AVERAGEIF(L29:L46,"&lt;&gt;0"),4)</f>
        <v>2.5999999999999999E-3</v>
      </c>
      <c r="M28" s="3101">
        <f>ROUND(AVERAGEIF(M29:M46,"&lt;&gt;0"),4)</f>
        <v>1.9E-3</v>
      </c>
      <c r="N28" s="3101">
        <f>ROUND(AVERAGEIF(N29:N46,"&lt;&gt;0"),4)</f>
        <v>3.8E-3</v>
      </c>
      <c r="O28" s="3101"/>
      <c r="P28" s="3101">
        <f>M28</f>
        <v>1.9E-3</v>
      </c>
      <c r="Q28" s="3099"/>
      <c r="R28" s="3114"/>
      <c r="S28" s="3115">
        <f>ROUND(SUMPRODUCT(PRODUCT(1+L29:L46)),4)</f>
        <v>1.04</v>
      </c>
      <c r="T28" s="3115">
        <f>ROUND(SUMPRODUCT(PRODUCT(1+M29:M46)),4)</f>
        <v>1.0293000000000001</v>
      </c>
      <c r="U28" s="3115">
        <f>ROUND(SUMPRODUCT(PRODUCT(1+N29:N46)),4)</f>
        <v>1.0583</v>
      </c>
      <c r="V28" s="3115"/>
      <c r="W28" s="3114">
        <f>T28</f>
        <v>1.0293000000000001</v>
      </c>
      <c r="X28" s="3099"/>
      <c r="Y28" s="3121"/>
      <c r="Z28" s="3122">
        <f>ROUND(AVERAGEIF(Z29:Z46,"&lt;&gt;0"),4)</f>
        <v>4.1000000000000003E-3</v>
      </c>
      <c r="AA28" s="3123">
        <f>ROUND(AVERAGEIF(AA29:AA46,"&lt;&gt;0"),4)</f>
        <v>3.2000000000000002E-3</v>
      </c>
      <c r="AB28" s="3121">
        <f>ROUND(AVERAGEIF(AB29:AB46,"&lt;&gt;0"),4)</f>
        <v>7.6E-3</v>
      </c>
      <c r="AC28" s="3124"/>
      <c r="AD28" s="3121">
        <f>AA28</f>
        <v>3.2000000000000002E-3</v>
      </c>
    </row>
    <row r="29" spans="1:30">
      <c r="A29" s="2440"/>
      <c r="B29" s="3102"/>
      <c r="C29" s="2440"/>
      <c r="D29" s="2440"/>
      <c r="E29" s="2440"/>
      <c r="F29" s="2440"/>
      <c r="G29" s="2440"/>
      <c r="H29" s="2440"/>
      <c r="I29" s="2440"/>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89" t="s">
        <v>3264</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1.0364</v>
      </c>
      <c r="T30" s="3116">
        <f>ROUND(IF(项目基本情况!$B$8="出让",SUMPRODUCT(PRODUCT(1+M30:M$46)),SUMPRODUCT(PRODUCT(1+M30:M$45))),4)</f>
        <v>1.0244</v>
      </c>
      <c r="U30" s="3116">
        <f>ROUND(IF(项目基本情况!$B$8="出让",SUMPRODUCT(PRODUCT(1+N30:N$46)),SUMPRODUCT(PRODUCT(1+N30:N$45))),4)</f>
        <v>1.048</v>
      </c>
      <c r="V30" s="3116"/>
      <c r="W30" s="3116">
        <f>T30</f>
        <v>1.0244</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3267</v>
      </c>
      <c r="B31" s="3140">
        <v>2024</v>
      </c>
      <c r="C31" s="3141">
        <v>4</v>
      </c>
      <c r="D31" s="3141"/>
      <c r="E31" s="3141">
        <v>0</v>
      </c>
      <c r="F31" s="3141">
        <v>0</v>
      </c>
      <c r="G31" s="3141">
        <v>0</v>
      </c>
      <c r="H31" s="3142"/>
      <c r="I31" s="3143">
        <f t="shared" ref="I31" si="76">F31</f>
        <v>0</v>
      </c>
      <c r="J31" s="3108"/>
      <c r="K31" s="3109"/>
      <c r="L31" s="3110">
        <f t="shared" ref="L31" si="77">E31/100</f>
        <v>0</v>
      </c>
      <c r="M31" s="3110">
        <f t="shared" ref="M31" si="78">F31/100</f>
        <v>0</v>
      </c>
      <c r="N31" s="3110">
        <f t="shared" ref="N31" si="79">G31/100</f>
        <v>0</v>
      </c>
      <c r="O31" s="3110"/>
      <c r="P31" s="3110">
        <f>M31</f>
        <v>0</v>
      </c>
      <c r="Q31" s="3108"/>
      <c r="R31" s="3108"/>
      <c r="S31" s="3108">
        <f>ROUND(IF(项目基本情况!$B$8="出让",SUMPRODUCT(PRODUCT(1+L31:L$46)),SUMPRODUCT(PRODUCT(1+L31:L$45))),4)</f>
        <v>1.0364</v>
      </c>
      <c r="T31" s="3108">
        <f>ROUND(IF(项目基本情况!$B$8="出让",SUMPRODUCT(PRODUCT(1+M31:M$46)),SUMPRODUCT(PRODUCT(1+M31:M$45))),4)</f>
        <v>1.0244</v>
      </c>
      <c r="U31" s="3108">
        <f>ROUND(IF(项目基本情况!$B$8="出让",SUMPRODUCT(PRODUCT(1+N31:N$46)),SUMPRODUCT(PRODUCT(1+N31:N$45))),4)</f>
        <v>1.048</v>
      </c>
      <c r="V31" s="3108"/>
      <c r="W31" s="3108">
        <f>T31</f>
        <v>1.0244</v>
      </c>
      <c r="X31" s="3108"/>
      <c r="Y31" s="3110"/>
      <c r="Z31" s="3128">
        <f t="shared" ref="Z31" si="80">IF(E31=0,0,ROUND(AVERAGE(E31:E44)/100,4))</f>
        <v>0</v>
      </c>
      <c r="AA31" s="3129">
        <f t="shared" ref="AA31" si="81">IF(F31=0,0,ROUND(AVERAGE(F31:F44)/100,4))</f>
        <v>0</v>
      </c>
      <c r="AB31" s="3110">
        <f t="shared" ref="AB31" si="82">IF(G31=0,0,ROUND(AVERAGE(G31:G44)/100,4))</f>
        <v>0</v>
      </c>
      <c r="AC31" s="3130"/>
      <c r="AD31" s="3110">
        <f>IF(I31=0,0,ROUND(AVERAGE(I31:I44)/100,4))</f>
        <v>0</v>
      </c>
    </row>
    <row r="32" spans="1:30">
      <c r="A32" s="3389" t="s">
        <v>3258</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3268</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3261</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3256</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3254</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3253</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3251</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3249</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3247</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3246</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2782</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2783</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2784</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2788</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2789</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8" t="s">
        <v>3272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2211</v>
      </c>
      <c r="B1" s="2747"/>
      <c r="C1" s="2747"/>
      <c r="D1" s="2747"/>
      <c r="E1" s="2747"/>
      <c r="F1" s="2747"/>
      <c r="G1" s="2748"/>
      <c r="H1" s="2748"/>
      <c r="I1" s="2748"/>
      <c r="J1" s="2748"/>
      <c r="K1" s="2748"/>
      <c r="L1" s="2748"/>
      <c r="M1" s="2748"/>
      <c r="N1" s="2748"/>
    </row>
    <row r="2" spans="1:14" ht="14.25">
      <c r="A2" s="2753" t="s">
        <v>2206</v>
      </c>
      <c r="B2" s="2758">
        <f ca="1">SUMIF(B7:B14,"&lt;&gt;#ref!",B7:B14)</f>
        <v>0</v>
      </c>
      <c r="C2" s="2753" t="s">
        <v>2207</v>
      </c>
      <c r="D2" s="2750"/>
      <c r="E2" s="2750"/>
      <c r="F2" s="2750"/>
      <c r="G2" s="2748"/>
      <c r="H2" s="2748"/>
      <c r="I2" s="2748"/>
      <c r="J2" s="2748"/>
      <c r="K2" s="2748"/>
      <c r="L2" s="2748"/>
      <c r="M2" s="2748"/>
      <c r="N2" s="2748"/>
    </row>
    <row r="3" spans="1:14" ht="14.25">
      <c r="A3" s="2753" t="s">
        <v>2235</v>
      </c>
      <c r="B3" s="2758" t="e">
        <f ca="1">ROUND(B2*10000/E3,0)</f>
        <v>#DIV/0!</v>
      </c>
      <c r="C3" s="2753" t="s">
        <v>1596</v>
      </c>
      <c r="D3" s="2753" t="s">
        <v>2208</v>
      </c>
      <c r="E3" s="2751">
        <f ca="1">SUMIF(E7:E14,"&lt;&gt;#ref!",E7:E14)</f>
        <v>0</v>
      </c>
      <c r="F3" s="2750"/>
      <c r="G3" s="2748"/>
      <c r="H3" s="2748"/>
      <c r="I3" s="2748"/>
      <c r="J3" s="2748"/>
      <c r="K3" s="2748"/>
      <c r="L3" s="2748"/>
      <c r="M3" s="2748"/>
      <c r="N3" s="2748"/>
    </row>
    <row r="4" spans="1:14" ht="14.25">
      <c r="A4" s="2753" t="s">
        <v>2214</v>
      </c>
      <c r="B4" s="2758" t="e">
        <f ca="1">ROUND(B2*10000/E4,0)</f>
        <v>#DIV/0!</v>
      </c>
      <c r="C4" s="2753" t="s">
        <v>1596</v>
      </c>
      <c r="D4" s="2753" t="s">
        <v>2215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2212</v>
      </c>
      <c r="B6" s="2753" t="s">
        <v>2209</v>
      </c>
      <c r="C6" s="2355"/>
      <c r="D6" s="2750"/>
      <c r="E6" s="2753" t="s">
        <v>2210</v>
      </c>
      <c r="F6" s="2753" t="s">
        <v>2213</v>
      </c>
      <c r="G6" s="2748"/>
      <c r="H6" s="2748"/>
      <c r="I6" s="2748"/>
      <c r="J6" s="2748"/>
      <c r="K6" s="2748"/>
      <c r="L6" s="2748"/>
      <c r="M6" s="2748"/>
      <c r="N6" s="2748"/>
    </row>
    <row r="7" spans="1:14" ht="14.25">
      <c r="A7" s="2756"/>
      <c r="B7" s="2758" t="e">
        <f ca="1">SUMIF(INDIRECT("'"&amp;A7&amp;"'"&amp;"!A:A"),"总价",INDIRECT("'"&amp;A7&amp;"'"&amp;"!B:B"))</f>
        <v>#REF!</v>
      </c>
      <c r="C7" s="2753" t="s">
        <v>2207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92D050"/>
    <pageSetUpPr fitToPage="1"/>
  </sheetPr>
  <dimension ref="A1:Y94"/>
  <sheetViews>
    <sheetView view="pageBreakPreview" zoomScale="70" zoomScaleNormal="60" zoomScaleSheetLayoutView="70" workbookViewId="0">
      <selection activeCell="R44" sqref="R44"/>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723" t="s">
        <v>1807</v>
      </c>
      <c r="C8" s="1516">
        <f ca="1">ROUND(F8*F10*F9*(1-F11)/10000,0)</f>
        <v>0</v>
      </c>
      <c r="D8" s="317" t="s">
        <v>1817</v>
      </c>
      <c r="E8" s="57" t="s">
        <v>585</v>
      </c>
      <c r="F8" s="720">
        <f ca="1">INDIRECT("'数据-取费表'!u"&amp;$G$1)</f>
        <v>0</v>
      </c>
      <c r="G8" s="1144"/>
      <c r="H8" s="2009" t="s">
        <v>1353</v>
      </c>
      <c r="I8" s="3723" t="s">
        <v>1807</v>
      </c>
      <c r="J8" s="718">
        <f ca="1">ROUND(M8*M10*M9*(1-M11)/10000,0)</f>
        <v>0</v>
      </c>
      <c r="K8" s="315" t="s">
        <v>1817</v>
      </c>
      <c r="L8" s="719" t="s">
        <v>1267</v>
      </c>
      <c r="M8" s="720">
        <f ca="1">INDIRECT("'数据-取费表'!z"&amp;$G$1)</f>
        <v>0</v>
      </c>
    </row>
    <row r="9" spans="1:25" ht="18" customHeight="1">
      <c r="A9" s="2005"/>
      <c r="B9" s="3724"/>
      <c r="C9" s="1517"/>
      <c r="D9" s="330"/>
      <c r="E9" s="57" t="s">
        <v>586</v>
      </c>
      <c r="F9" s="720">
        <f ca="1">IF(INDIRECT("'数据-取费表'!ah"&amp;$G$1)="",INDIRECT("'数据-取费表'!k"&amp;$G$1),INDIRECT("'数据-取费表'!ah"&amp;$G$1))</f>
        <v>0</v>
      </c>
      <c r="G9" s="1144"/>
      <c r="H9" s="1994"/>
      <c r="I9" s="3724"/>
      <c r="J9" s="723"/>
      <c r="K9" s="724"/>
      <c r="L9" s="719" t="s">
        <v>1268</v>
      </c>
      <c r="M9" s="720">
        <f ca="1">F9</f>
        <v>0</v>
      </c>
    </row>
    <row r="10" spans="1:25" ht="18" customHeight="1">
      <c r="A10" s="1998"/>
      <c r="B10" s="3725"/>
      <c r="C10" s="1517"/>
      <c r="D10" s="330"/>
      <c r="E10" s="57" t="s">
        <v>587</v>
      </c>
      <c r="F10" s="720">
        <f ca="1">INDIRECT("'数据-取费表'!ai"&amp;$G$1)</f>
        <v>0</v>
      </c>
      <c r="G10" s="1144"/>
      <c r="H10" s="1994"/>
      <c r="I10" s="3725"/>
      <c r="J10" s="723"/>
      <c r="K10" s="724"/>
      <c r="L10" s="719" t="s">
        <v>1269</v>
      </c>
      <c r="M10" s="720">
        <f ca="1">INDIRECT("'数据-取费表'!ai"&amp;$G$1)</f>
        <v>0</v>
      </c>
    </row>
    <row r="11" spans="1:25" ht="18" customHeight="1">
      <c r="A11" s="721"/>
      <c r="B11" s="3726"/>
      <c r="C11" s="1517"/>
      <c r="D11" s="330"/>
      <c r="E11" s="57" t="s">
        <v>588</v>
      </c>
      <c r="F11" s="729">
        <f ca="1">INDIRECT("'数据-取费表'!w"&amp;$G$1)</f>
        <v>0</v>
      </c>
      <c r="G11" s="1144"/>
      <c r="H11" s="2010"/>
      <c r="I11" s="3725"/>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4"/>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0.04</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5" t="s">
        <v>605</v>
      </c>
      <c r="L19" s="906"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1.4999999999999999E-2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3244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1.1999999999999999E-3</v>
      </c>
      <c r="D26" s="2044" t="str">
        <f>IF(F25&lt;=1,"销售费用×利率×(建设周期÷2)","销售费用×((1+利率)^(建设周期÷2)-1)")</f>
        <v>销售费用×((1+利率)^(建设周期÷2)-1)</v>
      </c>
      <c r="E26" s="719" t="s">
        <v>629</v>
      </c>
      <c r="F26" s="753">
        <f ca="1">'数据-取费表'!B40</f>
        <v>4.7500000000000001E-2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f ca="1">IF(项目基本情况!B11="企业","——",IF(M48="住宅",IF(F8*F9*F10/12/(1+'数据-取费表'!F30)&gt;100000,4%,2.5%),IF(F8*F9*F10/12/(1+'数据-取费表'!F30)&gt;100000,12%,7%)))</f>
        <v>7.0000000000000007E-2</v>
      </c>
      <c r="G33" s="1668"/>
      <c r="H33" s="2759" t="s">
        <v>2281</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22"/>
      <c r="J36" s="1690"/>
      <c r="K36" s="1691"/>
      <c r="L36" s="1690"/>
      <c r="M36" s="1690"/>
    </row>
    <row r="37" spans="1:18" ht="18" customHeight="1">
      <c r="A37" s="749"/>
      <c r="B37" s="728"/>
      <c r="C37" s="65"/>
      <c r="D37" s="750"/>
      <c r="E37" s="719" t="s">
        <v>621</v>
      </c>
      <c r="F37" s="720">
        <f ca="1">INDIRECT("'数据-取费表'!r"&amp;$G$1)</f>
        <v>0</v>
      </c>
      <c r="G37" s="1668"/>
      <c r="H37" s="1677"/>
      <c r="I37" s="3722"/>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2222</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2225</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-2</v>
      </c>
      <c r="K54" s="3727"/>
      <c r="L54" s="3728"/>
      <c r="O54" s="1960" t="s">
        <v>1742</v>
      </c>
      <c r="P54" s="1958" t="s">
        <v>1743</v>
      </c>
      <c r="Q54" s="1959">
        <f ca="1">J54</f>
        <v>-2</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400-000000000000}">
      <formula1>项目类型</formula1>
    </dataValidation>
    <dataValidation type="list" allowBlank="1" showInputMessage="1" showErrorMessage="1" sqref="D35" xr:uid="{00000000-0002-0000-2400-000001000000}">
      <formula1>"按租金收入计税,按房产原值计税,按票据"</formula1>
    </dataValidation>
    <dataValidation type="list" allowBlank="1" showInputMessage="1" showErrorMessage="1" sqref="K21" xr:uid="{00000000-0002-0000-2400-000002000000}">
      <formula1>"按租金收入计税,按房产原值计税"</formula1>
    </dataValidation>
    <dataValidation type="list" allowBlank="1" showInputMessage="1" showErrorMessage="1" sqref="F12 M12" xr:uid="{00000000-0002-0000-2400-000003000000}">
      <formula1>"押一,押二,押三,自定义"</formula1>
    </dataValidation>
    <dataValidation type="list" allowBlank="1" showInputMessage="1" showErrorMessage="1" sqref="J57" xr:uid="{00000000-0002-0000-2400-000004000000}">
      <formula1>估价范围判定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pageSetUpPr fitToPage="1"/>
  </sheetPr>
  <dimension ref="A1:AG76"/>
  <sheetViews>
    <sheetView view="pageBreakPreview" zoomScale="60" zoomScaleNormal="60" workbookViewId="0">
      <selection activeCell="R18" sqref="R18"/>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46.8</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5"/>
      <c r="D2" s="2764"/>
      <c r="E2" s="2766"/>
      <c r="F2" s="2766"/>
      <c r="G2" s="2761"/>
      <c r="H2" s="1670"/>
      <c r="I2" s="1670"/>
      <c r="J2" s="1670"/>
      <c r="K2" s="1671"/>
      <c r="L2" s="1670"/>
      <c r="M2" s="1670"/>
    </row>
    <row r="3" spans="1:33" ht="18" customHeight="1" thickBot="1">
      <c r="A3" s="767" t="s">
        <v>1256</v>
      </c>
      <c r="B3" s="768">
        <f ca="1">IF(ISERROR(B2*10000/F43),0,ROUND(B2*10000/F43,0))</f>
        <v>0</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723" t="s">
        <v>1807</v>
      </c>
      <c r="C6" s="718">
        <f ca="1">ROUND(F6*F8*F7*(1-F9)/10000,0)</f>
        <v>0</v>
      </c>
      <c r="D6" s="2002" t="s">
        <v>1806</v>
      </c>
      <c r="E6" s="719" t="s">
        <v>1267</v>
      </c>
      <c r="F6" s="720">
        <f ca="1">INDIRECT("'数据-取费表'!u"&amp;$G$1)</f>
        <v>0</v>
      </c>
      <c r="G6" s="1668"/>
      <c r="H6" s="2009" t="s">
        <v>1812</v>
      </c>
      <c r="I6" s="3723" t="s">
        <v>1807</v>
      </c>
      <c r="J6" s="718">
        <f ca="1">ROUND(M6*M8*M7*(1-M9)/10000,0)</f>
        <v>0</v>
      </c>
      <c r="K6" s="315" t="s">
        <v>1266</v>
      </c>
      <c r="L6" s="719" t="s">
        <v>1267</v>
      </c>
      <c r="M6" s="720">
        <f ca="1">INDIRECT("'数据-取费表'!z"&amp;$G$1)</f>
        <v>0</v>
      </c>
    </row>
    <row r="7" spans="1:33" ht="18" customHeight="1">
      <c r="A7" s="2005"/>
      <c r="B7" s="3724"/>
      <c r="C7" s="723"/>
      <c r="D7" s="724"/>
      <c r="E7" s="719" t="s">
        <v>1268</v>
      </c>
      <c r="F7" s="720">
        <f ca="1">IF(INDIRECT("'数据-取费表'!ah"&amp;$G$1)="",INDIRECT("'数据-取费表'!k"&amp;$G$1),INDIRECT("'数据-取费表'!ah"&amp;$G$1))</f>
        <v>941.58999999999992</v>
      </c>
      <c r="G7" s="1668"/>
      <c r="H7" s="1994"/>
      <c r="I7" s="3724"/>
      <c r="J7" s="723"/>
      <c r="K7" s="724"/>
      <c r="L7" s="719" t="s">
        <v>1268</v>
      </c>
      <c r="M7" s="720">
        <f ca="1">F7</f>
        <v>941.58999999999992</v>
      </c>
    </row>
    <row r="8" spans="1:33" ht="18" customHeight="1">
      <c r="A8" s="1998"/>
      <c r="B8" s="3725"/>
      <c r="C8" s="723"/>
      <c r="D8" s="724"/>
      <c r="E8" s="719" t="s">
        <v>1269</v>
      </c>
      <c r="F8" s="720">
        <f ca="1">INDIRECT("'数据-取费表'!ai"&amp;$G$1)</f>
        <v>0</v>
      </c>
      <c r="G8" s="1668"/>
      <c r="H8" s="1994"/>
      <c r="I8" s="3725"/>
      <c r="J8" s="723"/>
      <c r="K8" s="724"/>
      <c r="L8" s="719" t="s">
        <v>1269</v>
      </c>
      <c r="M8" s="720">
        <f ca="1">INDIRECT("'数据-取费表'!ai"&amp;$G$1)</f>
        <v>0</v>
      </c>
    </row>
    <row r="9" spans="1:33" ht="18" customHeight="1">
      <c r="A9" s="721"/>
      <c r="B9" s="3726"/>
      <c r="C9" s="723"/>
      <c r="D9" s="724"/>
      <c r="E9" s="719" t="s">
        <v>1270</v>
      </c>
      <c r="F9" s="729">
        <f ca="1">INDIRECT("'数据-取费表'!w"&amp;$G$1)</f>
        <v>0</v>
      </c>
      <c r="G9" s="1668"/>
      <c r="H9" s="2010"/>
      <c r="I9" s="3725"/>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2232</v>
      </c>
      <c r="E10" s="2003" t="s">
        <v>1808</v>
      </c>
      <c r="F10" s="2076"/>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518</v>
      </c>
      <c r="D14" s="905" t="s">
        <v>1274</v>
      </c>
      <c r="E14" s="904"/>
      <c r="F14" s="740"/>
      <c r="G14" s="1668"/>
      <c r="H14" s="1369" t="s">
        <v>1359</v>
      </c>
      <c r="I14" s="1825" t="s">
        <v>2103</v>
      </c>
      <c r="J14" s="49">
        <f ca="1">C29</f>
        <v>809</v>
      </c>
      <c r="K14" s="22"/>
      <c r="L14" s="736"/>
      <c r="M14" s="737"/>
    </row>
    <row r="15" spans="1:33" s="1676" customFormat="1" ht="18" customHeight="1" thickBot="1">
      <c r="A15" s="1368" t="s">
        <v>1410</v>
      </c>
      <c r="B15" s="719" t="s">
        <v>595</v>
      </c>
      <c r="C15" s="49">
        <f ca="1">ROUND(C14*F15,0)</f>
        <v>21</v>
      </c>
      <c r="D15" s="741" t="s">
        <v>1275</v>
      </c>
      <c r="E15" s="741" t="s">
        <v>1276</v>
      </c>
      <c r="F15" s="742">
        <f>'数据-取费表'!B33</f>
        <v>0.04</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16</v>
      </c>
      <c r="D16" s="719" t="s">
        <v>1275</v>
      </c>
      <c r="E16" s="719" t="s">
        <v>1276</v>
      </c>
      <c r="F16" s="744">
        <f ca="1">IF(INDIRECT("'数据-取费表'!c"&amp;$G$1)="住宅",'数据-取费表'!B34,0)</f>
        <v>0.03</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19</v>
      </c>
      <c r="D17" s="719" t="s">
        <v>1280</v>
      </c>
      <c r="E17" s="719" t="s">
        <v>1281</v>
      </c>
      <c r="F17" s="52">
        <f>'数据-取费表'!B35</f>
        <v>200</v>
      </c>
      <c r="G17" s="2762"/>
      <c r="H17" s="1369" t="s">
        <v>1359</v>
      </c>
      <c r="I17" s="719" t="s">
        <v>604</v>
      </c>
      <c r="J17" s="2555">
        <f ca="1">ROUND(IF(AND(项目基本情况!B11="自然人",项目基本情况!B10="北京市"),J6*M17/(1+'数据-取费表'!C42),J18+J19+J20),2)</f>
        <v>0</v>
      </c>
      <c r="K17" s="905" t="s">
        <v>1282</v>
      </c>
      <c r="L17" s="906"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8</v>
      </c>
      <c r="D18" s="719" t="s">
        <v>1275</v>
      </c>
      <c r="E18" s="719" t="s">
        <v>1276</v>
      </c>
      <c r="F18" s="744">
        <f>'数据-取费表'!B36</f>
        <v>1.4999999999999999E-2</v>
      </c>
      <c r="G18" s="2762"/>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582</v>
      </c>
      <c r="D19" s="241" t="s">
        <v>1286</v>
      </c>
      <c r="E19" s="914"/>
      <c r="F19" s="52"/>
      <c r="G19" s="1668"/>
      <c r="H19" s="1368" t="s">
        <v>1410</v>
      </c>
      <c r="I19" s="719" t="s">
        <v>1287</v>
      </c>
      <c r="J19" s="49">
        <f ca="1">IF(K19="按租金收入计税",ROUND(J6*M19/(1+'数据-取费表'!C42),1),ROUND(C29*F33*0.7,2))</f>
        <v>0</v>
      </c>
      <c r="K19" s="745" t="s">
        <v>3244</v>
      </c>
      <c r="L19" s="719" t="s">
        <v>1276</v>
      </c>
      <c r="M19" s="744">
        <f>IF(K19="按租金收入计税",'数据-取费表'!B51,'数据-取费表'!B50)</f>
        <v>0.12</v>
      </c>
    </row>
    <row r="20" spans="1:33" s="1676" customFormat="1" ht="18" customHeight="1">
      <c r="A20" s="1369" t="s">
        <v>1414</v>
      </c>
      <c r="B20" s="719" t="s">
        <v>613</v>
      </c>
      <c r="C20" s="49">
        <f ca="1">ROUND(C19*F20,0)</f>
        <v>12</v>
      </c>
      <c r="D20" s="746" t="s">
        <v>1288</v>
      </c>
      <c r="E20" s="719" t="s">
        <v>1276</v>
      </c>
      <c r="F20" s="744">
        <f>'数据-取费表'!B37</f>
        <v>0.02</v>
      </c>
      <c r="G20" s="2762"/>
      <c r="H20" s="1371" t="s">
        <v>1405</v>
      </c>
      <c r="I20" s="315" t="s">
        <v>1289</v>
      </c>
      <c r="J20" s="50">
        <f ca="1">ROUND(M20*M21/10000,2)</f>
        <v>0.1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2"/>
      <c r="H21" s="2011"/>
      <c r="I21" s="728"/>
      <c r="J21" s="65"/>
      <c r="K21" s="750"/>
      <c r="L21" s="719" t="s">
        <v>1295</v>
      </c>
      <c r="M21" s="720">
        <f ca="1">INDIRECT("'数据-取费表'!r"&amp;$G$1)</f>
        <v>659.99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28</v>
      </c>
      <c r="D23" s="2044" t="str">
        <f>IF(F23&lt;=1,"(建造成本+管理费用)×利率×(建设周期÷2)","(建造成本+管理费用)×((1+利率)^(建设周期÷2)-1)")</f>
        <v>(建造成本+管理费用)×((1+利率)^(建设周期÷2)-1)</v>
      </c>
      <c r="E23" s="719" t="s">
        <v>1299</v>
      </c>
      <c r="F23" s="587">
        <f>'数据-取费表'!B20</f>
        <v>2</v>
      </c>
      <c r="G23" s="2762"/>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1.1999999999999999E-3</v>
      </c>
      <c r="D24" s="2044" t="str">
        <f>IF(F23&lt;=1,"销售费用×利率×(建设周期÷2)","销售费用×((1+利率)^(建设周期÷2)-1)")</f>
        <v>销售费用×((1+利率)^(建设周期÷2)-1)</v>
      </c>
      <c r="E24" s="719" t="s">
        <v>1302</v>
      </c>
      <c r="F24" s="753">
        <f ca="1">'数据-取费表'!B40</f>
        <v>4.7500000000000001E-2</v>
      </c>
      <c r="G24" s="2762"/>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0</v>
      </c>
      <c r="K25" s="2024" t="s">
        <v>1306</v>
      </c>
      <c r="L25" s="2025"/>
      <c r="M25" s="2026"/>
    </row>
    <row r="26" spans="1:33" ht="18" customHeight="1">
      <c r="A26" s="1368" t="s">
        <v>1360</v>
      </c>
      <c r="B26" s="719" t="s">
        <v>1785</v>
      </c>
      <c r="C26" s="49">
        <f ca="1">ROUND((C19+C20)*F26,0)</f>
        <v>119</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0.04</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809</v>
      </c>
      <c r="D29" s="2021"/>
      <c r="E29" s="2022"/>
      <c r="F29" s="2023"/>
      <c r="G29" s="2762"/>
      <c r="H29" s="757" t="s">
        <v>1316</v>
      </c>
      <c r="I29" s="758" t="s">
        <v>1317</v>
      </c>
      <c r="J29" s="759">
        <f ca="1">ROUND(J26/(1+F40)^F41,0)</f>
        <v>0</v>
      </c>
      <c r="K29" s="760" t="s">
        <v>1318</v>
      </c>
      <c r="L29" s="761"/>
      <c r="M29" s="762">
        <f ca="1">INDIRECT("'数据-取费表'!k"&amp;$G$1)</f>
        <v>941.58999999999992</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0</v>
      </c>
      <c r="D31" s="905" t="s">
        <v>1321</v>
      </c>
      <c r="E31" s="906" t="s">
        <v>1322</v>
      </c>
      <c r="F31" s="2554">
        <f ca="1">IF(项目基本情况!B11="企业","——",IF(M47="住宅",IF(F6*F7*F8/12/(1+'数据-取费表'!F30)&gt;100000,4%,2.5%),IF(F6*F7*F8/12/(1+'数据-取费表'!F30)&gt;100000,12%,7%)))</f>
        <v>2.5000000000000001E-2</v>
      </c>
      <c r="G31" s="1668"/>
      <c r="H31" s="2759" t="s">
        <v>2282</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659.99</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7.4999999999999997E-2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0.04</v>
      </c>
      <c r="G40" s="1668"/>
      <c r="H40" s="1668"/>
      <c r="I40" s="771" t="s">
        <v>1348</v>
      </c>
      <c r="J40" s="779" t="e">
        <f ca="1">1-J39</f>
        <v>#DIV/0!</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941.58999999999992</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0</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1">
        <v>1</v>
      </c>
      <c r="B47" s="3382" t="s">
        <v>583</v>
      </c>
      <c r="C47" s="3383">
        <f ca="1">C48+C52+C54</f>
        <v>0</v>
      </c>
      <c r="D47" s="3384"/>
      <c r="E47" s="3384"/>
      <c r="F47" s="3385"/>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46.8</v>
      </c>
      <c r="M48" s="2764"/>
      <c r="O48" s="1957" t="s">
        <v>1733</v>
      </c>
      <c r="P48" s="1958" t="s">
        <v>1759</v>
      </c>
      <c r="Q48" s="1959">
        <f ca="1">C40+J29</f>
        <v>0</v>
      </c>
      <c r="R48" s="1958" t="s">
        <v>1734</v>
      </c>
    </row>
    <row r="49" spans="1:18" s="1672" customFormat="1" ht="18" customHeight="1" thickBot="1">
      <c r="A49" s="721"/>
      <c r="B49" s="722"/>
      <c r="C49" s="723"/>
      <c r="D49" s="724"/>
      <c r="E49" s="719" t="s">
        <v>1268</v>
      </c>
      <c r="F49" s="720">
        <f ca="1">F7</f>
        <v>941.58999999999992</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4"/>
      <c r="O50" s="1960" t="s">
        <v>1737</v>
      </c>
      <c r="P50" s="1958" t="s">
        <v>1761</v>
      </c>
      <c r="Q50" s="1959">
        <f ca="1">C29</f>
        <v>809</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1"/>
      <c r="B53" s="2000" t="s">
        <v>1856</v>
      </c>
      <c r="C53" s="2004"/>
      <c r="D53" s="2006"/>
      <c r="E53" s="2003"/>
      <c r="F53" s="735"/>
      <c r="I53" s="2370" t="s">
        <v>2236</v>
      </c>
      <c r="J53" s="2416">
        <f ca="1">IF(M47="住宅",IF(D1="——",MAX(J51,L48),MAX(J51,L48-'数据-取费表'!B20)),IF(D1="——",MIN(J51,L48),MIN(J51,L48-'数据-取费表'!B20)))</f>
        <v>46.8</v>
      </c>
      <c r="K53" s="3729" t="s">
        <v>2226</v>
      </c>
      <c r="L53" s="3730"/>
      <c r="M53" s="2764"/>
      <c r="O53" s="1960" t="s">
        <v>1742</v>
      </c>
      <c r="P53" s="1958" t="s">
        <v>1743</v>
      </c>
      <c r="Q53" s="1959">
        <f ca="1">J53</f>
        <v>46.8</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4"/>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809</v>
      </c>
      <c r="D56" s="906"/>
      <c r="E56" s="719"/>
      <c r="F56" s="744"/>
      <c r="I56" s="2382" t="s">
        <v>1711</v>
      </c>
      <c r="J56" s="2392"/>
      <c r="K56" s="2364" t="s">
        <v>1716</v>
      </c>
      <c r="L56" s="1567">
        <f ca="1">IF(L48&lt;J51,"——",L48-J51)</f>
        <v>46.8</v>
      </c>
      <c r="M56" s="2764"/>
      <c r="O56" s="1954" t="s">
        <v>1729</v>
      </c>
      <c r="P56" s="1955" t="s">
        <v>1730</v>
      </c>
      <c r="Q56" s="1956" t="s">
        <v>1731</v>
      </c>
      <c r="R56" s="1955" t="s">
        <v>1732</v>
      </c>
    </row>
    <row r="57" spans="1:18" s="1672" customFormat="1" ht="28.5" customHeight="1" thickBot="1">
      <c r="A57" s="732" t="s">
        <v>1277</v>
      </c>
      <c r="B57" s="733" t="s">
        <v>599</v>
      </c>
      <c r="C57" s="734">
        <f ca="1">ROUND(C58+C63+C64+C65,0)</f>
        <v>0</v>
      </c>
      <c r="D57" s="22" t="s">
        <v>1279</v>
      </c>
      <c r="E57" s="914"/>
      <c r="F57" s="52"/>
      <c r="I57" s="2383" t="s">
        <v>1712</v>
      </c>
      <c r="J57" s="2384" t="str">
        <f ca="1">IF(OR(M47="住宅",J51&lt;L48,J56="是"),"——",J51-L48)</f>
        <v>——</v>
      </c>
      <c r="K57" s="2364" t="s">
        <v>1717</v>
      </c>
      <c r="L57" s="1567">
        <f ca="1">IF(L48&lt;J51,"——",IF(L55="比较法",L49,IF(L55="基准地价",L50,L51)))</f>
        <v>0</v>
      </c>
      <c r="M57" s="2764"/>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0</v>
      </c>
      <c r="D58" s="905" t="s">
        <v>605</v>
      </c>
      <c r="E58" s="906"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0.1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659.99</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6"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6" t="s">
        <v>627</v>
      </c>
      <c r="E64" s="719" t="s">
        <v>1276</v>
      </c>
      <c r="F64" s="752">
        <f t="shared" ca="1" si="0"/>
        <v>0</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0</v>
      </c>
      <c r="D66" s="905" t="s">
        <v>647</v>
      </c>
      <c r="E66" s="903"/>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0.04</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0</v>
      </c>
      <c r="R69" s="1962"/>
    </row>
    <row r="70" spans="1:18" ht="15.75" thickBot="1">
      <c r="A70" s="757" t="s">
        <v>1316</v>
      </c>
      <c r="B70" s="758" t="s">
        <v>1339</v>
      </c>
      <c r="C70" s="759">
        <f ca="1">ROUND(C67*10000/F70,0)</f>
        <v>0</v>
      </c>
      <c r="D70" s="760" t="s">
        <v>1340</v>
      </c>
      <c r="E70" s="761" t="s">
        <v>1341</v>
      </c>
      <c r="F70" s="762">
        <f ca="1">F43</f>
        <v>941.58999999999992</v>
      </c>
      <c r="O70" s="1960" t="s">
        <v>1753</v>
      </c>
      <c r="P70" s="1966" t="s">
        <v>1754</v>
      </c>
      <c r="Q70" s="1959">
        <f ca="1">C39</f>
        <v>0</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7.4999999999999997E-2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500-000000000000}">
      <formula1>项目类型</formula1>
    </dataValidation>
    <dataValidation type="list" allowBlank="1" showInputMessage="1" showErrorMessage="1" sqref="K19" xr:uid="{00000000-0002-0000-2500-000001000000}">
      <formula1>"按租金收入计税,按房产原值计税"</formula1>
    </dataValidation>
    <dataValidation type="list" allowBlank="1" showInputMessage="1" showErrorMessage="1" sqref="D33" xr:uid="{00000000-0002-0000-2500-000002000000}">
      <formula1>"按租金收入计税,按房产原值计税,按票据"</formula1>
    </dataValidation>
    <dataValidation type="list" allowBlank="1" showInputMessage="1" showErrorMessage="1" sqref="J56" xr:uid="{00000000-0002-0000-2500-000003000000}">
      <formula1>估价范围判定</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F10 M10 F52" xr:uid="{00000000-0002-0000-2500-000006000000}">
      <formula1>"押一,押二,押三,自定义"</formula1>
    </dataValidation>
    <dataValidation type="list" allowBlank="1" showInputMessage="1" showErrorMessage="1" sqref="D1" xr:uid="{00000000-0002-0000-2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2441</v>
      </c>
      <c r="B1" s="2817"/>
      <c r="C1" s="2830"/>
      <c r="D1" s="2830"/>
      <c r="E1" s="2818"/>
      <c r="F1" s="2819"/>
      <c r="G1" s="2820"/>
      <c r="J1" s="2823" t="s">
        <v>2298</v>
      </c>
      <c r="K1" s="2824"/>
      <c r="L1" s="2824"/>
      <c r="M1" s="2824"/>
      <c r="N1" s="2824"/>
      <c r="O1" s="2824"/>
      <c r="P1" s="2824"/>
      <c r="Q1" s="2824"/>
      <c r="R1" s="2825"/>
      <c r="S1" s="2826"/>
      <c r="T1" s="2826"/>
      <c r="U1" s="2826"/>
    </row>
    <row r="2" spans="1:22" s="2839" customFormat="1" ht="13.15" customHeight="1">
      <c r="A2" s="2828" t="s">
        <v>2299</v>
      </c>
      <c r="B2" s="2829" t="e">
        <f>C40</f>
        <v>#DIV/0!</v>
      </c>
      <c r="C2" s="2830" t="s">
        <v>2300</v>
      </c>
      <c r="D2" s="2830"/>
      <c r="E2" s="2831"/>
      <c r="F2" s="2832"/>
      <c r="G2" s="2833"/>
      <c r="H2" s="2834"/>
      <c r="I2" s="2835"/>
      <c r="J2" s="3731" t="s">
        <v>2301</v>
      </c>
      <c r="K2" s="3732"/>
      <c r="L2" s="2836" t="s">
        <v>2302</v>
      </c>
      <c r="M2" s="2836" t="s">
        <v>2303</v>
      </c>
      <c r="N2" s="2836" t="s">
        <v>2304</v>
      </c>
      <c r="O2" s="2836" t="s">
        <v>2305</v>
      </c>
      <c r="P2" s="2836" t="s">
        <v>2306</v>
      </c>
      <c r="Q2" s="2837" t="s">
        <v>2307</v>
      </c>
      <c r="R2" s="2838" t="s">
        <v>2308</v>
      </c>
      <c r="S2" s="2826"/>
      <c r="T2" s="2826"/>
      <c r="U2" s="2826"/>
      <c r="V2" s="2835"/>
    </row>
    <row r="3" spans="1:22" s="2839" customFormat="1" ht="13.15" customHeight="1">
      <c r="A3" s="2840" t="s">
        <v>2309</v>
      </c>
      <c r="B3" s="2841" t="e">
        <f>ROUND(B2*10000/B4,0)</f>
        <v>#DIV/0!</v>
      </c>
      <c r="C3" s="2830" t="s">
        <v>2310</v>
      </c>
      <c r="D3" s="2830"/>
      <c r="E3" s="2831"/>
      <c r="F3" s="2832"/>
      <c r="G3" s="2833"/>
      <c r="H3" s="2834"/>
      <c r="I3" s="2835"/>
      <c r="J3" s="3733" t="s">
        <v>2311</v>
      </c>
      <c r="K3" s="3734"/>
      <c r="L3" s="2842"/>
      <c r="M3" s="2842"/>
      <c r="N3" s="2842"/>
      <c r="O3" s="2842"/>
      <c r="P3" s="2842"/>
      <c r="Q3" s="2843"/>
      <c r="R3" s="2844">
        <f>SUM(L3:Q3)</f>
        <v>0</v>
      </c>
      <c r="S3" s="2826"/>
      <c r="T3" s="2826"/>
      <c r="U3" s="2826"/>
      <c r="V3" s="2835"/>
    </row>
    <row r="4" spans="1:22" s="2839" customFormat="1" ht="13.15" customHeight="1">
      <c r="A4" s="2845" t="s">
        <v>2312</v>
      </c>
      <c r="B4" s="2846"/>
      <c r="C4" s="2830"/>
      <c r="D4" s="2830"/>
      <c r="E4" s="2831"/>
      <c r="F4" s="2832"/>
      <c r="G4" s="2833"/>
      <c r="H4" s="2834"/>
      <c r="I4" s="2835"/>
      <c r="J4" s="3733" t="s">
        <v>2313</v>
      </c>
      <c r="K4" s="3734"/>
      <c r="L4" s="2847"/>
      <c r="M4" s="2847"/>
      <c r="N4" s="2847"/>
      <c r="O4" s="2847"/>
      <c r="P4" s="2847"/>
      <c r="Q4" s="2848"/>
      <c r="R4" s="2849">
        <f>SUM(L4:Q4)</f>
        <v>0</v>
      </c>
      <c r="S4" s="2826"/>
      <c r="T4" s="2826"/>
      <c r="U4" s="2826"/>
      <c r="V4" s="2835"/>
    </row>
    <row r="5" spans="1:22" s="2839" customFormat="1" ht="13.15" customHeight="1" thickBot="1">
      <c r="A5" s="2850" t="s">
        <v>2314</v>
      </c>
      <c r="B5" s="2851"/>
      <c r="C5" s="2830"/>
      <c r="D5" s="2852"/>
      <c r="E5" s="2832"/>
      <c r="F5" s="2832"/>
      <c r="G5" s="2833"/>
      <c r="H5" s="2834"/>
      <c r="I5" s="2835"/>
      <c r="J5" s="2853" t="s">
        <v>2315</v>
      </c>
      <c r="K5" s="2854"/>
      <c r="L5" s="2854"/>
      <c r="M5" s="2855"/>
      <c r="N5" s="2855"/>
      <c r="O5" s="2855"/>
      <c r="P5" s="2855"/>
      <c r="Q5" s="2855"/>
      <c r="R5" s="2838">
        <f>SUM(R14,R19,R24,R25,R27,R28)</f>
        <v>0</v>
      </c>
      <c r="S5" s="2826"/>
      <c r="T5" s="2826" t="s">
        <v>2316</v>
      </c>
      <c r="U5" s="2826" t="e">
        <f>ROUND(R5*10000/365/R3,1)</f>
        <v>#DIV/0!</v>
      </c>
      <c r="V5" s="2835"/>
    </row>
    <row r="6" spans="1:22" s="2839" customFormat="1" ht="13.15" customHeight="1" thickBot="1">
      <c r="A6" s="3735" t="s">
        <v>2317</v>
      </c>
      <c r="B6" s="3736"/>
      <c r="C6" s="3737"/>
      <c r="D6" s="2856"/>
      <c r="E6" s="2857"/>
      <c r="F6" s="2858"/>
      <c r="G6" s="2859"/>
      <c r="H6" s="2834"/>
      <c r="I6" s="2835"/>
      <c r="J6" s="3738">
        <v>1</v>
      </c>
      <c r="K6" s="3739" t="s">
        <v>2318</v>
      </c>
      <c r="L6" s="2860" t="s">
        <v>2319</v>
      </c>
      <c r="M6" s="2861" t="s">
        <v>2320</v>
      </c>
      <c r="N6" s="2861" t="s">
        <v>2321</v>
      </c>
      <c r="O6" s="2861" t="s">
        <v>2322</v>
      </c>
      <c r="P6" s="2861" t="s">
        <v>2323</v>
      </c>
      <c r="Q6" s="2861" t="s">
        <v>2324</v>
      </c>
      <c r="R6" s="2844" t="s">
        <v>2325</v>
      </c>
      <c r="S6" s="2826"/>
      <c r="T6" s="2826" t="s">
        <v>2326</v>
      </c>
      <c r="U6" s="2826"/>
      <c r="V6" s="2835"/>
    </row>
    <row r="7" spans="1:22" s="2839" customFormat="1" ht="13.15" customHeight="1">
      <c r="A7" s="2862" t="s">
        <v>2327</v>
      </c>
      <c r="B7" s="2863"/>
      <c r="C7" s="2864"/>
      <c r="D7" s="2865">
        <f>SUM(D9,D10,D11,D17,0)</f>
        <v>0</v>
      </c>
      <c r="E7" s="2866" t="e">
        <f>E9+E10+E11+E17</f>
        <v>#DIV/0!</v>
      </c>
      <c r="F7" s="2867"/>
      <c r="G7" s="2868"/>
      <c r="H7" s="2834"/>
      <c r="I7" s="2835"/>
      <c r="J7" s="3738"/>
      <c r="K7" s="3740"/>
      <c r="L7" s="2869" t="s">
        <v>2328</v>
      </c>
      <c r="M7" s="2870"/>
      <c r="N7" s="2846"/>
      <c r="O7" s="2871"/>
      <c r="P7" s="2871"/>
      <c r="Q7" s="2872">
        <v>365</v>
      </c>
      <c r="R7" s="2873">
        <f>ROUND(M7*N7*O7*P7*Q7/10000,0)</f>
        <v>0</v>
      </c>
      <c r="S7" s="2826"/>
      <c r="T7" s="2826" t="s">
        <v>2329</v>
      </c>
      <c r="U7" s="2826"/>
      <c r="V7" s="2835"/>
    </row>
    <row r="8" spans="1:22" s="2839" customFormat="1" ht="13.15" customHeight="1">
      <c r="A8" s="2874" t="s">
        <v>2330</v>
      </c>
      <c r="B8" s="3742" t="s">
        <v>2331</v>
      </c>
      <c r="C8" s="3743"/>
      <c r="D8" s="2875" t="s">
        <v>2332</v>
      </c>
      <c r="E8" s="2876" t="s">
        <v>2333</v>
      </c>
      <c r="F8" s="2877" t="s">
        <v>2334</v>
      </c>
      <c r="G8" s="2878"/>
      <c r="H8" s="2834"/>
      <c r="I8" s="2835"/>
      <c r="J8" s="3738"/>
      <c r="K8" s="3740"/>
      <c r="L8" s="2869" t="s">
        <v>2335</v>
      </c>
      <c r="M8" s="2870"/>
      <c r="N8" s="2846"/>
      <c r="O8" s="2871"/>
      <c r="P8" s="2871"/>
      <c r="Q8" s="2872">
        <v>365</v>
      </c>
      <c r="R8" s="2873">
        <f t="shared" ref="R8:R13" si="0">ROUND(M8*N8*O8*P8*Q8/10000,0)</f>
        <v>0</v>
      </c>
      <c r="S8" s="2826"/>
      <c r="T8" s="2826" t="s">
        <v>2336</v>
      </c>
      <c r="U8" s="2826"/>
      <c r="V8" s="2835"/>
    </row>
    <row r="9" spans="1:22" s="2839" customFormat="1" ht="13.15" customHeight="1">
      <c r="A9" s="2874">
        <v>1</v>
      </c>
      <c r="B9" s="3742" t="s">
        <v>2337</v>
      </c>
      <c r="C9" s="3743"/>
      <c r="D9" s="2875">
        <f>ROUND(D6*E9,0)</f>
        <v>0</v>
      </c>
      <c r="E9" s="2879"/>
      <c r="F9" s="2880" t="s">
        <v>2338</v>
      </c>
      <c r="G9" s="2859"/>
      <c r="H9" s="2834"/>
      <c r="I9" s="2835"/>
      <c r="J9" s="3738"/>
      <c r="K9" s="3740"/>
      <c r="L9" s="2869" t="s">
        <v>2339</v>
      </c>
      <c r="M9" s="2870"/>
      <c r="N9" s="2846"/>
      <c r="O9" s="2871"/>
      <c r="P9" s="2871"/>
      <c r="Q9" s="2872">
        <v>365</v>
      </c>
      <c r="R9" s="2873">
        <f t="shared" si="0"/>
        <v>0</v>
      </c>
      <c r="S9" s="2826"/>
      <c r="T9" s="2826"/>
      <c r="U9" s="2826"/>
      <c r="V9" s="2835"/>
    </row>
    <row r="10" spans="1:22" s="2839" customFormat="1" ht="13.15" customHeight="1">
      <c r="A10" s="2874">
        <v>2</v>
      </c>
      <c r="B10" s="3742" t="s">
        <v>2340</v>
      </c>
      <c r="C10" s="3743"/>
      <c r="D10" s="2875">
        <f>ROUND(D6*E10,0)</f>
        <v>0</v>
      </c>
      <c r="E10" s="2879"/>
      <c r="F10" s="2880" t="s">
        <v>2341</v>
      </c>
      <c r="G10" s="2859"/>
      <c r="H10" s="2834"/>
      <c r="I10" s="2835"/>
      <c r="J10" s="3738"/>
      <c r="K10" s="3740"/>
      <c r="L10" s="2869" t="s">
        <v>2342</v>
      </c>
      <c r="M10" s="2870"/>
      <c r="N10" s="2846"/>
      <c r="O10" s="2871"/>
      <c r="P10" s="2871"/>
      <c r="Q10" s="2872">
        <v>365</v>
      </c>
      <c r="R10" s="2873">
        <f t="shared" si="0"/>
        <v>0</v>
      </c>
      <c r="S10" s="2826"/>
      <c r="T10" s="2826"/>
      <c r="U10" s="2826"/>
      <c r="V10" s="2835"/>
    </row>
    <row r="11" spans="1:22" s="2839" customFormat="1" ht="13.15" customHeight="1">
      <c r="A11" s="2874">
        <v>3</v>
      </c>
      <c r="B11" s="3742" t="s">
        <v>2343</v>
      </c>
      <c r="C11" s="3743"/>
      <c r="D11" s="2875">
        <f>D12+D14+D15+D16</f>
        <v>0</v>
      </c>
      <c r="E11" s="2881" t="e">
        <f>D11/D6</f>
        <v>#DIV/0!</v>
      </c>
      <c r="F11" s="2877"/>
      <c r="G11" s="2878"/>
      <c r="H11" s="2834"/>
      <c r="I11" s="2835"/>
      <c r="J11" s="3738"/>
      <c r="K11" s="3740"/>
      <c r="L11" s="2869" t="s">
        <v>2344</v>
      </c>
      <c r="M11" s="2870"/>
      <c r="N11" s="2846"/>
      <c r="O11" s="2871"/>
      <c r="P11" s="2871"/>
      <c r="Q11" s="2872">
        <v>365</v>
      </c>
      <c r="R11" s="2873">
        <f t="shared" si="0"/>
        <v>0</v>
      </c>
      <c r="S11" s="2826"/>
      <c r="T11" s="2826"/>
      <c r="U11" s="2826"/>
      <c r="V11" s="2835"/>
    </row>
    <row r="12" spans="1:22" s="2839" customFormat="1" ht="13.15" customHeight="1">
      <c r="A12" s="2882" t="s">
        <v>2345</v>
      </c>
      <c r="B12" s="3744" t="s">
        <v>2346</v>
      </c>
      <c r="C12" s="3745"/>
      <c r="D12" s="2883">
        <f>ROUND(D13*1.2%*(1-30%),0)</f>
        <v>0</v>
      </c>
      <c r="E12" s="2884">
        <v>1.2E-2</v>
      </c>
      <c r="F12" s="2877" t="s">
        <v>2347</v>
      </c>
      <c r="G12" s="2878"/>
      <c r="H12" s="2834"/>
      <c r="I12" s="2835"/>
      <c r="J12" s="3738"/>
      <c r="K12" s="3740"/>
      <c r="L12" s="2869" t="s">
        <v>2348</v>
      </c>
      <c r="M12" s="2870"/>
      <c r="N12" s="2846"/>
      <c r="O12" s="2871"/>
      <c r="P12" s="2871"/>
      <c r="Q12" s="2872">
        <v>365</v>
      </c>
      <c r="R12" s="2873">
        <f t="shared" si="0"/>
        <v>0</v>
      </c>
      <c r="S12" s="2826"/>
      <c r="T12" s="2826"/>
      <c r="U12" s="2826"/>
      <c r="V12" s="2835"/>
    </row>
    <row r="13" spans="1:22" s="2839" customFormat="1" ht="13.15" customHeight="1">
      <c r="A13" s="2882"/>
      <c r="B13" s="2885"/>
      <c r="C13" s="2886" t="s">
        <v>2349</v>
      </c>
      <c r="D13" s="2887"/>
      <c r="E13" s="2888"/>
      <c r="F13" s="2877"/>
      <c r="G13" s="2878"/>
      <c r="H13" s="2834"/>
      <c r="I13" s="2835"/>
      <c r="J13" s="3738"/>
      <c r="K13" s="3740"/>
      <c r="L13" s="2869" t="s">
        <v>2350</v>
      </c>
      <c r="M13" s="2870"/>
      <c r="N13" s="2846"/>
      <c r="O13" s="2871"/>
      <c r="P13" s="2871"/>
      <c r="Q13" s="2872">
        <v>365</v>
      </c>
      <c r="R13" s="2873">
        <f t="shared" si="0"/>
        <v>0</v>
      </c>
      <c r="S13" s="2826"/>
      <c r="T13" s="2826"/>
      <c r="U13" s="2826"/>
      <c r="V13" s="2835"/>
    </row>
    <row r="14" spans="1:22" s="2839" customFormat="1" ht="13.15" customHeight="1">
      <c r="A14" s="2882" t="s">
        <v>2351</v>
      </c>
      <c r="B14" s="3744" t="s">
        <v>2352</v>
      </c>
      <c r="C14" s="3745"/>
      <c r="D14" s="2883">
        <f>ROUND(E14*B5/10000,0)</f>
        <v>0</v>
      </c>
      <c r="E14" s="2872"/>
      <c r="F14" s="2877" t="s">
        <v>2353</v>
      </c>
      <c r="G14" s="2878"/>
      <c r="H14" s="2834"/>
      <c r="I14" s="2835"/>
      <c r="J14" s="3738"/>
      <c r="K14" s="3741"/>
      <c r="L14" s="2889" t="s">
        <v>2354</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2355</v>
      </c>
      <c r="B15" s="3744" t="s">
        <v>2356</v>
      </c>
      <c r="C15" s="3745"/>
      <c r="D15" s="2883">
        <f>ROUND(D6*E15,0)</f>
        <v>0</v>
      </c>
      <c r="E15" s="2884">
        <v>5.5E-2</v>
      </c>
      <c r="F15" s="2877" t="s">
        <v>2357</v>
      </c>
      <c r="G15" s="2859"/>
      <c r="H15" s="2834"/>
      <c r="I15" s="2835"/>
      <c r="J15" s="3738">
        <v>2</v>
      </c>
      <c r="K15" s="3739" t="s">
        <v>2358</v>
      </c>
      <c r="L15" s="2869" t="s">
        <v>2359</v>
      </c>
      <c r="M15" s="2870" t="s">
        <v>2360</v>
      </c>
      <c r="N15" s="2870" t="s">
        <v>2361</v>
      </c>
      <c r="O15" s="2871" t="s">
        <v>2362</v>
      </c>
      <c r="P15" s="2871" t="s">
        <v>2363</v>
      </c>
      <c r="Q15" s="2846" t="s">
        <v>2364</v>
      </c>
      <c r="R15" s="2893" t="s">
        <v>2365</v>
      </c>
      <c r="S15" s="2826"/>
      <c r="T15" s="2826"/>
      <c r="U15" s="2826"/>
      <c r="V15" s="2835"/>
    </row>
    <row r="16" spans="1:22" s="2839" customFormat="1" ht="13.15" customHeight="1">
      <c r="A16" s="2882" t="s">
        <v>2366</v>
      </c>
      <c r="B16" s="3744" t="s">
        <v>2367</v>
      </c>
      <c r="C16" s="3745"/>
      <c r="D16" s="2894">
        <f>D6*E16</f>
        <v>0</v>
      </c>
      <c r="E16" s="2895"/>
      <c r="F16" s="2880" t="s">
        <v>2368</v>
      </c>
      <c r="G16" s="2859"/>
      <c r="H16" s="2834"/>
      <c r="I16" s="2835"/>
      <c r="J16" s="3738"/>
      <c r="K16" s="3740"/>
      <c r="L16" s="2869" t="s">
        <v>2369</v>
      </c>
      <c r="M16" s="2870"/>
      <c r="N16" s="2870"/>
      <c r="O16" s="2871"/>
      <c r="P16" s="2872">
        <v>365</v>
      </c>
      <c r="Q16" s="2846"/>
      <c r="R16" s="2893">
        <f>ROUND(M16*N16*O16*P16/10000,0)</f>
        <v>0</v>
      </c>
      <c r="S16" s="2826"/>
      <c r="T16" s="2826"/>
      <c r="U16" s="2826"/>
      <c r="V16" s="2835"/>
    </row>
    <row r="17" spans="1:22" s="2839" customFormat="1" ht="13.15" customHeight="1" thickBot="1">
      <c r="A17" s="2896">
        <v>4</v>
      </c>
      <c r="B17" s="3746" t="s">
        <v>2370</v>
      </c>
      <c r="C17" s="3747"/>
      <c r="D17" s="2897">
        <f>ROUND(D6*E17,0)</f>
        <v>0</v>
      </c>
      <c r="E17" s="2898"/>
      <c r="F17" s="2899" t="s">
        <v>2371</v>
      </c>
      <c r="G17" s="2859"/>
      <c r="H17" s="2834"/>
      <c r="I17" s="2835"/>
      <c r="J17" s="3738"/>
      <c r="K17" s="3740"/>
      <c r="L17" s="2869" t="s">
        <v>2372</v>
      </c>
      <c r="M17" s="2870"/>
      <c r="N17" s="2870"/>
      <c r="O17" s="2871"/>
      <c r="P17" s="2872">
        <v>365</v>
      </c>
      <c r="Q17" s="2846"/>
      <c r="R17" s="2893">
        <f>ROUND(M17*N17*O17*P17/10000,0)</f>
        <v>0</v>
      </c>
      <c r="S17" s="2826"/>
      <c r="T17" s="2826"/>
      <c r="U17" s="2826"/>
      <c r="V17" s="2835"/>
    </row>
    <row r="18" spans="1:22" s="2839" customFormat="1" ht="13.15" customHeight="1" thickBot="1">
      <c r="A18" s="2862" t="s">
        <v>2373</v>
      </c>
      <c r="B18" s="2863"/>
      <c r="C18" s="2863"/>
      <c r="D18" s="2900">
        <f>ROUND(D6*E18,0)</f>
        <v>0</v>
      </c>
      <c r="E18" s="2901"/>
      <c r="F18" s="2902" t="s">
        <v>2374</v>
      </c>
      <c r="G18" s="2859"/>
      <c r="H18" s="2834"/>
      <c r="I18" s="2835"/>
      <c r="J18" s="3738"/>
      <c r="K18" s="3740"/>
      <c r="L18" s="2869" t="s">
        <v>2375</v>
      </c>
      <c r="M18" s="2870"/>
      <c r="N18" s="2870"/>
      <c r="O18" s="2871"/>
      <c r="P18" s="2872">
        <v>365</v>
      </c>
      <c r="Q18" s="2846"/>
      <c r="R18" s="2893">
        <f>ROUND(M18*N18*O18*P18/10000,0)</f>
        <v>0</v>
      </c>
      <c r="S18" s="2826"/>
      <c r="T18" s="2826"/>
      <c r="U18" s="2826"/>
      <c r="V18" s="2835"/>
    </row>
    <row r="19" spans="1:22" s="2839" customFormat="1" ht="13.15" customHeight="1" thickBot="1">
      <c r="A19" s="2903" t="s">
        <v>2376</v>
      </c>
      <c r="B19" s="2857"/>
      <c r="C19" s="2857"/>
      <c r="D19" s="2857"/>
      <c r="E19" s="2857"/>
      <c r="F19" s="2858"/>
      <c r="G19" s="2878"/>
      <c r="H19" s="2834"/>
      <c r="I19" s="2835"/>
      <c r="J19" s="3738"/>
      <c r="K19" s="3741"/>
      <c r="L19" s="2889" t="s">
        <v>2354</v>
      </c>
      <c r="M19" s="2890"/>
      <c r="N19" s="2890">
        <f>SUM(N16:N18)</f>
        <v>0</v>
      </c>
      <c r="O19" s="2891"/>
      <c r="P19" s="2904" t="s">
        <v>2442</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38">
        <v>3</v>
      </c>
      <c r="K20" s="3739" t="s">
        <v>2377</v>
      </c>
      <c r="L20" s="2869" t="s">
        <v>2378</v>
      </c>
      <c r="M20" s="2870" t="s">
        <v>2379</v>
      </c>
      <c r="N20" s="2907" t="s">
        <v>2380</v>
      </c>
      <c r="O20" s="2871" t="s">
        <v>2381</v>
      </c>
      <c r="P20" s="2872" t="s">
        <v>2382</v>
      </c>
      <c r="Q20" s="2846" t="s">
        <v>2383</v>
      </c>
      <c r="R20" s="2893" t="s">
        <v>2325</v>
      </c>
      <c r="S20" s="2826"/>
      <c r="T20" s="2826"/>
      <c r="U20" s="2826"/>
      <c r="V20" s="2835"/>
    </row>
    <row r="21" spans="1:22" s="2839" customFormat="1" ht="13.15" customHeight="1">
      <c r="A21" s="2862"/>
      <c r="B21" s="2863"/>
      <c r="C21" s="2908" t="s">
        <v>2384</v>
      </c>
      <c r="D21" s="2909" t="s">
        <v>2385</v>
      </c>
      <c r="E21" s="2910" t="s">
        <v>2386</v>
      </c>
      <c r="F21" s="2906"/>
      <c r="G21" s="2878"/>
      <c r="H21" s="2834"/>
      <c r="I21" s="2835"/>
      <c r="J21" s="3738"/>
      <c r="K21" s="3740"/>
      <c r="L21" s="2869" t="s">
        <v>2387</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2388</v>
      </c>
      <c r="D22" s="2913" t="s">
        <v>2389</v>
      </c>
      <c r="E22" s="2914" t="s">
        <v>2390</v>
      </c>
      <c r="F22" s="2906"/>
      <c r="G22" s="2826"/>
      <c r="H22" s="2834"/>
      <c r="I22" s="2835"/>
      <c r="J22" s="3738"/>
      <c r="K22" s="3740"/>
      <c r="L22" s="2869" t="s">
        <v>2391</v>
      </c>
      <c r="M22" s="2870"/>
      <c r="N22" s="2870"/>
      <c r="O22" s="2871"/>
      <c r="P22" s="2872">
        <v>365</v>
      </c>
      <c r="Q22" s="2846"/>
      <c r="R22" s="2911">
        <f>ROUND(M22*N22*O22*P22/10000,0)</f>
        <v>0</v>
      </c>
      <c r="S22" s="2826"/>
      <c r="T22" s="2826"/>
      <c r="U22" s="2826"/>
      <c r="V22" s="2835"/>
    </row>
    <row r="23" spans="1:22" s="2839" customFormat="1" ht="13.15" customHeight="1">
      <c r="A23" s="2915">
        <v>1</v>
      </c>
      <c r="B23" s="2916" t="s">
        <v>2392</v>
      </c>
      <c r="C23" s="2917">
        <f>D6</f>
        <v>0</v>
      </c>
      <c r="D23" s="2918">
        <f>C23*(1+D24)</f>
        <v>0</v>
      </c>
      <c r="E23" s="2919">
        <f>D23*(1+E24)</f>
        <v>0</v>
      </c>
      <c r="F23" s="2920"/>
      <c r="G23" s="2921"/>
      <c r="H23" s="2834"/>
      <c r="I23" s="2835"/>
      <c r="J23" s="3738"/>
      <c r="K23" s="3740"/>
      <c r="L23" s="2869" t="s">
        <v>2393</v>
      </c>
      <c r="M23" s="2870"/>
      <c r="N23" s="2870"/>
      <c r="O23" s="2871"/>
      <c r="P23" s="2872">
        <v>365</v>
      </c>
      <c r="Q23" s="2846"/>
      <c r="R23" s="2911">
        <f>ROUND(M23*N23*O23*P23/10000,0)</f>
        <v>0</v>
      </c>
      <c r="S23" s="2826"/>
      <c r="T23" s="2826"/>
      <c r="U23" s="2826"/>
      <c r="V23" s="2835"/>
    </row>
    <row r="24" spans="1:22" s="2839" customFormat="1" ht="13.15" customHeight="1">
      <c r="A24" s="2922"/>
      <c r="B24" s="2923" t="s">
        <v>2394</v>
      </c>
      <c r="C24" s="2924"/>
      <c r="D24" s="2925"/>
      <c r="E24" s="2926"/>
      <c r="F24" s="2927"/>
      <c r="G24" s="2921"/>
      <c r="H24" s="2834"/>
      <c r="I24" s="2835"/>
      <c r="J24" s="3738"/>
      <c r="K24" s="3741"/>
      <c r="L24" s="2889" t="s">
        <v>2354</v>
      </c>
      <c r="M24" s="2890">
        <f>SUM(M21:M23)</f>
        <v>0</v>
      </c>
      <c r="N24" s="2890"/>
      <c r="O24" s="2891"/>
      <c r="P24" s="2904" t="s">
        <v>2442</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2395</v>
      </c>
      <c r="L25" s="2930"/>
      <c r="M25" s="2930"/>
      <c r="N25" s="2930"/>
      <c r="O25" s="2930"/>
      <c r="P25" s="2931"/>
      <c r="Q25" s="2932"/>
      <c r="R25" s="2905">
        <f>ROUND(R14*Q25,0)</f>
        <v>0</v>
      </c>
      <c r="S25" s="2826"/>
      <c r="T25" s="2826"/>
      <c r="U25" s="2826"/>
      <c r="V25" s="2933"/>
    </row>
    <row r="26" spans="1:22" s="2934" customFormat="1" ht="13.15" customHeight="1">
      <c r="A26" s="2915">
        <v>2</v>
      </c>
      <c r="B26" s="2916" t="s">
        <v>2396</v>
      </c>
      <c r="C26" s="2917">
        <f>D7</f>
        <v>0</v>
      </c>
      <c r="D26" s="2918">
        <f>D23*D27</f>
        <v>0</v>
      </c>
      <c r="E26" s="2919">
        <f>E23*E27</f>
        <v>0</v>
      </c>
      <c r="F26" s="2920"/>
      <c r="G26" s="2921"/>
      <c r="H26" s="2834"/>
      <c r="I26" s="2835"/>
      <c r="J26" s="3748">
        <v>5</v>
      </c>
      <c r="K26" s="2935" t="s">
        <v>2397</v>
      </c>
      <c r="L26" s="2936"/>
      <c r="M26" s="2937"/>
      <c r="N26" s="2938" t="s">
        <v>2398</v>
      </c>
      <c r="O26" s="2938" t="s">
        <v>2399</v>
      </c>
      <c r="P26" s="2939" t="s">
        <v>2400</v>
      </c>
      <c r="Q26" s="2939" t="s">
        <v>2401</v>
      </c>
      <c r="R26" s="2844" t="s">
        <v>2402</v>
      </c>
      <c r="S26" s="2878"/>
      <c r="T26" s="2878"/>
      <c r="U26" s="2878"/>
      <c r="V26" s="2933"/>
    </row>
    <row r="27" spans="1:22" s="2839" customFormat="1" ht="13.15" customHeight="1">
      <c r="A27" s="2922"/>
      <c r="B27" s="2923" t="s">
        <v>2403</v>
      </c>
      <c r="C27" s="2940" t="e">
        <f>E7</f>
        <v>#DIV/0!</v>
      </c>
      <c r="D27" s="2925"/>
      <c r="E27" s="2926"/>
      <c r="F27" s="2927"/>
      <c r="G27" s="2921"/>
      <c r="H27" s="2941"/>
      <c r="I27" s="2933"/>
      <c r="J27" s="3749"/>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2404</v>
      </c>
      <c r="F28" s="2927"/>
      <c r="G28" s="2826"/>
      <c r="H28" s="2941"/>
      <c r="I28" s="2933"/>
      <c r="J28" s="2947">
        <v>6</v>
      </c>
      <c r="K28" s="2948" t="s">
        <v>2405</v>
      </c>
      <c r="L28" s="2949" t="s">
        <v>2406</v>
      </c>
      <c r="M28" s="2950"/>
      <c r="N28" s="2949" t="s">
        <v>2407</v>
      </c>
      <c r="O28" s="2951"/>
      <c r="P28" s="2949" t="s">
        <v>2408</v>
      </c>
      <c r="Q28" s="2952">
        <v>1.4999999999999999E-2</v>
      </c>
      <c r="R28" s="2953"/>
      <c r="S28" s="2826"/>
      <c r="T28" s="2826"/>
      <c r="U28" s="2826"/>
      <c r="V28" s="2933"/>
    </row>
    <row r="29" spans="1:22" s="2934" customFormat="1" ht="13.15" customHeight="1">
      <c r="A29" s="2915">
        <v>3</v>
      </c>
      <c r="B29" s="2916" t="s">
        <v>2409</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2410</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2411</v>
      </c>
      <c r="K31" s="2824"/>
      <c r="L31" s="2824"/>
      <c r="M31" s="2824"/>
      <c r="N31" s="2824"/>
      <c r="O31" s="2824"/>
      <c r="P31" s="2824"/>
      <c r="Q31" s="2824"/>
      <c r="R31" s="2825"/>
      <c r="S31" s="2826"/>
      <c r="T31" s="2826"/>
      <c r="U31" s="2826"/>
      <c r="V31" s="2933"/>
    </row>
    <row r="32" spans="1:22" s="2934" customFormat="1" ht="13.15" customHeight="1">
      <c r="A32" s="2915">
        <v>4</v>
      </c>
      <c r="B32" s="2916" t="s">
        <v>2412</v>
      </c>
      <c r="C32" s="2917">
        <f>C23-C26-C29</f>
        <v>0</v>
      </c>
      <c r="D32" s="2918">
        <f>D23-D26-D29</f>
        <v>0</v>
      </c>
      <c r="E32" s="2919">
        <f>E23-E26-E29</f>
        <v>0</v>
      </c>
      <c r="F32" s="2920"/>
      <c r="G32" s="2826"/>
      <c r="H32" s="2834"/>
      <c r="I32" s="2835"/>
      <c r="J32" s="3731" t="s">
        <v>2413</v>
      </c>
      <c r="K32" s="3732"/>
      <c r="L32" s="2836" t="s">
        <v>2414</v>
      </c>
      <c r="M32" s="2836" t="s">
        <v>2303</v>
      </c>
      <c r="N32" s="2836" t="s">
        <v>2304</v>
      </c>
      <c r="O32" s="2836" t="s">
        <v>2305</v>
      </c>
      <c r="P32" s="2836" t="s">
        <v>2306</v>
      </c>
      <c r="Q32" s="2837" t="s">
        <v>2415</v>
      </c>
      <c r="R32" s="2956" t="s">
        <v>2416</v>
      </c>
      <c r="S32" s="2826"/>
      <c r="T32" s="2826"/>
      <c r="U32" s="2826"/>
      <c r="V32" s="2933"/>
    </row>
    <row r="33" spans="1:23" s="2839" customFormat="1" ht="13.15" customHeight="1">
      <c r="A33" s="2915"/>
      <c r="B33" s="2916"/>
      <c r="C33" s="2917"/>
      <c r="D33" s="2957"/>
      <c r="E33" s="2958"/>
      <c r="F33" s="2920"/>
      <c r="G33" s="2826"/>
      <c r="H33" s="2941"/>
      <c r="I33" s="2933"/>
      <c r="J33" s="3733" t="s">
        <v>2417</v>
      </c>
      <c r="K33" s="3734"/>
      <c r="L33" s="2842"/>
      <c r="M33" s="2842"/>
      <c r="N33" s="2842"/>
      <c r="O33" s="2842"/>
      <c r="P33" s="2842"/>
      <c r="Q33" s="2843"/>
      <c r="R33" s="2959">
        <f>SUM(L33:Q33)</f>
        <v>0</v>
      </c>
      <c r="S33" s="2826"/>
      <c r="T33" s="2826"/>
      <c r="U33" s="2826"/>
      <c r="V33" s="2835"/>
    </row>
    <row r="34" spans="1:23" s="2839" customFormat="1" ht="13.15" customHeight="1">
      <c r="A34" s="2915">
        <v>5</v>
      </c>
      <c r="B34" s="2916" t="s">
        <v>2418</v>
      </c>
      <c r="C34" s="2960"/>
      <c r="D34" s="2961"/>
      <c r="E34" s="2962"/>
      <c r="F34" s="2920"/>
      <c r="G34" s="2826"/>
      <c r="H34" s="2941"/>
      <c r="I34" s="2933"/>
      <c r="J34" s="3733" t="s">
        <v>2419</v>
      </c>
      <c r="K34" s="3734"/>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2420</v>
      </c>
      <c r="C35" s="2964"/>
      <c r="D35" s="2965"/>
      <c r="E35" s="2966"/>
      <c r="F35" s="2920"/>
      <c r="G35" s="2967"/>
      <c r="H35" s="2834"/>
      <c r="I35" s="2933"/>
      <c r="J35" s="2853" t="s">
        <v>2421</v>
      </c>
      <c r="K35" s="2854"/>
      <c r="L35" s="2854"/>
      <c r="M35" s="2855"/>
      <c r="N35" s="2855"/>
      <c r="O35" s="2855"/>
      <c r="P35" s="2855"/>
      <c r="Q35" s="2855"/>
      <c r="R35" s="2968">
        <f>R40+R41+R43</f>
        <v>0</v>
      </c>
      <c r="S35" s="2826"/>
      <c r="T35" s="2826" t="s">
        <v>2422</v>
      </c>
      <c r="U35" s="2826"/>
      <c r="V35" s="2835"/>
    </row>
    <row r="36" spans="1:23" s="2839" customFormat="1" ht="13.15" customHeight="1" thickBot="1">
      <c r="A36" s="2915">
        <v>7</v>
      </c>
      <c r="B36" s="2969" t="s">
        <v>2423</v>
      </c>
      <c r="C36" s="2970"/>
      <c r="D36" s="2971"/>
      <c r="E36" s="2972"/>
      <c r="F36" s="2973">
        <f>C36+D36+E36</f>
        <v>0</v>
      </c>
      <c r="G36" s="2826"/>
      <c r="H36" s="2834"/>
      <c r="I36" s="2835"/>
      <c r="J36" s="3738">
        <v>1</v>
      </c>
      <c r="K36" s="3739" t="s">
        <v>2424</v>
      </c>
      <c r="L36" s="2860"/>
      <c r="M36" s="2861"/>
      <c r="N36" s="2861"/>
      <c r="O36" s="2861"/>
      <c r="P36" s="2861"/>
      <c r="Q36" s="2861"/>
      <c r="R36" s="2844" t="s">
        <v>2325</v>
      </c>
      <c r="S36" s="2826"/>
      <c r="T36" s="2826" t="s">
        <v>2326</v>
      </c>
      <c r="U36" s="2826"/>
      <c r="V36" s="2835"/>
    </row>
    <row r="37" spans="1:23" s="2839" customFormat="1" ht="13.15" customHeight="1">
      <c r="A37" s="2915"/>
      <c r="B37" s="2916"/>
      <c r="C37" s="2916"/>
      <c r="D37" s="2916"/>
      <c r="E37" s="2916"/>
      <c r="F37" s="2920"/>
      <c r="G37" s="2826"/>
      <c r="H37" s="2834"/>
      <c r="I37" s="2835"/>
      <c r="J37" s="3738"/>
      <c r="K37" s="3740"/>
      <c r="L37" s="2869"/>
      <c r="M37" s="2870"/>
      <c r="N37" s="2846"/>
      <c r="O37" s="2871"/>
      <c r="P37" s="2871"/>
      <c r="Q37" s="2872"/>
      <c r="R37" s="2873"/>
      <c r="S37" s="2826"/>
      <c r="T37" s="2826" t="s">
        <v>2329</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38"/>
      <c r="K38" s="3740"/>
      <c r="L38" s="2869"/>
      <c r="M38" s="2870"/>
      <c r="N38" s="2846"/>
      <c r="O38" s="2871"/>
      <c r="P38" s="2871"/>
      <c r="Q38" s="2872"/>
      <c r="R38" s="2873"/>
      <c r="S38" s="2826"/>
      <c r="T38" s="2826" t="s">
        <v>2336</v>
      </c>
      <c r="U38" s="2826"/>
      <c r="V38" s="2835"/>
    </row>
    <row r="39" spans="1:23" s="2839" customFormat="1" ht="13.15" customHeight="1">
      <c r="A39" s="2915">
        <v>9</v>
      </c>
      <c r="B39" s="2916" t="s">
        <v>2425</v>
      </c>
      <c r="C39" s="2883" t="e">
        <f>C38</f>
        <v>#DIV/0!</v>
      </c>
      <c r="D39" s="2916">
        <f>D38/(1+D34)^C36</f>
        <v>0</v>
      </c>
      <c r="E39" s="2916">
        <f>E38/(1+E34)^(C36+D36)</f>
        <v>0</v>
      </c>
      <c r="F39" s="2920"/>
      <c r="G39" s="2835"/>
      <c r="H39" s="2834"/>
      <c r="I39" s="2835"/>
      <c r="J39" s="3738"/>
      <c r="K39" s="3740"/>
      <c r="L39" s="2869"/>
      <c r="M39" s="2870"/>
      <c r="N39" s="2846"/>
      <c r="O39" s="2871"/>
      <c r="P39" s="2871"/>
      <c r="Q39" s="2872"/>
      <c r="R39" s="2873"/>
      <c r="S39" s="2826"/>
      <c r="T39" s="2826"/>
      <c r="U39" s="2826"/>
      <c r="V39" s="2835"/>
    </row>
    <row r="40" spans="1:23" s="2839" customFormat="1" ht="13.15" customHeight="1">
      <c r="A40" s="2974">
        <v>10</v>
      </c>
      <c r="B40" s="2916" t="s">
        <v>2426</v>
      </c>
      <c r="C40" s="2975" t="e">
        <f>C39+D39+E39</f>
        <v>#DIV/0!</v>
      </c>
      <c r="D40" s="2976"/>
      <c r="E40" s="2976"/>
      <c r="F40" s="2977"/>
      <c r="G40" s="2826"/>
      <c r="H40" s="2834"/>
      <c r="I40" s="2835"/>
      <c r="J40" s="3738"/>
      <c r="K40" s="3741"/>
      <c r="L40" s="2889" t="s">
        <v>2427</v>
      </c>
      <c r="M40" s="2890"/>
      <c r="N40" s="2890"/>
      <c r="O40" s="2891"/>
      <c r="P40" s="2891"/>
      <c r="Q40" s="2892"/>
      <c r="R40" s="2838">
        <f>SUM(R37:R39)</f>
        <v>0</v>
      </c>
      <c r="S40" s="2826"/>
      <c r="T40" s="2826"/>
      <c r="U40" s="2826"/>
      <c r="V40" s="2835"/>
    </row>
    <row r="41" spans="1:23" s="2839" customFormat="1" ht="13.15" customHeight="1" thickBot="1">
      <c r="A41" s="2978">
        <v>11</v>
      </c>
      <c r="B41" s="2979" t="s">
        <v>2428</v>
      </c>
      <c r="C41" s="2979" t="e">
        <f>ROUND(C40*10000/B4,0)</f>
        <v>#DIV/0!</v>
      </c>
      <c r="D41" s="2980"/>
      <c r="E41" s="2980"/>
      <c r="F41" s="2981"/>
      <c r="G41" s="2834"/>
      <c r="H41" s="2834"/>
      <c r="I41" s="2835"/>
      <c r="J41" s="2928">
        <v>2</v>
      </c>
      <c r="K41" s="2929" t="s">
        <v>2429</v>
      </c>
      <c r="L41" s="2930"/>
      <c r="M41" s="2930"/>
      <c r="N41" s="2930"/>
      <c r="O41" s="2930"/>
      <c r="P41" s="2931"/>
      <c r="Q41" s="2932"/>
      <c r="R41" s="2905">
        <f>ROUND(R40*Q41,0)</f>
        <v>0</v>
      </c>
      <c r="S41" s="2826"/>
      <c r="T41" s="2826"/>
      <c r="U41" s="2878"/>
      <c r="V41" s="2835"/>
    </row>
    <row r="42" spans="1:23" s="2839" customFormat="1" ht="13.15" customHeight="1">
      <c r="G42" s="2834"/>
      <c r="H42" s="2834"/>
      <c r="I42" s="2835"/>
      <c r="J42" s="3748">
        <v>3</v>
      </c>
      <c r="K42" s="2935" t="s">
        <v>2430</v>
      </c>
      <c r="L42" s="2936"/>
      <c r="M42" s="2937"/>
      <c r="N42" s="2938" t="s">
        <v>2431</v>
      </c>
      <c r="O42" s="2938" t="s">
        <v>2432</v>
      </c>
      <c r="P42" s="2939" t="s">
        <v>2433</v>
      </c>
      <c r="Q42" s="2939" t="s">
        <v>2434</v>
      </c>
      <c r="R42" s="2844" t="s">
        <v>2435</v>
      </c>
      <c r="S42" s="2878"/>
      <c r="T42" s="2878"/>
      <c r="U42" s="2826"/>
      <c r="V42" s="2835"/>
    </row>
    <row r="43" spans="1:23" ht="13.15" customHeight="1">
      <c r="A43" s="2839"/>
      <c r="B43" s="2839"/>
      <c r="C43" s="2839"/>
      <c r="D43" s="2839"/>
      <c r="E43" s="2839"/>
      <c r="F43" s="2839"/>
      <c r="I43" s="2821"/>
      <c r="J43" s="3749"/>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2436</v>
      </c>
      <c r="L44" s="2984" t="s">
        <v>2437</v>
      </c>
      <c r="M44" s="2950"/>
      <c r="N44" s="2984" t="s">
        <v>2438</v>
      </c>
      <c r="O44" s="2950"/>
      <c r="P44" s="2984" t="s">
        <v>2439</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1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受贵公司委托，我公司对北京市出让国有建设用地使用权市场价格进行了预评估。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2024年12月11日（评估专业人员勘察现场之日）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2283</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10</v>
      </c>
      <c r="D12" s="2771">
        <f>'数据-汇总表'!E5</f>
        <v>604.25</v>
      </c>
      <c r="E12" s="2771">
        <f>'数据-取费表'!B27</f>
        <v>160</v>
      </c>
      <c r="F12" s="691"/>
      <c r="G12" s="694"/>
    </row>
    <row r="13" spans="1:25" s="1783" customFormat="1" ht="13.5" customHeight="1">
      <c r="A13" s="1987" t="s">
        <v>1793</v>
      </c>
      <c r="B13" s="692" t="s">
        <v>560</v>
      </c>
      <c r="C13" s="693">
        <f>ROUND(D13*E13/10000,0)</f>
        <v>7</v>
      </c>
      <c r="D13" s="2771">
        <f>'数据-汇总表'!E6</f>
        <v>337.33999999999992</v>
      </c>
      <c r="E13" s="2771">
        <f>'数据-取费表'!B28</f>
        <v>200</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0.84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40" t="s">
        <v>471</v>
      </c>
      <c r="D4" s="3641"/>
      <c r="E4" s="3642" t="s">
        <v>472</v>
      </c>
      <c r="F4" s="3643"/>
      <c r="G4" s="3640" t="s">
        <v>473</v>
      </c>
      <c r="H4" s="3641"/>
      <c r="I4" s="3640" t="s">
        <v>474</v>
      </c>
      <c r="J4" s="3641"/>
      <c r="K4" s="465" t="s">
        <v>475</v>
      </c>
      <c r="L4" s="1741"/>
      <c r="M4" s="1742"/>
      <c r="N4" s="1742"/>
      <c r="O4" s="1742"/>
      <c r="P4" s="3644" t="s">
        <v>476</v>
      </c>
      <c r="Q4" s="3645"/>
      <c r="R4" s="3650" t="s">
        <v>472</v>
      </c>
      <c r="S4" s="3651"/>
      <c r="T4" s="3650" t="s">
        <v>473</v>
      </c>
      <c r="U4" s="3651"/>
      <c r="V4" s="3631" t="s">
        <v>474</v>
      </c>
      <c r="W4" s="3631"/>
      <c r="X4" s="1302"/>
      <c r="Y4" s="3650" t="s">
        <v>476</v>
      </c>
      <c r="Z4" s="3651"/>
      <c r="AA4" s="3637" t="s">
        <v>472</v>
      </c>
      <c r="AB4" s="3631" t="s">
        <v>473</v>
      </c>
      <c r="AC4" s="3637" t="s">
        <v>474</v>
      </c>
    </row>
    <row r="5" spans="1:29" ht="15">
      <c r="A5" s="466"/>
      <c r="B5" s="467"/>
      <c r="C5" s="3658" t="s">
        <v>2192</v>
      </c>
      <c r="D5" s="3659"/>
      <c r="E5" s="3666" t="s">
        <v>2193</v>
      </c>
      <c r="F5" s="3667"/>
      <c r="G5" s="3658" t="s">
        <v>2194</v>
      </c>
      <c r="H5" s="3659"/>
      <c r="I5" s="3658" t="s">
        <v>2195</v>
      </c>
      <c r="J5" s="3659"/>
      <c r="K5" s="465"/>
      <c r="L5" s="1741"/>
      <c r="M5" s="1742"/>
      <c r="N5" s="1742"/>
      <c r="O5" s="1742"/>
      <c r="P5" s="3646"/>
      <c r="Q5" s="3647"/>
      <c r="R5" s="3652"/>
      <c r="S5" s="3653"/>
      <c r="T5" s="3652"/>
      <c r="U5" s="3653"/>
      <c r="V5" s="3631"/>
      <c r="W5" s="3631"/>
      <c r="X5" s="1302"/>
      <c r="Y5" s="3652"/>
      <c r="Z5" s="3653"/>
      <c r="AA5" s="3638"/>
      <c r="AB5" s="3631"/>
      <c r="AC5" s="3638"/>
    </row>
    <row r="6" spans="1:29" ht="15.75" thickBot="1">
      <c r="A6" s="468"/>
      <c r="B6" s="469"/>
      <c r="C6" s="3656" t="s">
        <v>2196</v>
      </c>
      <c r="D6" s="3657"/>
      <c r="E6" s="3664" t="s">
        <v>2196</v>
      </c>
      <c r="F6" s="3665"/>
      <c r="G6" s="3656" t="s">
        <v>2196</v>
      </c>
      <c r="H6" s="3657"/>
      <c r="I6" s="3656" t="s">
        <v>2196</v>
      </c>
      <c r="J6" s="3657"/>
      <c r="K6" s="465" t="s">
        <v>477</v>
      </c>
      <c r="L6" s="1741"/>
      <c r="M6" s="1742"/>
      <c r="N6" s="1742"/>
      <c r="O6" s="1742"/>
      <c r="P6" s="3648"/>
      <c r="Q6" s="3649"/>
      <c r="R6" s="3652"/>
      <c r="S6" s="3653"/>
      <c r="T6" s="3654"/>
      <c r="U6" s="3655"/>
      <c r="V6" s="3631"/>
      <c r="W6" s="3631"/>
      <c r="X6" s="1302"/>
      <c r="Y6" s="3654"/>
      <c r="Z6" s="3655"/>
      <c r="AA6" s="3639"/>
      <c r="AB6" s="3631"/>
      <c r="AC6" s="3639"/>
    </row>
    <row r="7" spans="1:29" s="1059" customFormat="1" ht="15.75" thickBot="1">
      <c r="A7" s="2209"/>
      <c r="B7" s="2216" t="s">
        <v>478</v>
      </c>
      <c r="C7" s="470">
        <f>'数据-取费表'!B2</f>
        <v>45637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60" t="s">
        <v>479</v>
      </c>
      <c r="Q7" s="3662"/>
      <c r="R7" s="1303" t="s">
        <v>5</v>
      </c>
      <c r="S7" s="1304">
        <f t="shared" ref="S7:S15" si="0">F7</f>
        <v>0</v>
      </c>
      <c r="T7" s="1303" t="s">
        <v>5</v>
      </c>
      <c r="U7" s="1304">
        <f t="shared" ref="U7:U15" si="1">H7</f>
        <v>0</v>
      </c>
      <c r="V7" s="1303" t="s">
        <v>5</v>
      </c>
      <c r="W7" s="1304">
        <f t="shared" ref="W7:W15" si="2">J7</f>
        <v>0</v>
      </c>
      <c r="X7" s="1305"/>
      <c r="Y7" s="3660" t="s">
        <v>479</v>
      </c>
      <c r="Z7" s="3661"/>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60" t="s">
        <v>482</v>
      </c>
      <c r="Q8" s="3661"/>
      <c r="R8" s="1303" t="s">
        <v>5</v>
      </c>
      <c r="S8" s="1304">
        <f t="shared" si="0"/>
        <v>0</v>
      </c>
      <c r="T8" s="1303" t="s">
        <v>5</v>
      </c>
      <c r="U8" s="1304">
        <f t="shared" si="1"/>
        <v>0</v>
      </c>
      <c r="V8" s="1303" t="s">
        <v>5</v>
      </c>
      <c r="W8" s="1304">
        <f t="shared" si="2"/>
        <v>0</v>
      </c>
      <c r="X8" s="1305"/>
      <c r="Y8" s="3660" t="s">
        <v>482</v>
      </c>
      <c r="Z8" s="3661"/>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30"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30"/>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30"/>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30"/>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30"/>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32" t="s">
        <v>489</v>
      </c>
      <c r="Q15" s="1306" t="str">
        <f t="shared" si="6"/>
        <v>商业繁华度</v>
      </c>
      <c r="R15" s="1307" t="s">
        <v>5</v>
      </c>
      <c r="S15" s="1308">
        <f t="shared" si="0"/>
        <v>100</v>
      </c>
      <c r="T15" s="1307" t="s">
        <v>5</v>
      </c>
      <c r="U15" s="1308">
        <f t="shared" si="1"/>
        <v>100</v>
      </c>
      <c r="V15" s="1307" t="s">
        <v>5</v>
      </c>
      <c r="W15" s="1308">
        <f t="shared" si="2"/>
        <v>100</v>
      </c>
      <c r="X15" s="1302"/>
      <c r="Y15" s="363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3"/>
      <c r="Q16" s="1306"/>
      <c r="R16" s="1307"/>
      <c r="S16" s="1308"/>
      <c r="T16" s="1307"/>
      <c r="U16" s="1308"/>
      <c r="V16" s="1307"/>
      <c r="W16" s="1308"/>
      <c r="X16" s="1302"/>
      <c r="Y16" s="3633"/>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3"/>
      <c r="Q18" s="1306"/>
      <c r="R18" s="1307"/>
      <c r="S18" s="1308"/>
      <c r="T18" s="1307"/>
      <c r="U18" s="1308"/>
      <c r="V18" s="1307"/>
      <c r="W18" s="1308"/>
      <c r="X18" s="1302"/>
      <c r="Y18" s="3633"/>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33"/>
      <c r="Q20" s="1306"/>
      <c r="R20" s="1307"/>
      <c r="S20" s="1308"/>
      <c r="T20" s="1307"/>
      <c r="U20" s="1308"/>
      <c r="V20" s="1307"/>
      <c r="W20" s="1308"/>
      <c r="X20" s="1302"/>
      <c r="Y20" s="3633"/>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57">
      <c r="A23" s="482"/>
      <c r="B23" s="677" t="s">
        <v>263</v>
      </c>
      <c r="C23" s="823"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33"/>
      <c r="Q23" s="1306" t="str">
        <f>B23</f>
        <v>自然及人文环境</v>
      </c>
      <c r="R23" s="1307" t="s">
        <v>5</v>
      </c>
      <c r="S23" s="1308">
        <f>F23</f>
        <v>100</v>
      </c>
      <c r="T23" s="1307" t="s">
        <v>5</v>
      </c>
      <c r="U23" s="1308">
        <f>H23</f>
        <v>100</v>
      </c>
      <c r="V23" s="1307" t="s">
        <v>5</v>
      </c>
      <c r="W23" s="1308">
        <f>J23</f>
        <v>100</v>
      </c>
      <c r="X23" s="1302"/>
      <c r="Y23" s="363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3"/>
      <c r="Q25" s="1306" t="str">
        <f t="shared" ref="Q25:Q46" si="8">B25</f>
        <v>临街状况</v>
      </c>
      <c r="R25" s="1307" t="s">
        <v>5</v>
      </c>
      <c r="S25" s="1308">
        <f>F25</f>
        <v>100</v>
      </c>
      <c r="T25" s="1307" t="s">
        <v>5</v>
      </c>
      <c r="U25" s="1308">
        <f>H25</f>
        <v>100</v>
      </c>
      <c r="V25" s="1307" t="s">
        <v>5</v>
      </c>
      <c r="W25" s="1308">
        <f>J25</f>
        <v>100</v>
      </c>
      <c r="X25" s="1302"/>
      <c r="Y25" s="363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3"/>
      <c r="Q26" s="1306" t="str">
        <f t="shared" si="8"/>
        <v>平面位置/可视性</v>
      </c>
      <c r="R26" s="1307" t="s">
        <v>5</v>
      </c>
      <c r="S26" s="1308">
        <f>F26</f>
        <v>100</v>
      </c>
      <c r="T26" s="1307" t="s">
        <v>5</v>
      </c>
      <c r="U26" s="1308">
        <f>H26</f>
        <v>100</v>
      </c>
      <c r="V26" s="1307" t="s">
        <v>5</v>
      </c>
      <c r="W26" s="1308">
        <f>J26</f>
        <v>100</v>
      </c>
      <c r="X26" s="1302"/>
      <c r="Y26" s="3633"/>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33"/>
      <c r="Q27" s="817" t="str">
        <f t="shared" si="8"/>
        <v>人流量</v>
      </c>
      <c r="R27" s="1303" t="s">
        <v>5</v>
      </c>
      <c r="S27" s="1304">
        <f>F27</f>
        <v>100</v>
      </c>
      <c r="T27" s="1303" t="s">
        <v>5</v>
      </c>
      <c r="U27" s="1304">
        <f>H27</f>
        <v>100</v>
      </c>
      <c r="V27" s="1303" t="s">
        <v>5</v>
      </c>
      <c r="W27" s="1304">
        <f>J27</f>
        <v>100</v>
      </c>
      <c r="X27" s="1305"/>
      <c r="Y27" s="3633"/>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3"/>
      <c r="Q29" s="1306">
        <f t="shared" si="8"/>
        <v>111</v>
      </c>
      <c r="R29" s="1307" t="s">
        <v>5</v>
      </c>
      <c r="S29" s="1308">
        <f t="shared" si="9"/>
        <v>100</v>
      </c>
      <c r="T29" s="1307" t="s">
        <v>5</v>
      </c>
      <c r="U29" s="1308">
        <f t="shared" si="10"/>
        <v>100</v>
      </c>
      <c r="V29" s="1307" t="s">
        <v>5</v>
      </c>
      <c r="W29" s="1308">
        <f t="shared" si="11"/>
        <v>100</v>
      </c>
      <c r="X29" s="1302"/>
      <c r="Y29" s="363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4" t="s">
        <v>499</v>
      </c>
      <c r="Q32" s="1306" t="str">
        <f t="shared" si="8"/>
        <v>商业类型</v>
      </c>
      <c r="R32" s="1307" t="s">
        <v>5</v>
      </c>
      <c r="S32" s="1308">
        <f t="shared" si="9"/>
        <v>100</v>
      </c>
      <c r="T32" s="1307" t="s">
        <v>5</v>
      </c>
      <c r="U32" s="1308">
        <f t="shared" si="10"/>
        <v>100</v>
      </c>
      <c r="V32" s="1307" t="s">
        <v>5</v>
      </c>
      <c r="W32" s="1308">
        <f t="shared" si="11"/>
        <v>100</v>
      </c>
      <c r="X32" s="1302"/>
      <c r="Y32" s="3635"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5"/>
      <c r="Q33" s="818" t="str">
        <f t="shared" si="8"/>
        <v>项目建筑规模</v>
      </c>
      <c r="R33" s="1310" t="s">
        <v>5</v>
      </c>
      <c r="S33" s="1311" t="e">
        <f t="shared" si="9"/>
        <v>#N/A</v>
      </c>
      <c r="T33" s="1310" t="s">
        <v>5</v>
      </c>
      <c r="U33" s="1311" t="e">
        <f t="shared" si="10"/>
        <v>#N/A</v>
      </c>
      <c r="V33" s="1310" t="s">
        <v>5</v>
      </c>
      <c r="W33" s="1311" t="e">
        <f t="shared" si="11"/>
        <v>#N/A</v>
      </c>
      <c r="X33" s="1312"/>
      <c r="Y33" s="3635"/>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5"/>
      <c r="Q34" s="1306" t="str">
        <f t="shared" si="8"/>
        <v>建筑结构</v>
      </c>
      <c r="R34" s="1307" t="s">
        <v>5</v>
      </c>
      <c r="S34" s="1308">
        <f t="shared" si="9"/>
        <v>100</v>
      </c>
      <c r="T34" s="1307" t="s">
        <v>5</v>
      </c>
      <c r="U34" s="1308">
        <f t="shared" si="10"/>
        <v>100</v>
      </c>
      <c r="V34" s="1307" t="s">
        <v>5</v>
      </c>
      <c r="W34" s="1308">
        <f t="shared" si="11"/>
        <v>100</v>
      </c>
      <c r="X34" s="1302"/>
      <c r="Y34" s="363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5"/>
      <c r="Q35" s="1306" t="str">
        <f t="shared" si="8"/>
        <v>公共部分装修</v>
      </c>
      <c r="R35" s="1307" t="s">
        <v>5</v>
      </c>
      <c r="S35" s="1308">
        <f t="shared" si="9"/>
        <v>100</v>
      </c>
      <c r="T35" s="1307" t="s">
        <v>5</v>
      </c>
      <c r="U35" s="1308">
        <f t="shared" si="10"/>
        <v>100</v>
      </c>
      <c r="V35" s="1307" t="s">
        <v>5</v>
      </c>
      <c r="W35" s="1308">
        <f t="shared" si="11"/>
        <v>100</v>
      </c>
      <c r="X35" s="1302"/>
      <c r="Y35" s="3635"/>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5"/>
      <c r="Q36" s="1306" t="str">
        <f t="shared" si="8"/>
        <v>成新度</v>
      </c>
      <c r="R36" s="1307" t="s">
        <v>5</v>
      </c>
      <c r="S36" s="1308" t="e">
        <f t="shared" si="9"/>
        <v>#N/A</v>
      </c>
      <c r="T36" s="1307" t="s">
        <v>5</v>
      </c>
      <c r="U36" s="1308" t="e">
        <f t="shared" si="10"/>
        <v>#N/A</v>
      </c>
      <c r="V36" s="1307" t="s">
        <v>5</v>
      </c>
      <c r="W36" s="1308" t="e">
        <f t="shared" si="11"/>
        <v>#N/A</v>
      </c>
      <c r="X36" s="1302"/>
      <c r="Y36" s="3635"/>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5"/>
      <c r="Q37" s="817" t="str">
        <f t="shared" si="8"/>
        <v>市政基础设施</v>
      </c>
      <c r="R37" s="1303" t="s">
        <v>5</v>
      </c>
      <c r="S37" s="1304">
        <f t="shared" si="9"/>
        <v>100</v>
      </c>
      <c r="T37" s="1303" t="s">
        <v>5</v>
      </c>
      <c r="U37" s="1304">
        <f t="shared" si="10"/>
        <v>100</v>
      </c>
      <c r="V37" s="1303" t="s">
        <v>5</v>
      </c>
      <c r="W37" s="1304">
        <f t="shared" si="11"/>
        <v>100</v>
      </c>
      <c r="X37" s="1305"/>
      <c r="Y37" s="3635"/>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5" t="s">
        <v>706</v>
      </c>
      <c r="Q38" s="1306" t="str">
        <f t="shared" si="8"/>
        <v>业态</v>
      </c>
      <c r="R38" s="1307" t="s">
        <v>5</v>
      </c>
      <c r="S38" s="1308">
        <f t="shared" si="9"/>
        <v>100</v>
      </c>
      <c r="T38" s="1307" t="s">
        <v>5</v>
      </c>
      <c r="U38" s="1308">
        <f t="shared" si="10"/>
        <v>100</v>
      </c>
      <c r="V38" s="1307" t="s">
        <v>5</v>
      </c>
      <c r="W38" s="1308">
        <f t="shared" si="11"/>
        <v>100</v>
      </c>
      <c r="X38" s="1302"/>
      <c r="Y38" s="363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5"/>
      <c r="Q39" s="1306" t="str">
        <f t="shared" si="8"/>
        <v>层高</v>
      </c>
      <c r="R39" s="1307" t="s">
        <v>5</v>
      </c>
      <c r="S39" s="1308">
        <f t="shared" si="9"/>
        <v>100</v>
      </c>
      <c r="T39" s="1307" t="s">
        <v>5</v>
      </c>
      <c r="U39" s="1308">
        <f t="shared" si="10"/>
        <v>100</v>
      </c>
      <c r="V39" s="1307" t="s">
        <v>5</v>
      </c>
      <c r="W39" s="1308">
        <f t="shared" si="11"/>
        <v>100</v>
      </c>
      <c r="X39" s="1302"/>
      <c r="Y39" s="3635"/>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5"/>
      <c r="Q40" s="1306" t="str">
        <f t="shared" si="8"/>
        <v>单套建筑面积</v>
      </c>
      <c r="R40" s="1307" t="s">
        <v>5</v>
      </c>
      <c r="S40" s="1308">
        <f t="shared" si="9"/>
        <v>100</v>
      </c>
      <c r="T40" s="1307" t="s">
        <v>5</v>
      </c>
      <c r="U40" s="1308">
        <f t="shared" si="10"/>
        <v>100</v>
      </c>
      <c r="V40" s="1307" t="s">
        <v>5</v>
      </c>
      <c r="W40" s="1308">
        <f t="shared" si="11"/>
        <v>100</v>
      </c>
      <c r="X40" s="1302"/>
      <c r="Y40" s="3635"/>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5"/>
      <c r="Q41" s="818" t="str">
        <f t="shared" si="8"/>
        <v>进深比</v>
      </c>
      <c r="R41" s="1310" t="s">
        <v>5</v>
      </c>
      <c r="S41" s="1311">
        <f t="shared" si="9"/>
        <v>100</v>
      </c>
      <c r="T41" s="1310" t="s">
        <v>5</v>
      </c>
      <c r="U41" s="1311">
        <f t="shared" si="10"/>
        <v>100</v>
      </c>
      <c r="V41" s="1310" t="s">
        <v>5</v>
      </c>
      <c r="W41" s="1311">
        <f t="shared" si="11"/>
        <v>100</v>
      </c>
      <c r="X41" s="1312"/>
      <c r="Y41" s="363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5"/>
      <c r="Q42" s="1306" t="str">
        <f t="shared" si="8"/>
        <v>内部装修</v>
      </c>
      <c r="R42" s="1307" t="s">
        <v>5</v>
      </c>
      <c r="S42" s="1308">
        <f t="shared" si="9"/>
        <v>100</v>
      </c>
      <c r="T42" s="1307" t="s">
        <v>5</v>
      </c>
      <c r="U42" s="1308">
        <f t="shared" si="10"/>
        <v>100</v>
      </c>
      <c r="V42" s="1307" t="s">
        <v>5</v>
      </c>
      <c r="W42" s="1308">
        <f t="shared" si="11"/>
        <v>100</v>
      </c>
      <c r="X42" s="1302"/>
      <c r="Y42" s="3635"/>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5"/>
      <c r="Q43" s="1306" t="str">
        <f t="shared" si="8"/>
        <v>内部装修维护情况</v>
      </c>
      <c r="R43" s="1307" t="s">
        <v>5</v>
      </c>
      <c r="S43" s="1308">
        <f t="shared" si="9"/>
        <v>100</v>
      </c>
      <c r="T43" s="1307" t="s">
        <v>5</v>
      </c>
      <c r="U43" s="1308">
        <f t="shared" si="10"/>
        <v>100</v>
      </c>
      <c r="V43" s="1307" t="s">
        <v>5</v>
      </c>
      <c r="W43" s="1308">
        <f t="shared" si="11"/>
        <v>100</v>
      </c>
      <c r="X43" s="1302"/>
      <c r="Y43" s="3635"/>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5"/>
      <c r="Q44" s="817">
        <f t="shared" si="8"/>
        <v>111</v>
      </c>
      <c r="R44" s="1303" t="s">
        <v>5</v>
      </c>
      <c r="S44" s="1304">
        <f t="shared" si="9"/>
        <v>100</v>
      </c>
      <c r="T44" s="1303" t="s">
        <v>5</v>
      </c>
      <c r="U44" s="1304">
        <f t="shared" si="10"/>
        <v>100</v>
      </c>
      <c r="V44" s="1303" t="s">
        <v>5</v>
      </c>
      <c r="W44" s="1304">
        <f t="shared" si="11"/>
        <v>100</v>
      </c>
      <c r="X44" s="1305"/>
      <c r="Y44" s="3635"/>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5"/>
      <c r="Q45" s="1306">
        <f t="shared" si="8"/>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36"/>
      <c r="Q46" s="1306">
        <f t="shared" si="8"/>
        <v>111</v>
      </c>
      <c r="R46" s="1307" t="s">
        <v>5</v>
      </c>
      <c r="S46" s="1308">
        <f t="shared" si="9"/>
        <v>100</v>
      </c>
      <c r="T46" s="1307" t="s">
        <v>5</v>
      </c>
      <c r="U46" s="1308">
        <f t="shared" si="10"/>
        <v>100</v>
      </c>
      <c r="V46" s="1307" t="s">
        <v>5</v>
      </c>
      <c r="W46" s="1308">
        <f t="shared" si="11"/>
        <v>100</v>
      </c>
      <c r="X46" s="1302"/>
      <c r="Y46" s="3636"/>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30" t="str">
        <f>A47</f>
        <v>成交单价（元/平方米）</v>
      </c>
      <c r="Q47" s="3630"/>
      <c r="R47" s="3631">
        <f>E47</f>
        <v>0</v>
      </c>
      <c r="S47" s="3631"/>
      <c r="T47" s="3631">
        <f>G47</f>
        <v>0</v>
      </c>
      <c r="U47" s="3631"/>
      <c r="V47" s="3631">
        <f>I47</f>
        <v>0</v>
      </c>
      <c r="W47" s="3631"/>
      <c r="X47" s="799"/>
      <c r="Y47" s="1314"/>
      <c r="Z47" s="799"/>
      <c r="AA47" s="799"/>
      <c r="AB47" s="799"/>
      <c r="AC47" s="799"/>
    </row>
    <row r="48" spans="1:29" ht="15.75" thickBot="1">
      <c r="A48" s="564" t="s">
        <v>2042</v>
      </c>
      <c r="B48" s="812"/>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30" t="str">
        <f>A48</f>
        <v>比较价格（元/平方米）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627" t="str">
        <f>A49</f>
        <v>估价对象XX用房的比较价格（楼面单价，元/平方米）</v>
      </c>
      <c r="Q49" s="3628"/>
      <c r="R49" s="3629" t="e">
        <f>IF(F1="售价",ROUND(IF(D48="简单平均",AVERAGE(R48:V48),R48*F48+T48*H48+V48*J48),0),ROUND(IF(D48="简单平均",AVERAGE(R48:V48),R48*F48+T48*H48+V48*J48),1))</f>
        <v>#DIV/0!</v>
      </c>
      <c r="S49" s="3629"/>
      <c r="T49" s="3629"/>
      <c r="U49" s="3629"/>
      <c r="V49" s="3629"/>
      <c r="W49" s="362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40" t="s">
        <v>471</v>
      </c>
      <c r="D4" s="3641"/>
      <c r="E4" s="3642" t="s">
        <v>472</v>
      </c>
      <c r="F4" s="3643"/>
      <c r="G4" s="3640" t="s">
        <v>473</v>
      </c>
      <c r="H4" s="3641"/>
      <c r="I4" s="3640" t="s">
        <v>474</v>
      </c>
      <c r="J4" s="3641"/>
      <c r="K4" s="465" t="s">
        <v>475</v>
      </c>
      <c r="L4" s="1741"/>
      <c r="M4" s="1742"/>
      <c r="N4" s="1742"/>
      <c r="O4" s="1742"/>
      <c r="P4" s="3751" t="s">
        <v>476</v>
      </c>
      <c r="Q4" s="3645"/>
      <c r="R4" s="3650" t="s">
        <v>472</v>
      </c>
      <c r="S4" s="3651"/>
      <c r="T4" s="3650" t="s">
        <v>473</v>
      </c>
      <c r="U4" s="3651"/>
      <c r="V4" s="3631" t="s">
        <v>474</v>
      </c>
      <c r="W4" s="3631"/>
      <c r="X4" s="1302"/>
      <c r="Y4" s="3650" t="s">
        <v>476</v>
      </c>
      <c r="Z4" s="3651"/>
      <c r="AA4" s="3637" t="s">
        <v>472</v>
      </c>
      <c r="AB4" s="3637" t="s">
        <v>473</v>
      </c>
      <c r="AC4" s="3637" t="s">
        <v>474</v>
      </c>
    </row>
    <row r="5" spans="1:29" ht="15">
      <c r="A5" s="466"/>
      <c r="B5" s="467"/>
      <c r="C5" s="3658" t="s">
        <v>2192</v>
      </c>
      <c r="D5" s="3659"/>
      <c r="E5" s="3666" t="s">
        <v>2193</v>
      </c>
      <c r="F5" s="3667"/>
      <c r="G5" s="3658" t="s">
        <v>2194</v>
      </c>
      <c r="H5" s="3659"/>
      <c r="I5" s="3658" t="s">
        <v>2195</v>
      </c>
      <c r="J5" s="3659"/>
      <c r="K5" s="465"/>
      <c r="L5" s="1741"/>
      <c r="M5" s="1742"/>
      <c r="N5" s="1742"/>
      <c r="O5" s="1742"/>
      <c r="P5" s="3752"/>
      <c r="Q5" s="3647"/>
      <c r="R5" s="3652"/>
      <c r="S5" s="3653"/>
      <c r="T5" s="3652"/>
      <c r="U5" s="3653"/>
      <c r="V5" s="3631"/>
      <c r="W5" s="3631"/>
      <c r="X5" s="1302"/>
      <c r="Y5" s="3652"/>
      <c r="Z5" s="3653"/>
      <c r="AA5" s="3638"/>
      <c r="AB5" s="3638"/>
      <c r="AC5" s="3638"/>
    </row>
    <row r="6" spans="1:29" ht="15.75" thickBot="1">
      <c r="A6" s="468"/>
      <c r="B6" s="469"/>
      <c r="C6" s="3656" t="s">
        <v>2196</v>
      </c>
      <c r="D6" s="3657"/>
      <c r="E6" s="3664" t="s">
        <v>2196</v>
      </c>
      <c r="F6" s="3665"/>
      <c r="G6" s="3656" t="s">
        <v>2196</v>
      </c>
      <c r="H6" s="3657"/>
      <c r="I6" s="3656" t="s">
        <v>2196</v>
      </c>
      <c r="J6" s="3657"/>
      <c r="K6" s="465" t="s">
        <v>477</v>
      </c>
      <c r="L6" s="1741"/>
      <c r="M6" s="1742"/>
      <c r="N6" s="1742"/>
      <c r="O6" s="1742"/>
      <c r="P6" s="3753"/>
      <c r="Q6" s="3649"/>
      <c r="R6" s="3652"/>
      <c r="S6" s="3653"/>
      <c r="T6" s="3654"/>
      <c r="U6" s="3655"/>
      <c r="V6" s="3631"/>
      <c r="W6" s="3631"/>
      <c r="X6" s="1302"/>
      <c r="Y6" s="3654"/>
      <c r="Z6" s="3655"/>
      <c r="AA6" s="3639"/>
      <c r="AB6" s="3639"/>
      <c r="AC6" s="3639"/>
    </row>
    <row r="7" spans="1:29" s="1059" customFormat="1" ht="15.75" thickBot="1">
      <c r="A7" s="2209"/>
      <c r="B7" s="2216" t="s">
        <v>478</v>
      </c>
      <c r="C7" s="470">
        <f>'数据-取费表'!B2</f>
        <v>45637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62" t="s">
        <v>479</v>
      </c>
      <c r="Q7" s="3662"/>
      <c r="R7" s="1303" t="s">
        <v>5</v>
      </c>
      <c r="S7" s="1304">
        <f t="shared" ref="S7:S15" si="0">F7</f>
        <v>0</v>
      </c>
      <c r="T7" s="1303" t="s">
        <v>5</v>
      </c>
      <c r="U7" s="1304">
        <f t="shared" ref="U7:U15" si="1">H7</f>
        <v>0</v>
      </c>
      <c r="V7" s="1303" t="s">
        <v>5</v>
      </c>
      <c r="W7" s="1304">
        <f t="shared" ref="W7:W15" si="2">J7</f>
        <v>0</v>
      </c>
      <c r="X7" s="1305"/>
      <c r="Y7" s="3660" t="s">
        <v>479</v>
      </c>
      <c r="Z7" s="3661"/>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62" t="s">
        <v>482</v>
      </c>
      <c r="Q8" s="3661"/>
      <c r="R8" s="1303" t="s">
        <v>5</v>
      </c>
      <c r="S8" s="1304">
        <f t="shared" si="0"/>
        <v>0</v>
      </c>
      <c r="T8" s="1303" t="s">
        <v>5</v>
      </c>
      <c r="U8" s="1304">
        <f t="shared" si="1"/>
        <v>0</v>
      </c>
      <c r="V8" s="1303" t="s">
        <v>5</v>
      </c>
      <c r="W8" s="1304">
        <f t="shared" si="2"/>
        <v>0</v>
      </c>
      <c r="X8" s="1305"/>
      <c r="Y8" s="3660" t="s">
        <v>482</v>
      </c>
      <c r="Z8" s="3661"/>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30"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30"/>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30"/>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30"/>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30"/>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32" t="s">
        <v>489</v>
      </c>
      <c r="Q15" s="1306" t="str">
        <f t="shared" si="6"/>
        <v>办公集聚程度</v>
      </c>
      <c r="R15" s="1307" t="s">
        <v>5</v>
      </c>
      <c r="S15" s="1308">
        <f t="shared" si="0"/>
        <v>100</v>
      </c>
      <c r="T15" s="1307" t="s">
        <v>5</v>
      </c>
      <c r="U15" s="1308">
        <f t="shared" si="1"/>
        <v>100</v>
      </c>
      <c r="V15" s="1307" t="s">
        <v>5</v>
      </c>
      <c r="W15" s="1308">
        <f t="shared" si="2"/>
        <v>100</v>
      </c>
      <c r="X15" s="1302"/>
      <c r="Y15" s="363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33"/>
      <c r="Q16" s="1306"/>
      <c r="R16" s="1307"/>
      <c r="S16" s="1308"/>
      <c r="T16" s="1307"/>
      <c r="U16" s="1308"/>
      <c r="V16" s="1307"/>
      <c r="W16" s="1308"/>
      <c r="X16" s="1302"/>
      <c r="Y16" s="3633"/>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33"/>
      <c r="Q18" s="1306"/>
      <c r="R18" s="1307"/>
      <c r="S18" s="1308"/>
      <c r="T18" s="1307"/>
      <c r="U18" s="1308"/>
      <c r="V18" s="1307"/>
      <c r="W18" s="1308"/>
      <c r="X18" s="1302"/>
      <c r="Y18" s="3633"/>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33"/>
      <c r="Q20" s="1306"/>
      <c r="R20" s="1307"/>
      <c r="S20" s="1308"/>
      <c r="T20" s="1307"/>
      <c r="U20" s="1308"/>
      <c r="V20" s="1307"/>
      <c r="W20" s="1308"/>
      <c r="X20" s="1302"/>
      <c r="Y20" s="3633"/>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3"/>
      <c r="Q22" s="1306"/>
      <c r="R22" s="1307"/>
      <c r="S22" s="1308"/>
      <c r="T22" s="1307"/>
      <c r="U22" s="1308"/>
      <c r="V22" s="1307"/>
      <c r="W22" s="1308"/>
      <c r="X22" s="1302"/>
      <c r="Y22" s="3633"/>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33"/>
      <c r="Q24" s="1306"/>
      <c r="R24" s="1307"/>
      <c r="S24" s="1308"/>
      <c r="T24" s="1307"/>
      <c r="U24" s="1308"/>
      <c r="V24" s="1307"/>
      <c r="W24" s="1308"/>
      <c r="X24" s="1302"/>
      <c r="Y24" s="3633"/>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33"/>
      <c r="Q25" s="1306" t="str">
        <f>B25</f>
        <v>毗邻道路的类型与等级</v>
      </c>
      <c r="R25" s="1307" t="s">
        <v>5</v>
      </c>
      <c r="S25" s="1308">
        <f>F25</f>
        <v>100</v>
      </c>
      <c r="T25" s="1307" t="s">
        <v>5</v>
      </c>
      <c r="U25" s="1308">
        <f>H25</f>
        <v>100</v>
      </c>
      <c r="V25" s="1307" t="s">
        <v>5</v>
      </c>
      <c r="W25" s="1308">
        <f>J25</f>
        <v>100</v>
      </c>
      <c r="X25" s="1302"/>
      <c r="Y25" s="363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33"/>
      <c r="Q26" s="1306"/>
      <c r="R26" s="1307"/>
      <c r="S26" s="1308"/>
      <c r="T26" s="1307"/>
      <c r="U26" s="1308"/>
      <c r="V26" s="1307"/>
      <c r="W26" s="1308"/>
      <c r="X26" s="1302"/>
      <c r="Y26" s="363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3"/>
      <c r="Q27" s="1306" t="str">
        <f t="shared" ref="Q27:Q47" si="8">B27</f>
        <v>楼层</v>
      </c>
      <c r="R27" s="1307" t="s">
        <v>5</v>
      </c>
      <c r="S27" s="1308">
        <f>F27</f>
        <v>100</v>
      </c>
      <c r="T27" s="1307" t="s">
        <v>5</v>
      </c>
      <c r="U27" s="1308">
        <f>H27</f>
        <v>100</v>
      </c>
      <c r="V27" s="1307" t="s">
        <v>5</v>
      </c>
      <c r="W27" s="1308">
        <f>J27</f>
        <v>100</v>
      </c>
      <c r="X27" s="1302"/>
      <c r="Y27" s="3633"/>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33"/>
      <c r="Q28" s="817" t="str">
        <f t="shared" si="8"/>
        <v>朝向</v>
      </c>
      <c r="R28" s="1303" t="s">
        <v>5</v>
      </c>
      <c r="S28" s="1304">
        <f>F28</f>
        <v>100</v>
      </c>
      <c r="T28" s="1303" t="s">
        <v>5</v>
      </c>
      <c r="U28" s="1304">
        <f>H28</f>
        <v>100</v>
      </c>
      <c r="V28" s="1303" t="s">
        <v>5</v>
      </c>
      <c r="W28" s="1304">
        <f>J28</f>
        <v>100</v>
      </c>
      <c r="X28" s="1305"/>
      <c r="Y28" s="3633"/>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33"/>
      <c r="Q29" s="1306">
        <f t="shared" si="8"/>
        <v>111</v>
      </c>
      <c r="R29" s="1307" t="s">
        <v>5</v>
      </c>
      <c r="S29" s="1308">
        <f t="shared" ref="S29:S47" si="9">F29</f>
        <v>100</v>
      </c>
      <c r="T29" s="1307" t="s">
        <v>5</v>
      </c>
      <c r="U29" s="1308">
        <f t="shared" ref="U29:U47" si="10">H29</f>
        <v>100</v>
      </c>
      <c r="V29" s="1307" t="s">
        <v>5</v>
      </c>
      <c r="W29" s="1308">
        <f t="shared" ref="W29:W47" si="11">J29</f>
        <v>100</v>
      </c>
      <c r="X29" s="1302"/>
      <c r="Y29" s="3633"/>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33"/>
      <c r="Q32" s="1306">
        <f t="shared" si="8"/>
        <v>111</v>
      </c>
      <c r="R32" s="1307" t="s">
        <v>5</v>
      </c>
      <c r="S32" s="1308">
        <f t="shared" si="9"/>
        <v>100</v>
      </c>
      <c r="T32" s="1307" t="s">
        <v>5</v>
      </c>
      <c r="U32" s="1308">
        <f t="shared" si="10"/>
        <v>100</v>
      </c>
      <c r="V32" s="1307" t="s">
        <v>5</v>
      </c>
      <c r="W32" s="1308">
        <f t="shared" si="11"/>
        <v>100</v>
      </c>
      <c r="X32" s="1302"/>
      <c r="Y32" s="363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4" t="s">
        <v>499</v>
      </c>
      <c r="Q33" s="1306" t="str">
        <f t="shared" si="8"/>
        <v>建筑类型</v>
      </c>
      <c r="R33" s="1307" t="s">
        <v>5</v>
      </c>
      <c r="S33" s="1308">
        <f t="shared" si="9"/>
        <v>100</v>
      </c>
      <c r="T33" s="1307" t="s">
        <v>5</v>
      </c>
      <c r="U33" s="1308">
        <f t="shared" si="10"/>
        <v>100</v>
      </c>
      <c r="V33" s="1307" t="s">
        <v>5</v>
      </c>
      <c r="W33" s="1308">
        <f t="shared" si="11"/>
        <v>100</v>
      </c>
      <c r="X33" s="1302"/>
      <c r="Y33" s="3635"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5"/>
      <c r="Q34" s="818" t="str">
        <f t="shared" si="8"/>
        <v>项目建筑规模</v>
      </c>
      <c r="R34" s="1310" t="s">
        <v>5</v>
      </c>
      <c r="S34" s="1311" t="e">
        <f t="shared" si="9"/>
        <v>#N/A</v>
      </c>
      <c r="T34" s="1310" t="s">
        <v>5</v>
      </c>
      <c r="U34" s="1311" t="e">
        <f t="shared" si="10"/>
        <v>#N/A</v>
      </c>
      <c r="V34" s="1310" t="s">
        <v>5</v>
      </c>
      <c r="W34" s="1311" t="e">
        <f t="shared" si="11"/>
        <v>#N/A</v>
      </c>
      <c r="X34" s="1312"/>
      <c r="Y34" s="363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5"/>
      <c r="Q35" s="1306" t="str">
        <f t="shared" si="8"/>
        <v>建筑结构</v>
      </c>
      <c r="R35" s="1307" t="s">
        <v>5</v>
      </c>
      <c r="S35" s="1308">
        <f t="shared" si="9"/>
        <v>100</v>
      </c>
      <c r="T35" s="1307" t="s">
        <v>5</v>
      </c>
      <c r="U35" s="1308">
        <f t="shared" si="10"/>
        <v>100</v>
      </c>
      <c r="V35" s="1307" t="s">
        <v>5</v>
      </c>
      <c r="W35" s="1308">
        <f t="shared" si="11"/>
        <v>100</v>
      </c>
      <c r="X35" s="1302"/>
      <c r="Y35" s="363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5"/>
      <c r="Q36" s="1306" t="str">
        <f t="shared" si="8"/>
        <v>公共部分装修</v>
      </c>
      <c r="R36" s="1307" t="s">
        <v>5</v>
      </c>
      <c r="S36" s="1308">
        <f t="shared" si="9"/>
        <v>100</v>
      </c>
      <c r="T36" s="1307" t="s">
        <v>5</v>
      </c>
      <c r="U36" s="1308">
        <f t="shared" si="10"/>
        <v>100</v>
      </c>
      <c r="V36" s="1307" t="s">
        <v>5</v>
      </c>
      <c r="W36" s="1308">
        <f t="shared" si="11"/>
        <v>100</v>
      </c>
      <c r="X36" s="1302"/>
      <c r="Y36" s="3635"/>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5"/>
      <c r="Q37" s="1306" t="str">
        <f t="shared" si="8"/>
        <v>成新度</v>
      </c>
      <c r="R37" s="1307" t="s">
        <v>5</v>
      </c>
      <c r="S37" s="1308" t="e">
        <f t="shared" si="9"/>
        <v>#N/A</v>
      </c>
      <c r="T37" s="1307" t="s">
        <v>5</v>
      </c>
      <c r="U37" s="1308" t="e">
        <f t="shared" si="10"/>
        <v>#N/A</v>
      </c>
      <c r="V37" s="1307" t="s">
        <v>5</v>
      </c>
      <c r="W37" s="1308" t="e">
        <f t="shared" si="11"/>
        <v>#N/A</v>
      </c>
      <c r="X37" s="1302"/>
      <c r="Y37" s="3635"/>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5"/>
      <c r="Q38" s="817" t="str">
        <f t="shared" si="8"/>
        <v>写字楼等级</v>
      </c>
      <c r="R38" s="1303" t="s">
        <v>5</v>
      </c>
      <c r="S38" s="1304">
        <f t="shared" si="9"/>
        <v>100</v>
      </c>
      <c r="T38" s="1303" t="s">
        <v>5</v>
      </c>
      <c r="U38" s="1304">
        <f t="shared" si="10"/>
        <v>100</v>
      </c>
      <c r="V38" s="1303" t="s">
        <v>5</v>
      </c>
      <c r="W38" s="1304">
        <f t="shared" si="11"/>
        <v>100</v>
      </c>
      <c r="X38" s="1305"/>
      <c r="Y38" s="3635"/>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5" t="s">
        <v>499</v>
      </c>
      <c r="Q39" s="1306" t="str">
        <f t="shared" si="8"/>
        <v>物业管理</v>
      </c>
      <c r="R39" s="1307" t="s">
        <v>5</v>
      </c>
      <c r="S39" s="1308">
        <f t="shared" si="9"/>
        <v>100</v>
      </c>
      <c r="T39" s="1307" t="s">
        <v>5</v>
      </c>
      <c r="U39" s="1308">
        <f t="shared" si="10"/>
        <v>100</v>
      </c>
      <c r="V39" s="1307" t="s">
        <v>5</v>
      </c>
      <c r="W39" s="1308">
        <f t="shared" si="11"/>
        <v>100</v>
      </c>
      <c r="X39" s="1302"/>
      <c r="Y39" s="363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5"/>
      <c r="Q40" s="1306" t="str">
        <f t="shared" si="8"/>
        <v>市政基础设施</v>
      </c>
      <c r="R40" s="1307" t="s">
        <v>5</v>
      </c>
      <c r="S40" s="1308">
        <f t="shared" si="9"/>
        <v>100</v>
      </c>
      <c r="T40" s="1307" t="s">
        <v>5</v>
      </c>
      <c r="U40" s="1308">
        <f t="shared" si="10"/>
        <v>100</v>
      </c>
      <c r="V40" s="1307" t="s">
        <v>5</v>
      </c>
      <c r="W40" s="1308">
        <f t="shared" si="11"/>
        <v>100</v>
      </c>
      <c r="X40" s="1302"/>
      <c r="Y40" s="363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5"/>
      <c r="Q41" s="1306" t="str">
        <f t="shared" si="8"/>
        <v>层高</v>
      </c>
      <c r="R41" s="1307" t="s">
        <v>5</v>
      </c>
      <c r="S41" s="1308">
        <f t="shared" si="9"/>
        <v>100</v>
      </c>
      <c r="T41" s="1307" t="s">
        <v>5</v>
      </c>
      <c r="U41" s="1308">
        <f t="shared" si="10"/>
        <v>100</v>
      </c>
      <c r="V41" s="1307" t="s">
        <v>5</v>
      </c>
      <c r="W41" s="1308">
        <f t="shared" si="11"/>
        <v>100</v>
      </c>
      <c r="X41" s="1302"/>
      <c r="Y41" s="3635"/>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5"/>
      <c r="Q42" s="818" t="str">
        <f t="shared" si="8"/>
        <v>单套建筑面积</v>
      </c>
      <c r="R42" s="1310" t="s">
        <v>5</v>
      </c>
      <c r="S42" s="1311">
        <f t="shared" si="9"/>
        <v>100</v>
      </c>
      <c r="T42" s="1310" t="s">
        <v>5</v>
      </c>
      <c r="U42" s="1311">
        <f t="shared" si="10"/>
        <v>100</v>
      </c>
      <c r="V42" s="1310" t="s">
        <v>5</v>
      </c>
      <c r="W42" s="1311">
        <f t="shared" si="11"/>
        <v>100</v>
      </c>
      <c r="X42" s="1312"/>
      <c r="Y42" s="363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5"/>
      <c r="Q43" s="1306" t="str">
        <f t="shared" si="8"/>
        <v>内部装修</v>
      </c>
      <c r="R43" s="1307" t="s">
        <v>5</v>
      </c>
      <c r="S43" s="1308">
        <f t="shared" si="9"/>
        <v>100</v>
      </c>
      <c r="T43" s="1307" t="s">
        <v>5</v>
      </c>
      <c r="U43" s="1308">
        <f t="shared" si="10"/>
        <v>100</v>
      </c>
      <c r="V43" s="1307" t="s">
        <v>5</v>
      </c>
      <c r="W43" s="1308">
        <f t="shared" si="11"/>
        <v>100</v>
      </c>
      <c r="X43" s="1302"/>
      <c r="Y43" s="3635"/>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5"/>
      <c r="Q44" s="1306" t="str">
        <f t="shared" si="8"/>
        <v>内部装修维护情况</v>
      </c>
      <c r="R44" s="1307" t="s">
        <v>5</v>
      </c>
      <c r="S44" s="1308">
        <f t="shared" si="9"/>
        <v>100</v>
      </c>
      <c r="T44" s="1307" t="s">
        <v>5</v>
      </c>
      <c r="U44" s="1308">
        <f t="shared" si="10"/>
        <v>100</v>
      </c>
      <c r="V44" s="1307" t="s">
        <v>5</v>
      </c>
      <c r="W44" s="1308">
        <f t="shared" si="11"/>
        <v>100</v>
      </c>
      <c r="X44" s="1302"/>
      <c r="Y44" s="3635"/>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5"/>
      <c r="Q45" s="817">
        <f t="shared" si="8"/>
        <v>111</v>
      </c>
      <c r="R45" s="1303" t="s">
        <v>5</v>
      </c>
      <c r="S45" s="1304">
        <f t="shared" si="9"/>
        <v>100</v>
      </c>
      <c r="T45" s="1303" t="s">
        <v>5</v>
      </c>
      <c r="U45" s="1304">
        <f t="shared" si="10"/>
        <v>100</v>
      </c>
      <c r="V45" s="1303" t="s">
        <v>5</v>
      </c>
      <c r="W45" s="1304">
        <f t="shared" si="11"/>
        <v>100</v>
      </c>
      <c r="X45" s="1305"/>
      <c r="Y45" s="3635"/>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5"/>
      <c r="Q46" s="1306">
        <f t="shared" si="8"/>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36"/>
      <c r="Q47" s="1306">
        <f t="shared" si="8"/>
        <v>111</v>
      </c>
      <c r="R47" s="1307" t="s">
        <v>5</v>
      </c>
      <c r="S47" s="1308">
        <f t="shared" si="9"/>
        <v>100</v>
      </c>
      <c r="T47" s="1307" t="s">
        <v>5</v>
      </c>
      <c r="U47" s="1308">
        <f t="shared" si="10"/>
        <v>100</v>
      </c>
      <c r="V47" s="1307" t="s">
        <v>5</v>
      </c>
      <c r="W47" s="1308">
        <f t="shared" si="11"/>
        <v>100</v>
      </c>
      <c r="X47" s="1302"/>
      <c r="Y47" s="3636"/>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28" t="str">
        <f>A48</f>
        <v>成交单价（元/平方米）</v>
      </c>
      <c r="Q48" s="3630"/>
      <c r="R48" s="3631">
        <f>E48</f>
        <v>0</v>
      </c>
      <c r="S48" s="3631"/>
      <c r="T48" s="3631">
        <f>G48</f>
        <v>0</v>
      </c>
      <c r="U48" s="3631"/>
      <c r="V48" s="3631">
        <f>I48</f>
        <v>0</v>
      </c>
      <c r="W48" s="3631"/>
      <c r="X48" s="799"/>
      <c r="Y48" s="1314"/>
      <c r="Z48" s="799"/>
      <c r="AA48" s="799"/>
      <c r="AB48" s="799"/>
      <c r="AC48" s="799"/>
    </row>
    <row r="49" spans="1:29" ht="15.75" thickBot="1">
      <c r="A49" s="564" t="s">
        <v>2042</v>
      </c>
      <c r="B49" s="812"/>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28" t="str">
        <f>A49</f>
        <v>比较价格（元/平方米）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750" t="str">
        <f>A50</f>
        <v>估价对象XX用房的比较价格（楼面单价，元/平方米）</v>
      </c>
      <c r="Q50" s="3628"/>
      <c r="R50" s="3629" t="e">
        <f>IF(F1="售价",ROUND(IF(D49="简单平均",AVERAGE(R49:V49),R49*F49+T49*H49+V49*J49),0),ROUND(IF(D49="简单平均",AVERAGE(R49:V49),R49*F49+T49*H49+V49*J49),1))</f>
        <v>#DIV/0!</v>
      </c>
      <c r="S50" s="3629"/>
      <c r="T50" s="3629"/>
      <c r="U50" s="3629"/>
      <c r="V50" s="3629"/>
      <c r="W50" s="3629"/>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2024-12</v>
      </c>
      <c r="D59" s="2115">
        <f>EDATE(C59,-1)</f>
        <v>45597</v>
      </c>
      <c r="E59" s="2115">
        <f t="shared" ref="E59:O59" si="13">EDATE(D59,-1)</f>
        <v>45566</v>
      </c>
      <c r="F59" s="2115">
        <f t="shared" si="13"/>
        <v>45536</v>
      </c>
      <c r="G59" s="2115">
        <f t="shared" si="13"/>
        <v>45505</v>
      </c>
      <c r="H59" s="2115">
        <f t="shared" si="13"/>
        <v>45474</v>
      </c>
      <c r="I59" s="2115">
        <f t="shared" si="13"/>
        <v>45444</v>
      </c>
      <c r="J59" s="2115">
        <f t="shared" si="13"/>
        <v>45413</v>
      </c>
      <c r="K59" s="2115">
        <f t="shared" si="13"/>
        <v>45383</v>
      </c>
      <c r="L59" s="2115">
        <f t="shared" si="13"/>
        <v>45352</v>
      </c>
      <c r="M59" s="2115">
        <f t="shared" si="13"/>
        <v>45323</v>
      </c>
      <c r="N59" s="2115">
        <f t="shared" si="13"/>
        <v>45292</v>
      </c>
      <c r="O59" s="2115">
        <f t="shared" si="13"/>
        <v>45261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E9 G9 I9" xr:uid="{00000000-0002-0000-2900-000006000000}">
      <formula1>办公用途</formula1>
    </dataValidation>
    <dataValidation type="list" allowBlank="1" showInputMessage="1" showErrorMessage="1" sqref="C16 E16 G16 I16" xr:uid="{00000000-0002-0000-2900-000007000000}">
      <formula1>办公集聚程度</formula1>
    </dataValidation>
    <dataValidation type="list" allowBlank="1" showInputMessage="1" showErrorMessage="1" sqref="G26 C26 E26 I26" xr:uid="{00000000-0002-0000-2900-000008000000}">
      <formula1>办公道路级别</formula1>
    </dataValidation>
    <dataValidation type="list" allowBlank="1" showInputMessage="1" showErrorMessage="1" sqref="C28 E28 G28 I28" xr:uid="{00000000-0002-0000-2900-000009000000}">
      <formula1>办公朝向</formula1>
    </dataValidation>
    <dataValidation type="list" allowBlank="1" showInputMessage="1" showErrorMessage="1" sqref="C27 E27 G27 I27" xr:uid="{00000000-0002-0000-2900-00000A000000}">
      <formula1>办公楼层</formula1>
    </dataValidation>
    <dataValidation type="list" allowBlank="1" showInputMessage="1" showErrorMessage="1" sqref="C33 E33 G33 I33" xr:uid="{00000000-0002-0000-2900-00000B000000}">
      <formula1>办公建筑类型</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8 E38 G38 I38" xr:uid="{00000000-0002-0000-2900-00000D000000}">
      <formula1>写字楼等级</formula1>
    </dataValidation>
    <dataValidation type="list" allowBlank="1" showInputMessage="1" showErrorMessage="1" sqref="C39 E39 G39 I39" xr:uid="{00000000-0002-0000-2900-00000E000000}">
      <formula1>办公物业管理</formula1>
    </dataValidation>
    <dataValidation type="list" allowBlank="1" showInputMessage="1" showErrorMessage="1" sqref="C40 E40 G40 I40" xr:uid="{00000000-0002-0000-2900-00000F000000}">
      <formula1>办公基础设施水平</formula1>
    </dataValidation>
    <dataValidation type="list" allowBlank="1" showInputMessage="1" showErrorMessage="1" sqref="C41 E41 G41 I41" xr:uid="{00000000-0002-0000-2900-000010000000}">
      <formula1>办公层高</formula1>
    </dataValidation>
    <dataValidation type="list" allowBlank="1" showInputMessage="1" showErrorMessage="1" sqref="C43 E43 G43 I43" xr:uid="{00000000-0002-0000-2900-000011000000}">
      <formula1>办公内部装修</formula1>
    </dataValidation>
    <dataValidation type="list" allowBlank="1" showInputMessage="1" showErrorMessage="1" sqref="C8 E8 G8 I8" xr:uid="{00000000-0002-0000-2900-000012000000}">
      <formula1>办公交易情况</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9"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40" t="s">
        <v>471</v>
      </c>
      <c r="D4" s="3641"/>
      <c r="E4" s="3642" t="s">
        <v>472</v>
      </c>
      <c r="F4" s="3643"/>
      <c r="G4" s="3640" t="s">
        <v>473</v>
      </c>
      <c r="H4" s="3641"/>
      <c r="I4" s="3640" t="s">
        <v>474</v>
      </c>
      <c r="J4" s="3641"/>
      <c r="K4" s="465" t="s">
        <v>475</v>
      </c>
      <c r="L4" s="1741"/>
      <c r="M4" s="1742"/>
      <c r="N4" s="1742"/>
      <c r="O4" s="1742"/>
      <c r="P4" s="3644" t="s">
        <v>476</v>
      </c>
      <c r="Q4" s="3645"/>
      <c r="R4" s="3650" t="s">
        <v>472</v>
      </c>
      <c r="S4" s="3651"/>
      <c r="T4" s="3650" t="s">
        <v>473</v>
      </c>
      <c r="U4" s="3651"/>
      <c r="V4" s="3631" t="s">
        <v>474</v>
      </c>
      <c r="W4" s="3631"/>
      <c r="X4" s="1302"/>
      <c r="Y4" s="3650" t="s">
        <v>476</v>
      </c>
      <c r="Z4" s="3651"/>
      <c r="AA4" s="3637" t="s">
        <v>472</v>
      </c>
      <c r="AB4" s="3638" t="s">
        <v>473</v>
      </c>
      <c r="AC4" s="3637" t="s">
        <v>474</v>
      </c>
    </row>
    <row r="5" spans="1:29" ht="15">
      <c r="A5" s="466"/>
      <c r="B5" s="467"/>
      <c r="C5" s="3658" t="s">
        <v>2192</v>
      </c>
      <c r="D5" s="3659"/>
      <c r="E5" s="3666" t="s">
        <v>2193</v>
      </c>
      <c r="F5" s="3667"/>
      <c r="G5" s="3658" t="s">
        <v>2194</v>
      </c>
      <c r="H5" s="3659"/>
      <c r="I5" s="3658" t="s">
        <v>2195</v>
      </c>
      <c r="J5" s="3659"/>
      <c r="K5" s="465"/>
      <c r="L5" s="1741"/>
      <c r="M5" s="1742"/>
      <c r="N5" s="1742"/>
      <c r="O5" s="1742"/>
      <c r="P5" s="3646"/>
      <c r="Q5" s="3647"/>
      <c r="R5" s="3652"/>
      <c r="S5" s="3653"/>
      <c r="T5" s="3652"/>
      <c r="U5" s="3653"/>
      <c r="V5" s="3631"/>
      <c r="W5" s="3631"/>
      <c r="X5" s="1302"/>
      <c r="Y5" s="3652"/>
      <c r="Z5" s="3653"/>
      <c r="AA5" s="3638"/>
      <c r="AB5" s="3638"/>
      <c r="AC5" s="3638"/>
    </row>
    <row r="6" spans="1:29" ht="15.75" thickBot="1">
      <c r="A6" s="468"/>
      <c r="B6" s="469"/>
      <c r="C6" s="3656" t="s">
        <v>2196</v>
      </c>
      <c r="D6" s="3657"/>
      <c r="E6" s="3664" t="s">
        <v>2196</v>
      </c>
      <c r="F6" s="3665"/>
      <c r="G6" s="3656" t="s">
        <v>2196</v>
      </c>
      <c r="H6" s="3657"/>
      <c r="I6" s="3656" t="s">
        <v>2196</v>
      </c>
      <c r="J6" s="3657"/>
      <c r="K6" s="465" t="s">
        <v>477</v>
      </c>
      <c r="L6" s="1741"/>
      <c r="M6" s="1742"/>
      <c r="N6" s="1742"/>
      <c r="O6" s="1742"/>
      <c r="P6" s="3648"/>
      <c r="Q6" s="3649"/>
      <c r="R6" s="3652"/>
      <c r="S6" s="3653"/>
      <c r="T6" s="3654"/>
      <c r="U6" s="3655"/>
      <c r="V6" s="3631"/>
      <c r="W6" s="3631"/>
      <c r="X6" s="1302"/>
      <c r="Y6" s="3654"/>
      <c r="Z6" s="3655"/>
      <c r="AA6" s="3639"/>
      <c r="AB6" s="3639"/>
      <c r="AC6" s="3639"/>
    </row>
    <row r="7" spans="1:29" s="1059" customFormat="1" ht="15.75" thickBot="1">
      <c r="A7" s="2209"/>
      <c r="B7" s="2216" t="s">
        <v>478</v>
      </c>
      <c r="C7" s="470">
        <f>'数据-取费表'!B2</f>
        <v>45637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60" t="s">
        <v>479</v>
      </c>
      <c r="Q7" s="3662"/>
      <c r="R7" s="1303" t="s">
        <v>5</v>
      </c>
      <c r="S7" s="1304">
        <f t="shared" ref="S7:S15" si="0">F7</f>
        <v>0</v>
      </c>
      <c r="T7" s="1303" t="s">
        <v>5</v>
      </c>
      <c r="U7" s="1304">
        <f t="shared" ref="U7:U15" si="1">H7</f>
        <v>0</v>
      </c>
      <c r="V7" s="1303" t="s">
        <v>5</v>
      </c>
      <c r="W7" s="1304">
        <f t="shared" ref="W7:W15" si="2">J7</f>
        <v>0</v>
      </c>
      <c r="X7" s="1305"/>
      <c r="Y7" s="3660" t="s">
        <v>479</v>
      </c>
      <c r="Z7" s="3661"/>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60" t="s">
        <v>482</v>
      </c>
      <c r="Q8" s="3661"/>
      <c r="R8" s="1303" t="s">
        <v>5</v>
      </c>
      <c r="S8" s="1304">
        <f t="shared" si="0"/>
        <v>0</v>
      </c>
      <c r="T8" s="1303" t="s">
        <v>5</v>
      </c>
      <c r="U8" s="1304">
        <f t="shared" si="1"/>
        <v>0</v>
      </c>
      <c r="V8" s="1303" t="s">
        <v>5</v>
      </c>
      <c r="W8" s="1304">
        <f t="shared" si="2"/>
        <v>0</v>
      </c>
      <c r="X8" s="1305"/>
      <c r="Y8" s="3660" t="s">
        <v>482</v>
      </c>
      <c r="Z8" s="3661"/>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30"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30"/>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30"/>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30"/>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30"/>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57">
      <c r="A15" s="2207" t="s">
        <v>2036</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32" t="s">
        <v>489</v>
      </c>
      <c r="Q15" s="1306" t="str">
        <f t="shared" si="6"/>
        <v>产业集聚程度</v>
      </c>
      <c r="R15" s="1307" t="s">
        <v>5</v>
      </c>
      <c r="S15" s="1308">
        <f t="shared" si="0"/>
        <v>100</v>
      </c>
      <c r="T15" s="1307" t="s">
        <v>5</v>
      </c>
      <c r="U15" s="1308">
        <f t="shared" si="1"/>
        <v>100</v>
      </c>
      <c r="V15" s="1307" t="s">
        <v>5</v>
      </c>
      <c r="W15" s="1308">
        <f t="shared" si="2"/>
        <v>100</v>
      </c>
      <c r="X15" s="1302"/>
      <c r="Y15" s="363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33"/>
      <c r="Q16" s="1306"/>
      <c r="R16" s="1307"/>
      <c r="S16" s="1308"/>
      <c r="T16" s="1307"/>
      <c r="U16" s="1308"/>
      <c r="V16" s="1307"/>
      <c r="W16" s="1308"/>
      <c r="X16" s="1302"/>
      <c r="Y16" s="3633"/>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33"/>
      <c r="Q18" s="1306"/>
      <c r="R18" s="1307"/>
      <c r="S18" s="1308"/>
      <c r="T18" s="1307"/>
      <c r="U18" s="1308"/>
      <c r="V18" s="1307"/>
      <c r="W18" s="1308"/>
      <c r="X18" s="1302"/>
      <c r="Y18" s="3633"/>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33"/>
      <c r="Q20" s="1306"/>
      <c r="R20" s="1307"/>
      <c r="S20" s="1308"/>
      <c r="T20" s="1307"/>
      <c r="U20" s="1308"/>
      <c r="V20" s="1307"/>
      <c r="W20" s="1308"/>
      <c r="X20" s="1302"/>
      <c r="Y20" s="3633"/>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3"/>
      <c r="Q25" s="1306">
        <f>B25</f>
        <v>111</v>
      </c>
      <c r="R25" s="1307" t="s">
        <v>5</v>
      </c>
      <c r="S25" s="1308">
        <f>F25</f>
        <v>100</v>
      </c>
      <c r="T25" s="1307" t="s">
        <v>5</v>
      </c>
      <c r="U25" s="1308">
        <f>H25</f>
        <v>100</v>
      </c>
      <c r="V25" s="1307" t="s">
        <v>5</v>
      </c>
      <c r="W25" s="1308">
        <f>J25</f>
        <v>100</v>
      </c>
      <c r="X25" s="1302"/>
      <c r="Y25" s="363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3"/>
      <c r="Q26" s="1306">
        <f t="shared" ref="Q26:Q40" si="8">B26</f>
        <v>111</v>
      </c>
      <c r="R26" s="1307" t="s">
        <v>5</v>
      </c>
      <c r="S26" s="1308">
        <f>F26</f>
        <v>100</v>
      </c>
      <c r="T26" s="1307" t="s">
        <v>5</v>
      </c>
      <c r="U26" s="1308">
        <f>H26</f>
        <v>100</v>
      </c>
      <c r="V26" s="1307" t="s">
        <v>5</v>
      </c>
      <c r="W26" s="1308">
        <f>J26</f>
        <v>100</v>
      </c>
      <c r="X26" s="1302"/>
      <c r="Y26" s="3633"/>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3"/>
      <c r="Q27" s="817">
        <f t="shared" si="8"/>
        <v>111</v>
      </c>
      <c r="R27" s="1303" t="s">
        <v>5</v>
      </c>
      <c r="S27" s="1304">
        <f>F27</f>
        <v>100</v>
      </c>
      <c r="T27" s="1303" t="s">
        <v>5</v>
      </c>
      <c r="U27" s="1304">
        <f>H27</f>
        <v>100</v>
      </c>
      <c r="V27" s="1303" t="s">
        <v>5</v>
      </c>
      <c r="W27" s="1304">
        <f>J27</f>
        <v>100</v>
      </c>
      <c r="X27" s="1305"/>
      <c r="Y27" s="3633"/>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33"/>
      <c r="Q28" s="1306">
        <f t="shared" si="8"/>
        <v>111</v>
      </c>
      <c r="R28" s="1307" t="s">
        <v>5</v>
      </c>
      <c r="S28" s="1308">
        <f t="shared" ref="S28:S40" si="9">F28</f>
        <v>100</v>
      </c>
      <c r="T28" s="1307" t="s">
        <v>5</v>
      </c>
      <c r="U28" s="1308">
        <f t="shared" ref="U28:U40" si="10">H28</f>
        <v>100</v>
      </c>
      <c r="V28" s="1307" t="s">
        <v>5</v>
      </c>
      <c r="W28" s="1308">
        <f t="shared" ref="W28:W40" si="11">J28</f>
        <v>100</v>
      </c>
      <c r="X28" s="1302"/>
      <c r="Y28" s="363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4" t="s">
        <v>499</v>
      </c>
      <c r="Q29" s="1306" t="str">
        <f t="shared" si="8"/>
        <v>建筑类型</v>
      </c>
      <c r="R29" s="1307" t="s">
        <v>5</v>
      </c>
      <c r="S29" s="1308">
        <f t="shared" si="9"/>
        <v>100</v>
      </c>
      <c r="T29" s="1307" t="s">
        <v>5</v>
      </c>
      <c r="U29" s="1308">
        <f t="shared" si="10"/>
        <v>100</v>
      </c>
      <c r="V29" s="1307" t="s">
        <v>5</v>
      </c>
      <c r="W29" s="1308">
        <f t="shared" si="11"/>
        <v>100</v>
      </c>
      <c r="X29" s="1302"/>
      <c r="Y29" s="3635"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5"/>
      <c r="Q30" s="818" t="str">
        <f t="shared" si="8"/>
        <v>项目建筑规模</v>
      </c>
      <c r="R30" s="1310" t="s">
        <v>5</v>
      </c>
      <c r="S30" s="1311" t="e">
        <f t="shared" si="9"/>
        <v>#N/A</v>
      </c>
      <c r="T30" s="1310" t="s">
        <v>5</v>
      </c>
      <c r="U30" s="1311" t="e">
        <f t="shared" si="10"/>
        <v>#N/A</v>
      </c>
      <c r="V30" s="1310" t="s">
        <v>5</v>
      </c>
      <c r="W30" s="1311" t="e">
        <f t="shared" si="11"/>
        <v>#N/A</v>
      </c>
      <c r="X30" s="1312"/>
      <c r="Y30" s="363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5"/>
      <c r="Q31" s="1306" t="str">
        <f t="shared" si="8"/>
        <v>建筑结构</v>
      </c>
      <c r="R31" s="1307" t="s">
        <v>5</v>
      </c>
      <c r="S31" s="1308">
        <f t="shared" si="9"/>
        <v>100</v>
      </c>
      <c r="T31" s="1307" t="s">
        <v>5</v>
      </c>
      <c r="U31" s="1308">
        <f t="shared" si="10"/>
        <v>100</v>
      </c>
      <c r="V31" s="1307" t="s">
        <v>5</v>
      </c>
      <c r="W31" s="1308">
        <f t="shared" si="11"/>
        <v>100</v>
      </c>
      <c r="X31" s="1302"/>
      <c r="Y31" s="363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5"/>
      <c r="Q32" s="1306" t="str">
        <f t="shared" si="8"/>
        <v>公共部分装修</v>
      </c>
      <c r="R32" s="1307" t="s">
        <v>5</v>
      </c>
      <c r="S32" s="1308">
        <f t="shared" si="9"/>
        <v>100</v>
      </c>
      <c r="T32" s="1307" t="s">
        <v>5</v>
      </c>
      <c r="U32" s="1308">
        <f t="shared" si="10"/>
        <v>100</v>
      </c>
      <c r="V32" s="1307" t="s">
        <v>5</v>
      </c>
      <c r="W32" s="1308">
        <f t="shared" si="11"/>
        <v>100</v>
      </c>
      <c r="X32" s="1302"/>
      <c r="Y32" s="3635"/>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5"/>
      <c r="Q33" s="1306" t="str">
        <f t="shared" si="8"/>
        <v>成新度</v>
      </c>
      <c r="R33" s="1307" t="s">
        <v>5</v>
      </c>
      <c r="S33" s="1308" t="e">
        <f t="shared" si="9"/>
        <v>#N/A</v>
      </c>
      <c r="T33" s="1307" t="s">
        <v>5</v>
      </c>
      <c r="U33" s="1308" t="e">
        <f t="shared" si="10"/>
        <v>#N/A</v>
      </c>
      <c r="V33" s="1307" t="s">
        <v>5</v>
      </c>
      <c r="W33" s="1308" t="e">
        <f t="shared" si="11"/>
        <v>#N/A</v>
      </c>
      <c r="X33" s="1302"/>
      <c r="Y33" s="3635"/>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5"/>
      <c r="Q34" s="817" t="str">
        <f t="shared" si="8"/>
        <v>物业管理</v>
      </c>
      <c r="R34" s="1303" t="s">
        <v>5</v>
      </c>
      <c r="S34" s="1304">
        <f t="shared" si="9"/>
        <v>100</v>
      </c>
      <c r="T34" s="1303" t="s">
        <v>5</v>
      </c>
      <c r="U34" s="1304">
        <f t="shared" si="10"/>
        <v>100</v>
      </c>
      <c r="V34" s="1303" t="s">
        <v>5</v>
      </c>
      <c r="W34" s="1304">
        <f t="shared" si="11"/>
        <v>100</v>
      </c>
      <c r="X34" s="1305"/>
      <c r="Y34" s="3635"/>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5" t="s">
        <v>499</v>
      </c>
      <c r="Q35" s="1306" t="str">
        <f t="shared" si="8"/>
        <v>市政基础设施</v>
      </c>
      <c r="R35" s="1307" t="s">
        <v>5</v>
      </c>
      <c r="S35" s="1308">
        <f t="shared" si="9"/>
        <v>100</v>
      </c>
      <c r="T35" s="1307" t="s">
        <v>5</v>
      </c>
      <c r="U35" s="1308">
        <f t="shared" si="10"/>
        <v>100</v>
      </c>
      <c r="V35" s="1307" t="s">
        <v>5</v>
      </c>
      <c r="W35" s="1308">
        <f t="shared" si="11"/>
        <v>100</v>
      </c>
      <c r="X35" s="1302"/>
      <c r="Y35" s="363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5"/>
      <c r="Q36" s="1306" t="str">
        <f t="shared" si="8"/>
        <v>内部装修</v>
      </c>
      <c r="R36" s="1307" t="s">
        <v>5</v>
      </c>
      <c r="S36" s="1308">
        <f t="shared" si="9"/>
        <v>100</v>
      </c>
      <c r="T36" s="1307" t="s">
        <v>5</v>
      </c>
      <c r="U36" s="1308">
        <f t="shared" si="10"/>
        <v>100</v>
      </c>
      <c r="V36" s="1307" t="s">
        <v>5</v>
      </c>
      <c r="W36" s="1308">
        <f t="shared" si="11"/>
        <v>100</v>
      </c>
      <c r="X36" s="1302"/>
      <c r="Y36" s="363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5"/>
      <c r="Q37" s="1306" t="str">
        <f t="shared" si="8"/>
        <v>内部装修状况</v>
      </c>
      <c r="R37" s="1307" t="s">
        <v>5</v>
      </c>
      <c r="S37" s="1308">
        <f t="shared" si="9"/>
        <v>100</v>
      </c>
      <c r="T37" s="1307" t="s">
        <v>5</v>
      </c>
      <c r="U37" s="1308">
        <f t="shared" si="10"/>
        <v>100</v>
      </c>
      <c r="V37" s="1307" t="s">
        <v>5</v>
      </c>
      <c r="W37" s="1308">
        <f t="shared" si="11"/>
        <v>100</v>
      </c>
      <c r="X37" s="1302"/>
      <c r="Y37" s="3635"/>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5"/>
      <c r="Q38" s="818">
        <f t="shared" si="8"/>
        <v>111</v>
      </c>
      <c r="R38" s="1310" t="s">
        <v>5</v>
      </c>
      <c r="S38" s="1311">
        <f t="shared" si="9"/>
        <v>100</v>
      </c>
      <c r="T38" s="1310" t="s">
        <v>5</v>
      </c>
      <c r="U38" s="1311">
        <f t="shared" si="10"/>
        <v>100</v>
      </c>
      <c r="V38" s="1310" t="s">
        <v>5</v>
      </c>
      <c r="W38" s="1311">
        <f t="shared" si="11"/>
        <v>100</v>
      </c>
      <c r="X38" s="1312"/>
      <c r="Y38" s="3635"/>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5"/>
      <c r="Q39" s="1306">
        <f t="shared" si="8"/>
        <v>111</v>
      </c>
      <c r="R39" s="1307" t="s">
        <v>5</v>
      </c>
      <c r="S39" s="1308">
        <f t="shared" si="9"/>
        <v>100</v>
      </c>
      <c r="T39" s="1307" t="s">
        <v>5</v>
      </c>
      <c r="U39" s="1308">
        <f t="shared" si="10"/>
        <v>100</v>
      </c>
      <c r="V39" s="1307" t="s">
        <v>5</v>
      </c>
      <c r="W39" s="1308">
        <f t="shared" si="11"/>
        <v>100</v>
      </c>
      <c r="X39" s="1302"/>
      <c r="Y39" s="3635"/>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36"/>
      <c r="Q40" s="1306">
        <f t="shared" si="8"/>
        <v>111</v>
      </c>
      <c r="R40" s="1307" t="s">
        <v>5</v>
      </c>
      <c r="S40" s="1308">
        <f t="shared" si="9"/>
        <v>100</v>
      </c>
      <c r="T40" s="1307" t="s">
        <v>5</v>
      </c>
      <c r="U40" s="1308">
        <f t="shared" si="10"/>
        <v>100</v>
      </c>
      <c r="V40" s="1307" t="s">
        <v>5</v>
      </c>
      <c r="W40" s="1308">
        <f t="shared" si="11"/>
        <v>100</v>
      </c>
      <c r="X40" s="1302"/>
      <c r="Y40" s="3636"/>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30" t="str">
        <f>A41</f>
        <v>成交单价（元/平方米）</v>
      </c>
      <c r="Q41" s="3630"/>
      <c r="R41" s="3631">
        <f>E41</f>
        <v>0</v>
      </c>
      <c r="S41" s="3631"/>
      <c r="T41" s="3631">
        <f>G41</f>
        <v>0</v>
      </c>
      <c r="U41" s="3631"/>
      <c r="V41" s="3631">
        <f>I41</f>
        <v>0</v>
      </c>
      <c r="W41" s="3631"/>
      <c r="X41" s="799"/>
      <c r="Y41" s="1314"/>
      <c r="Z41" s="799"/>
      <c r="AA41" s="799"/>
      <c r="AB41" s="799"/>
      <c r="AC41" s="799"/>
    </row>
    <row r="42" spans="1:29" ht="15.75" thickBot="1">
      <c r="A42" s="564" t="s">
        <v>2042</v>
      </c>
      <c r="B42" s="812"/>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30" t="str">
        <f>A42</f>
        <v>比较价格（元/平方米）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627" t="str">
        <f>A43</f>
        <v>估价对象XX用房的比较价格（楼面单价，元/平方米）</v>
      </c>
      <c r="Q43" s="3628"/>
      <c r="R43" s="3629" t="e">
        <f>IF(F1="售价",ROUND(IF(D42="简单平均",AVERAGE(R42:V42),R42*F42+T42*H42+V42*J42),0),ROUND(IF(D42="简单平均",AVERAGE(R42:V42),R42*F42+T42*H42+V42*J42),1))</f>
        <v>#DIV/0!</v>
      </c>
      <c r="S43" s="3629"/>
      <c r="T43" s="3629"/>
      <c r="U43" s="3629"/>
      <c r="V43" s="3629"/>
      <c r="W43" s="3629"/>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2024-12</v>
      </c>
      <c r="D52" s="2115">
        <f>EDATE(C52,-1)</f>
        <v>45597</v>
      </c>
      <c r="E52" s="2115">
        <f t="shared" ref="E52:O52" si="13">EDATE(D52,-1)</f>
        <v>45566</v>
      </c>
      <c r="F52" s="2115">
        <f t="shared" si="13"/>
        <v>45536</v>
      </c>
      <c r="G52" s="2115">
        <f t="shared" si="13"/>
        <v>45505</v>
      </c>
      <c r="H52" s="2115">
        <f t="shared" si="13"/>
        <v>45474</v>
      </c>
      <c r="I52" s="2115">
        <f t="shared" si="13"/>
        <v>45444</v>
      </c>
      <c r="J52" s="2115">
        <f t="shared" si="13"/>
        <v>45413</v>
      </c>
      <c r="K52" s="2115">
        <f t="shared" si="13"/>
        <v>45383</v>
      </c>
      <c r="L52" s="2115">
        <f t="shared" si="13"/>
        <v>45352</v>
      </c>
      <c r="M52" s="2115">
        <f t="shared" si="13"/>
        <v>45323</v>
      </c>
      <c r="N52" s="2115">
        <f t="shared" si="13"/>
        <v>45292</v>
      </c>
      <c r="O52" s="2115">
        <f t="shared" si="13"/>
        <v>45261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C20 G20 I20 E20" xr:uid="{00000000-0002-0000-2A00-000001000000}">
      <formula1>公共配套设施</formula1>
    </dataValidation>
    <dataValidation type="list" allowBlank="1" showInputMessage="1" showErrorMessage="1" sqref="E18 G18 I18 C18" xr:uid="{00000000-0002-0000-2A00-000002000000}">
      <formula1>交通便捷度</formula1>
    </dataValidation>
    <dataValidation type="list" allowBlank="1" showInputMessage="1" showErrorMessage="1" sqref="E24 G24 I24 C24" xr:uid="{00000000-0002-0000-2A00-000003000000}">
      <formula1>环境</formula1>
    </dataValidation>
    <dataValidation type="list" allowBlank="1" showInputMessage="1" showErrorMessage="1" sqref="C8 E8 G8 I8" xr:uid="{00000000-0002-0000-2A00-000004000000}">
      <formula1>工业交易情况</formula1>
    </dataValidation>
    <dataValidation type="list" allowBlank="1" showInputMessage="1" showErrorMessage="1" sqref="E9 G9 I9" xr:uid="{00000000-0002-0000-2A00-000005000000}">
      <formula1>工业用途</formula1>
    </dataValidation>
    <dataValidation type="list" allowBlank="1" showInputMessage="1" showErrorMessage="1" sqref="C29 E29 G29 I29" xr:uid="{00000000-0002-0000-2A00-000006000000}">
      <formula1>工业建筑类型</formula1>
    </dataValidation>
    <dataValidation type="list" allowBlank="1" showInputMessage="1" showErrorMessage="1" sqref="C31 E31 G31 I31" xr:uid="{00000000-0002-0000-2A00-000007000000}">
      <formula1>工业建筑结构</formula1>
    </dataValidation>
    <dataValidation type="list" allowBlank="1" showInputMessage="1" showErrorMessage="1" sqref="C32 E32 G32 I32" xr:uid="{00000000-0002-0000-2A00-000008000000}">
      <formula1>工业公共部分装修</formula1>
    </dataValidation>
    <dataValidation type="list" allowBlank="1" showInputMessage="1" showErrorMessage="1" sqref="C34 E34 G34 I34" xr:uid="{00000000-0002-0000-2A00-000009000000}">
      <formula1>工业物业管理</formula1>
    </dataValidation>
    <dataValidation type="list" allowBlank="1" showInputMessage="1" showErrorMessage="1" sqref="C35 E35 G35 I35" xr:uid="{00000000-0002-0000-2A00-00000A000000}">
      <formula1>工业基础设施水平</formula1>
    </dataValidation>
    <dataValidation type="list" allowBlank="1" showInputMessage="1" showErrorMessage="1" sqref="C36 E36 G36 I36" xr:uid="{00000000-0002-0000-2A00-00000B000000}">
      <formula1>工业内部装修</formula1>
    </dataValidation>
    <dataValidation type="list" allowBlank="1" showInputMessage="1" showErrorMessage="1" sqref="C37 E37 G37 I37" xr:uid="{00000000-0002-0000-2A00-00000C000000}">
      <formula1>内部装修维护情况</formula1>
    </dataValidation>
    <dataValidation type="list" allowBlank="1" showInputMessage="1" showErrorMessage="1" sqref="C16 E16 G16 I16" xr:uid="{00000000-0002-0000-2A00-00000D000000}">
      <formula1>产业集聚程度</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42"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40" t="s">
        <v>738</v>
      </c>
      <c r="D4" s="3641"/>
      <c r="E4" s="3640" t="s">
        <v>739</v>
      </c>
      <c r="F4" s="3641"/>
      <c r="G4" s="3640" t="s">
        <v>740</v>
      </c>
      <c r="H4" s="3641"/>
      <c r="I4" s="3640" t="s">
        <v>741</v>
      </c>
      <c r="J4" s="3641"/>
      <c r="K4" s="465" t="s">
        <v>742</v>
      </c>
      <c r="L4" s="1741"/>
      <c r="M4" s="1742"/>
      <c r="N4" s="1742"/>
      <c r="O4" s="1742"/>
      <c r="P4" s="3644" t="s">
        <v>743</v>
      </c>
      <c r="Q4" s="3645"/>
      <c r="R4" s="3650" t="s">
        <v>739</v>
      </c>
      <c r="S4" s="3651"/>
      <c r="T4" s="3650" t="s">
        <v>740</v>
      </c>
      <c r="U4" s="3651"/>
      <c r="V4" s="3631" t="s">
        <v>741</v>
      </c>
      <c r="W4" s="3631"/>
      <c r="X4" s="1302"/>
      <c r="Y4" s="3650" t="s">
        <v>743</v>
      </c>
      <c r="Z4" s="3651"/>
      <c r="AA4" s="3637" t="s">
        <v>739</v>
      </c>
      <c r="AB4" s="3638" t="s">
        <v>740</v>
      </c>
      <c r="AC4" s="3637" t="s">
        <v>741</v>
      </c>
    </row>
    <row r="5" spans="1:29" ht="15">
      <c r="A5" s="466"/>
      <c r="B5" s="467"/>
      <c r="C5" s="3658" t="s">
        <v>2192</v>
      </c>
      <c r="D5" s="3659"/>
      <c r="E5" s="3658" t="s">
        <v>2193</v>
      </c>
      <c r="F5" s="3659"/>
      <c r="G5" s="3658" t="s">
        <v>2194</v>
      </c>
      <c r="H5" s="3659"/>
      <c r="I5" s="3658" t="s">
        <v>2195</v>
      </c>
      <c r="J5" s="3659"/>
      <c r="K5" s="465"/>
      <c r="L5" s="1741"/>
      <c r="M5" s="1742"/>
      <c r="N5" s="1742"/>
      <c r="O5" s="1742"/>
      <c r="P5" s="3646"/>
      <c r="Q5" s="3647"/>
      <c r="R5" s="3652"/>
      <c r="S5" s="3653"/>
      <c r="T5" s="3652"/>
      <c r="U5" s="3653"/>
      <c r="V5" s="3631"/>
      <c r="W5" s="3631"/>
      <c r="X5" s="1302"/>
      <c r="Y5" s="3652"/>
      <c r="Z5" s="3653"/>
      <c r="AA5" s="3638"/>
      <c r="AB5" s="3638"/>
      <c r="AC5" s="3638"/>
    </row>
    <row r="6" spans="1:29" ht="15.75" thickBot="1">
      <c r="A6" s="468"/>
      <c r="B6" s="469"/>
      <c r="C6" s="3656" t="s">
        <v>2196</v>
      </c>
      <c r="D6" s="3657"/>
      <c r="E6" s="3679" t="s">
        <v>2196</v>
      </c>
      <c r="F6" s="3680"/>
      <c r="G6" s="3656" t="s">
        <v>2196</v>
      </c>
      <c r="H6" s="3657"/>
      <c r="I6" s="3656" t="s">
        <v>2196</v>
      </c>
      <c r="J6" s="3657"/>
      <c r="K6" s="465" t="s">
        <v>477</v>
      </c>
      <c r="L6" s="1741"/>
      <c r="M6" s="1742"/>
      <c r="N6" s="1742"/>
      <c r="O6" s="1742"/>
      <c r="P6" s="3648"/>
      <c r="Q6" s="3649"/>
      <c r="R6" s="3652"/>
      <c r="S6" s="3653"/>
      <c r="T6" s="3654"/>
      <c r="U6" s="3655"/>
      <c r="V6" s="3631"/>
      <c r="W6" s="3631"/>
      <c r="X6" s="1302"/>
      <c r="Y6" s="3654"/>
      <c r="Z6" s="3655"/>
      <c r="AA6" s="3639"/>
      <c r="AB6" s="3639"/>
      <c r="AC6" s="3639"/>
    </row>
    <row r="7" spans="1:29" s="1059" customFormat="1" ht="15.75" thickBot="1">
      <c r="A7" s="2209"/>
      <c r="B7" s="2216" t="s">
        <v>478</v>
      </c>
      <c r="C7" s="470">
        <f>'数据-取费表'!B2</f>
        <v>45637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60" t="s">
        <v>479</v>
      </c>
      <c r="Q7" s="3662"/>
      <c r="R7" s="1303" t="s">
        <v>5</v>
      </c>
      <c r="S7" s="1304">
        <f t="shared" ref="S7:S14" si="0">F7</f>
        <v>0</v>
      </c>
      <c r="T7" s="1303" t="s">
        <v>5</v>
      </c>
      <c r="U7" s="1304">
        <f t="shared" ref="U7:U14" si="1">H7</f>
        <v>0</v>
      </c>
      <c r="V7" s="1303" t="s">
        <v>5</v>
      </c>
      <c r="W7" s="1304">
        <f t="shared" ref="W7:W14" si="2">J7</f>
        <v>0</v>
      </c>
      <c r="X7" s="1305"/>
      <c r="Y7" s="3660" t="s">
        <v>479</v>
      </c>
      <c r="Z7" s="3661"/>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60" t="s">
        <v>482</v>
      </c>
      <c r="Q8" s="3661"/>
      <c r="R8" s="1303" t="s">
        <v>5</v>
      </c>
      <c r="S8" s="1304">
        <f t="shared" si="0"/>
        <v>0</v>
      </c>
      <c r="T8" s="1303" t="s">
        <v>5</v>
      </c>
      <c r="U8" s="1304">
        <f t="shared" si="1"/>
        <v>0</v>
      </c>
      <c r="V8" s="1303" t="s">
        <v>5</v>
      </c>
      <c r="W8" s="1304">
        <f t="shared" si="2"/>
        <v>0</v>
      </c>
      <c r="X8" s="1305"/>
      <c r="Y8" s="3660" t="s">
        <v>482</v>
      </c>
      <c r="Z8" s="3661"/>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30" t="s">
        <v>484</v>
      </c>
      <c r="Q9" s="817" t="str">
        <f t="shared" ref="Q9:Q14" si="6">B9</f>
        <v>用途</v>
      </c>
      <c r="R9" s="1303" t="s">
        <v>5</v>
      </c>
      <c r="S9" s="1304">
        <f t="shared" si="0"/>
        <v>100</v>
      </c>
      <c r="T9" s="1303" t="s">
        <v>5</v>
      </c>
      <c r="U9" s="1304">
        <f t="shared" si="1"/>
        <v>100</v>
      </c>
      <c r="V9" s="1303" t="s">
        <v>5</v>
      </c>
      <c r="W9" s="1304">
        <f t="shared" si="2"/>
        <v>100</v>
      </c>
      <c r="X9" s="1305"/>
      <c r="Y9" s="3557" t="s">
        <v>485</v>
      </c>
      <c r="Z9" s="996" t="str">
        <f t="shared" ref="Z9:Z14" si="7">Q9</f>
        <v>用途</v>
      </c>
      <c r="AA9" s="996">
        <f t="shared" si="3"/>
        <v>1</v>
      </c>
      <c r="AB9" s="996">
        <f t="shared" si="4"/>
        <v>1</v>
      </c>
      <c r="AC9" s="996">
        <f t="shared" si="5"/>
        <v>1</v>
      </c>
    </row>
    <row r="10" spans="1:29" s="1132"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30"/>
      <c r="Q11" s="817">
        <f t="shared" si="6"/>
        <v>111</v>
      </c>
      <c r="R11" s="1303" t="s">
        <v>5</v>
      </c>
      <c r="S11" s="1304">
        <f t="shared" si="0"/>
        <v>100</v>
      </c>
      <c r="T11" s="1303" t="s">
        <v>5</v>
      </c>
      <c r="U11" s="1304">
        <f t="shared" si="1"/>
        <v>100</v>
      </c>
      <c r="V11" s="1303" t="s">
        <v>5</v>
      </c>
      <c r="W11" s="1304">
        <f t="shared" si="2"/>
        <v>100</v>
      </c>
      <c r="X11" s="1305"/>
      <c r="Y11" s="3557"/>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30"/>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30"/>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85.5">
      <c r="A14" s="2207" t="s">
        <v>2036</v>
      </c>
      <c r="B14" s="497" t="s">
        <v>492</v>
      </c>
      <c r="C14" s="842"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33"/>
      <c r="Q15" s="1306"/>
      <c r="R15" s="1307"/>
      <c r="S15" s="1308"/>
      <c r="T15" s="1307"/>
      <c r="U15" s="1308"/>
      <c r="V15" s="1307"/>
      <c r="W15" s="1308"/>
      <c r="X15" s="1302"/>
      <c r="Y15" s="3633"/>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33"/>
      <c r="Q17" s="1306"/>
      <c r="R17" s="1307"/>
      <c r="S17" s="1308"/>
      <c r="T17" s="1307"/>
      <c r="U17" s="1308"/>
      <c r="V17" s="1307"/>
      <c r="W17" s="1308"/>
      <c r="X17" s="1302"/>
      <c r="Y17" s="3633"/>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3"/>
      <c r="Q24" s="1306">
        <f t="shared" ref="Q24:Q36"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33"/>
      <c r="Q25" s="817">
        <f t="shared" si="8"/>
        <v>111</v>
      </c>
      <c r="R25" s="1303" t="s">
        <v>5</v>
      </c>
      <c r="S25" s="1304">
        <f>F25</f>
        <v>100</v>
      </c>
      <c r="T25" s="1303" t="s">
        <v>5</v>
      </c>
      <c r="U25" s="1304">
        <f>H25</f>
        <v>100</v>
      </c>
      <c r="V25" s="1303" t="s">
        <v>5</v>
      </c>
      <c r="W25" s="1304">
        <f>J25</f>
        <v>100</v>
      </c>
      <c r="X25" s="1305"/>
      <c r="Y25" s="3633"/>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3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5"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5"/>
      <c r="Q27" s="818" t="str">
        <f t="shared" si="8"/>
        <v>项目停车位配比</v>
      </c>
      <c r="R27" s="1310" t="s">
        <v>5</v>
      </c>
      <c r="S27" s="1311">
        <f t="shared" si="9"/>
        <v>100</v>
      </c>
      <c r="T27" s="1310" t="s">
        <v>5</v>
      </c>
      <c r="U27" s="1311">
        <f t="shared" si="10"/>
        <v>100</v>
      </c>
      <c r="V27" s="1310" t="s">
        <v>5</v>
      </c>
      <c r="W27" s="1311">
        <f t="shared" si="11"/>
        <v>100</v>
      </c>
      <c r="X27" s="1312"/>
      <c r="Y27" s="3635"/>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35"/>
      <c r="Q28" s="1306" t="str">
        <f t="shared" si="8"/>
        <v>公共部分装修</v>
      </c>
      <c r="R28" s="1307" t="s">
        <v>5</v>
      </c>
      <c r="S28" s="1308">
        <f t="shared" si="9"/>
        <v>100</v>
      </c>
      <c r="T28" s="1307" t="s">
        <v>5</v>
      </c>
      <c r="U28" s="1308">
        <f t="shared" si="10"/>
        <v>100</v>
      </c>
      <c r="V28" s="1307" t="s">
        <v>5</v>
      </c>
      <c r="W28" s="1308">
        <f t="shared" si="11"/>
        <v>100</v>
      </c>
      <c r="X28" s="1302"/>
      <c r="Y28" s="3635"/>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35"/>
      <c r="Q29" s="1306" t="str">
        <f t="shared" si="8"/>
        <v>成新率</v>
      </c>
      <c r="R29" s="1307" t="s">
        <v>5</v>
      </c>
      <c r="S29" s="1308" t="e">
        <f t="shared" si="9"/>
        <v>#N/A</v>
      </c>
      <c r="T29" s="1307" t="s">
        <v>5</v>
      </c>
      <c r="U29" s="1308" t="e">
        <f t="shared" si="10"/>
        <v>#N/A</v>
      </c>
      <c r="V29" s="1307" t="s">
        <v>5</v>
      </c>
      <c r="W29" s="1308" t="e">
        <f t="shared" si="11"/>
        <v>#N/A</v>
      </c>
      <c r="X29" s="1302"/>
      <c r="Y29" s="3635"/>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35"/>
      <c r="Q30" s="1306" t="str">
        <f t="shared" si="8"/>
        <v>物业等级</v>
      </c>
      <c r="R30" s="1307" t="s">
        <v>5</v>
      </c>
      <c r="S30" s="1308">
        <f t="shared" si="9"/>
        <v>100</v>
      </c>
      <c r="T30" s="1307" t="s">
        <v>5</v>
      </c>
      <c r="U30" s="1308">
        <f t="shared" si="10"/>
        <v>100</v>
      </c>
      <c r="V30" s="1307" t="s">
        <v>5</v>
      </c>
      <c r="W30" s="1308">
        <f t="shared" si="11"/>
        <v>100</v>
      </c>
      <c r="X30" s="1302"/>
      <c r="Y30" s="3635"/>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35"/>
      <c r="Q31" s="817" t="str">
        <f t="shared" si="8"/>
        <v>停车位面积</v>
      </c>
      <c r="R31" s="1303" t="s">
        <v>5</v>
      </c>
      <c r="S31" s="1304" t="e">
        <f t="shared" si="9"/>
        <v>#N/A</v>
      </c>
      <c r="T31" s="1303" t="s">
        <v>5</v>
      </c>
      <c r="U31" s="1304" t="e">
        <f t="shared" si="10"/>
        <v>#N/A</v>
      </c>
      <c r="V31" s="1303" t="s">
        <v>5</v>
      </c>
      <c r="W31" s="1304" t="e">
        <f t="shared" si="11"/>
        <v>#N/A</v>
      </c>
      <c r="X31" s="1305"/>
      <c r="Y31" s="3635"/>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35" t="s">
        <v>499</v>
      </c>
      <c r="Q32" s="1306" t="str">
        <f t="shared" si="8"/>
        <v>车位类型</v>
      </c>
      <c r="R32" s="1307" t="s">
        <v>5</v>
      </c>
      <c r="S32" s="1308">
        <f t="shared" si="9"/>
        <v>100</v>
      </c>
      <c r="T32" s="1307" t="s">
        <v>5</v>
      </c>
      <c r="U32" s="1308">
        <f t="shared" si="10"/>
        <v>100</v>
      </c>
      <c r="V32" s="1307" t="s">
        <v>5</v>
      </c>
      <c r="W32" s="1308">
        <f t="shared" si="11"/>
        <v>100</v>
      </c>
      <c r="X32" s="1302"/>
      <c r="Y32" s="3635"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35"/>
      <c r="Q33" s="1306" t="str">
        <f t="shared" si="8"/>
        <v>是否直接入户</v>
      </c>
      <c r="R33" s="1307" t="s">
        <v>5</v>
      </c>
      <c r="S33" s="1308">
        <f t="shared" si="9"/>
        <v>100</v>
      </c>
      <c r="T33" s="1307" t="s">
        <v>5</v>
      </c>
      <c r="U33" s="1308">
        <f t="shared" si="10"/>
        <v>100</v>
      </c>
      <c r="V33" s="1307" t="s">
        <v>5</v>
      </c>
      <c r="W33" s="1308">
        <f t="shared" si="11"/>
        <v>100</v>
      </c>
      <c r="X33" s="1302"/>
      <c r="Y33" s="3635"/>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5"/>
      <c r="Q35" s="818">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5"/>
      <c r="Q36" s="1306">
        <f t="shared" si="8"/>
        <v>111</v>
      </c>
      <c r="R36" s="1307" t="s">
        <v>5</v>
      </c>
      <c r="S36" s="1308">
        <f t="shared" si="9"/>
        <v>100</v>
      </c>
      <c r="T36" s="1307" t="s">
        <v>5</v>
      </c>
      <c r="U36" s="1308">
        <f t="shared" si="10"/>
        <v>100</v>
      </c>
      <c r="V36" s="1307" t="s">
        <v>5</v>
      </c>
      <c r="W36" s="1308">
        <f t="shared" si="11"/>
        <v>100</v>
      </c>
      <c r="X36" s="1302"/>
      <c r="Y36" s="3635"/>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30" t="str">
        <f>A37</f>
        <v>成交单价</v>
      </c>
      <c r="Q37" s="3630"/>
      <c r="R37" s="3631">
        <f>E37</f>
        <v>0</v>
      </c>
      <c r="S37" s="3631"/>
      <c r="T37" s="3631">
        <f>G37</f>
        <v>0</v>
      </c>
      <c r="U37" s="3631"/>
      <c r="V37" s="3631">
        <f>I37</f>
        <v>0</v>
      </c>
      <c r="W37" s="3631"/>
      <c r="X37" s="799"/>
      <c r="Y37" s="1314"/>
      <c r="Z37" s="799"/>
      <c r="AA37" s="799"/>
      <c r="AB37" s="799"/>
      <c r="AC37" s="799"/>
    </row>
    <row r="38" spans="1:29" ht="15.75" thickBot="1">
      <c r="A38" s="564" t="s">
        <v>2042</v>
      </c>
      <c r="B38" s="812"/>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30" t="str">
        <f>A38</f>
        <v>比较价格（元/平方米）</v>
      </c>
      <c r="Q38" s="3630"/>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627" t="str">
        <f>A39</f>
        <v>估价对象XX用房的比较价格（楼面单价，元/平方米）</v>
      </c>
      <c r="Q39" s="3628"/>
      <c r="R39" s="3629" t="e">
        <f>IF(F1="售价",ROUND(IF(D38="简单平均",AVERAGE(R38:W38),R38*F38+T38*H38+V38*J38),0),ROUND(IF(D38="简单平均",AVERAGE(R38:V38),R38*F38+T38*H38+V38*J38),1))</f>
        <v>#DIV/0!</v>
      </c>
      <c r="S39" s="3629"/>
      <c r="T39" s="3629"/>
      <c r="U39" s="3629"/>
      <c r="V39" s="3629"/>
      <c r="W39" s="3629"/>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2024-12</v>
      </c>
      <c r="D48" s="2115">
        <f>EDATE(C48,-1)</f>
        <v>45597</v>
      </c>
      <c r="E48" s="2115">
        <f t="shared" ref="E48:O48" si="13">EDATE(D48,-1)</f>
        <v>45566</v>
      </c>
      <c r="F48" s="2115">
        <f t="shared" si="13"/>
        <v>45536</v>
      </c>
      <c r="G48" s="2115">
        <f t="shared" si="13"/>
        <v>45505</v>
      </c>
      <c r="H48" s="2115">
        <f t="shared" si="13"/>
        <v>45474</v>
      </c>
      <c r="I48" s="2115">
        <f t="shared" si="13"/>
        <v>45444</v>
      </c>
      <c r="J48" s="2115">
        <f t="shared" si="13"/>
        <v>45413</v>
      </c>
      <c r="K48" s="2115">
        <f t="shared" si="13"/>
        <v>45383</v>
      </c>
      <c r="L48" s="2115">
        <f t="shared" si="13"/>
        <v>45352</v>
      </c>
      <c r="M48" s="2115">
        <f t="shared" si="13"/>
        <v>45323</v>
      </c>
      <c r="N48" s="2115">
        <f t="shared" si="13"/>
        <v>45292</v>
      </c>
      <c r="O48" s="2115">
        <f t="shared" si="13"/>
        <v>45261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B00-000000000000}">
      <formula1>项目类型</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G15 E15 C15 I15" xr:uid="{00000000-0002-0000-2B00-000002000000}">
      <formula1>交通便捷度</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22 E22 G22 I22" xr:uid="{00000000-0002-0000-2B00-000005000000}">
      <formula1>车位楼层</formula1>
    </dataValidation>
    <dataValidation type="list" allowBlank="1" showInputMessage="1" showErrorMessage="1" sqref="C30 E30 G30 I30" xr:uid="{00000000-0002-0000-2B00-000006000000}">
      <formula1>车位物业等级</formula1>
    </dataValidation>
    <dataValidation type="list" allowBlank="1" showInputMessage="1" showErrorMessage="1" sqref="C32 E32 G32 I32" xr:uid="{00000000-0002-0000-2B00-000007000000}">
      <formula1>车位类型</formula1>
    </dataValidation>
    <dataValidation type="list" allowBlank="1" showInputMessage="1" showErrorMessage="1" sqref="C33 E33 G33 I33" xr:uid="{00000000-0002-0000-2B00-000008000000}">
      <formula1>是否直接入户</formula1>
    </dataValidation>
    <dataValidation type="list" allowBlank="1" showInputMessage="1" showErrorMessage="1" sqref="B1" xr:uid="{00000000-0002-0000-2B00-000009000000}">
      <formula1>地类判定</formula1>
    </dataValidation>
    <dataValidation type="list" allowBlank="1" showInputMessage="1" showErrorMessage="1" sqref="I26 E26 G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B37" xr:uid="{00000000-0002-0000-2B00-00000C000000}">
      <formula1>"元/平方米,元/车位"</formula1>
    </dataValidation>
    <dataValidation type="list" allowBlank="1" showInputMessage="1" showErrorMessage="1" sqref="C21 E21 G21 I21" xr:uid="{00000000-0002-0000-2B00-00000D000000}">
      <formula1>环境</formula1>
    </dataValidation>
    <dataValidation type="list" allowBlank="1" showInputMessage="1" showErrorMessage="1" sqref="C19 E19 G19 I19" xr:uid="{00000000-0002-0000-2B00-00000E000000}">
      <formula1>基础设施水平</formula1>
    </dataValidation>
    <dataValidation type="list" allowBlank="1" showInputMessage="1" showErrorMessage="1" sqref="F1" xr:uid="{00000000-0002-0000-2B00-00000F000000}">
      <formula1>"售价,租金"</formula1>
    </dataValidation>
    <dataValidation type="list" allowBlank="1" showInputMessage="1" showErrorMessage="1" sqref="D38" xr:uid="{00000000-0002-0000-2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40" t="s">
        <v>738</v>
      </c>
      <c r="D4" s="3641"/>
      <c r="E4" s="3642" t="s">
        <v>739</v>
      </c>
      <c r="F4" s="3643"/>
      <c r="G4" s="3640" t="s">
        <v>740</v>
      </c>
      <c r="H4" s="3641"/>
      <c r="I4" s="3640" t="s">
        <v>741</v>
      </c>
      <c r="J4" s="3641"/>
      <c r="K4" s="465" t="s">
        <v>742</v>
      </c>
      <c r="L4" s="1741"/>
      <c r="M4" s="1742"/>
      <c r="N4" s="1742"/>
      <c r="O4" s="1742"/>
      <c r="P4" s="3644" t="s">
        <v>743</v>
      </c>
      <c r="Q4" s="3645"/>
      <c r="R4" s="3650" t="s">
        <v>739</v>
      </c>
      <c r="S4" s="3651"/>
      <c r="T4" s="3650" t="s">
        <v>740</v>
      </c>
      <c r="U4" s="3651"/>
      <c r="V4" s="3631" t="s">
        <v>741</v>
      </c>
      <c r="W4" s="3631"/>
      <c r="X4" s="1302"/>
      <c r="Y4" s="3650" t="s">
        <v>743</v>
      </c>
      <c r="Z4" s="3651"/>
      <c r="AA4" s="3637" t="s">
        <v>739</v>
      </c>
      <c r="AB4" s="3638" t="s">
        <v>740</v>
      </c>
      <c r="AC4" s="3637" t="s">
        <v>741</v>
      </c>
    </row>
    <row r="5" spans="1:29" ht="15">
      <c r="A5" s="466"/>
      <c r="B5" s="467"/>
      <c r="C5" s="3658" t="s">
        <v>2192</v>
      </c>
      <c r="D5" s="3659"/>
      <c r="E5" s="3666" t="s">
        <v>2193</v>
      </c>
      <c r="F5" s="3667"/>
      <c r="G5" s="3658" t="s">
        <v>2194</v>
      </c>
      <c r="H5" s="3659"/>
      <c r="I5" s="3658" t="s">
        <v>2195</v>
      </c>
      <c r="J5" s="3659"/>
      <c r="K5" s="465"/>
      <c r="L5" s="1741"/>
      <c r="M5" s="1742"/>
      <c r="N5" s="1742"/>
      <c r="O5" s="1742"/>
      <c r="P5" s="3646"/>
      <c r="Q5" s="3647"/>
      <c r="R5" s="3652"/>
      <c r="S5" s="3653"/>
      <c r="T5" s="3652"/>
      <c r="U5" s="3653"/>
      <c r="V5" s="3631"/>
      <c r="W5" s="3631"/>
      <c r="X5" s="1302"/>
      <c r="Y5" s="3652"/>
      <c r="Z5" s="3653"/>
      <c r="AA5" s="3638"/>
      <c r="AB5" s="3638"/>
      <c r="AC5" s="3638"/>
    </row>
    <row r="6" spans="1:29" ht="15.75" thickBot="1">
      <c r="A6" s="468"/>
      <c r="B6" s="469"/>
      <c r="C6" s="3656" t="s">
        <v>2196</v>
      </c>
      <c r="D6" s="3657"/>
      <c r="E6" s="3664" t="s">
        <v>2196</v>
      </c>
      <c r="F6" s="3665"/>
      <c r="G6" s="3656" t="s">
        <v>2196</v>
      </c>
      <c r="H6" s="3657"/>
      <c r="I6" s="3656" t="s">
        <v>2196</v>
      </c>
      <c r="J6" s="3657"/>
      <c r="K6" s="465" t="s">
        <v>477</v>
      </c>
      <c r="L6" s="1741"/>
      <c r="M6" s="1742"/>
      <c r="N6" s="1742"/>
      <c r="O6" s="1742"/>
      <c r="P6" s="3648"/>
      <c r="Q6" s="3649"/>
      <c r="R6" s="3652"/>
      <c r="S6" s="3653"/>
      <c r="T6" s="3654"/>
      <c r="U6" s="3655"/>
      <c r="V6" s="3631"/>
      <c r="W6" s="3631"/>
      <c r="X6" s="1302"/>
      <c r="Y6" s="3654"/>
      <c r="Z6" s="3655"/>
      <c r="AA6" s="3639"/>
      <c r="AB6" s="3639"/>
      <c r="AC6" s="3639"/>
    </row>
    <row r="7" spans="1:29" s="1059" customFormat="1" ht="15.75" thickBot="1">
      <c r="A7" s="2209"/>
      <c r="B7" s="2216" t="s">
        <v>478</v>
      </c>
      <c r="C7" s="470">
        <f>'数据-取费表'!B2</f>
        <v>45637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60" t="s">
        <v>479</v>
      </c>
      <c r="Q7" s="3662"/>
      <c r="R7" s="1303" t="s">
        <v>5</v>
      </c>
      <c r="S7" s="1304">
        <f t="shared" ref="S7:S14" si="0">F7</f>
        <v>0</v>
      </c>
      <c r="T7" s="1303" t="s">
        <v>5</v>
      </c>
      <c r="U7" s="1304">
        <f t="shared" ref="U7:U14" si="1">H7</f>
        <v>0</v>
      </c>
      <c r="V7" s="1303" t="s">
        <v>5</v>
      </c>
      <c r="W7" s="1304">
        <f t="shared" ref="W7:W14" si="2">J7</f>
        <v>0</v>
      </c>
      <c r="X7" s="1305"/>
      <c r="Y7" s="3660" t="s">
        <v>479</v>
      </c>
      <c r="Z7" s="3661"/>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60" t="s">
        <v>482</v>
      </c>
      <c r="Q8" s="3661"/>
      <c r="R8" s="1303" t="s">
        <v>5</v>
      </c>
      <c r="S8" s="1304">
        <f t="shared" si="0"/>
        <v>0</v>
      </c>
      <c r="T8" s="1303" t="s">
        <v>5</v>
      </c>
      <c r="U8" s="1304">
        <f t="shared" si="1"/>
        <v>0</v>
      </c>
      <c r="V8" s="1303" t="s">
        <v>5</v>
      </c>
      <c r="W8" s="1304">
        <f t="shared" si="2"/>
        <v>0</v>
      </c>
      <c r="X8" s="1305"/>
      <c r="Y8" s="3660" t="s">
        <v>482</v>
      </c>
      <c r="Z8" s="3661"/>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30" t="s">
        <v>484</v>
      </c>
      <c r="Q9" s="817" t="str">
        <f t="shared" ref="Q9:Q14" si="6">B9</f>
        <v>用途</v>
      </c>
      <c r="R9" s="1303" t="s">
        <v>5</v>
      </c>
      <c r="S9" s="1304">
        <f t="shared" si="0"/>
        <v>100</v>
      </c>
      <c r="T9" s="1303" t="s">
        <v>5</v>
      </c>
      <c r="U9" s="1304">
        <f t="shared" si="1"/>
        <v>100</v>
      </c>
      <c r="V9" s="1303" t="s">
        <v>5</v>
      </c>
      <c r="W9" s="1304">
        <f t="shared" si="2"/>
        <v>100</v>
      </c>
      <c r="X9" s="1305"/>
      <c r="Y9" s="3557" t="s">
        <v>485</v>
      </c>
      <c r="Z9" s="996" t="str">
        <f t="shared" ref="Z9:Z14" si="7">Q9</f>
        <v>用途</v>
      </c>
      <c r="AA9" s="996">
        <f t="shared" si="3"/>
        <v>1</v>
      </c>
      <c r="AB9" s="996">
        <f t="shared" si="4"/>
        <v>1</v>
      </c>
      <c r="AC9" s="996">
        <f t="shared" si="5"/>
        <v>1</v>
      </c>
    </row>
    <row r="10" spans="1:29" s="1132"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30"/>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30"/>
      <c r="Q11" s="817">
        <f t="shared" si="6"/>
        <v>111</v>
      </c>
      <c r="R11" s="1303" t="s">
        <v>5</v>
      </c>
      <c r="S11" s="1304">
        <f t="shared" si="0"/>
        <v>100</v>
      </c>
      <c r="T11" s="1303" t="s">
        <v>5</v>
      </c>
      <c r="U11" s="1304">
        <f t="shared" si="1"/>
        <v>100</v>
      </c>
      <c r="V11" s="1303" t="s">
        <v>5</v>
      </c>
      <c r="W11" s="1304">
        <f t="shared" si="2"/>
        <v>100</v>
      </c>
      <c r="X11" s="1305"/>
      <c r="Y11" s="3557"/>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30"/>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30"/>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85.5">
      <c r="A14" s="2207" t="s">
        <v>2036</v>
      </c>
      <c r="B14" s="150" t="s">
        <v>492</v>
      </c>
      <c r="C14" s="842"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33"/>
      <c r="Q15" s="1306"/>
      <c r="R15" s="1307"/>
      <c r="S15" s="1308"/>
      <c r="T15" s="1307"/>
      <c r="U15" s="1308"/>
      <c r="V15" s="1307"/>
      <c r="W15" s="1308"/>
      <c r="X15" s="1302"/>
      <c r="Y15" s="3633"/>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33"/>
      <c r="Q17" s="1306"/>
      <c r="R17" s="1307"/>
      <c r="S17" s="1308"/>
      <c r="T17" s="1307"/>
      <c r="U17" s="1308"/>
      <c r="V17" s="1307"/>
      <c r="W17" s="1308"/>
      <c r="X17" s="1302"/>
      <c r="Y17" s="3633"/>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3"/>
      <c r="Q24" s="1306">
        <f t="shared" ref="Q24:Q34"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33"/>
      <c r="Q25" s="817">
        <f t="shared" si="8"/>
        <v>111</v>
      </c>
      <c r="R25" s="1303" t="s">
        <v>5</v>
      </c>
      <c r="S25" s="1304">
        <f>F25</f>
        <v>100</v>
      </c>
      <c r="T25" s="1303" t="s">
        <v>5</v>
      </c>
      <c r="U25" s="1304">
        <f>H25</f>
        <v>100</v>
      </c>
      <c r="V25" s="1303" t="s">
        <v>5</v>
      </c>
      <c r="W25" s="1304">
        <f>J25</f>
        <v>100</v>
      </c>
      <c r="X25" s="1305"/>
      <c r="Y25" s="3633"/>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3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5"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5"/>
      <c r="Q27" s="818" t="str">
        <f t="shared" si="8"/>
        <v>成新率</v>
      </c>
      <c r="R27" s="1310" t="s">
        <v>5</v>
      </c>
      <c r="S27" s="1311" t="e">
        <f t="shared" si="9"/>
        <v>#N/A</v>
      </c>
      <c r="T27" s="1310" t="s">
        <v>5</v>
      </c>
      <c r="U27" s="1311" t="e">
        <f t="shared" si="10"/>
        <v>#N/A</v>
      </c>
      <c r="V27" s="1310" t="s">
        <v>5</v>
      </c>
      <c r="W27" s="1311" t="e">
        <f t="shared" si="11"/>
        <v>#N/A</v>
      </c>
      <c r="X27" s="1312"/>
      <c r="Y27" s="363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5"/>
      <c r="Q28" s="1306" t="str">
        <f t="shared" si="8"/>
        <v>物业等级</v>
      </c>
      <c r="R28" s="1307" t="s">
        <v>5</v>
      </c>
      <c r="S28" s="1308">
        <f t="shared" si="9"/>
        <v>100</v>
      </c>
      <c r="T28" s="1307" t="s">
        <v>5</v>
      </c>
      <c r="U28" s="1308">
        <f t="shared" si="10"/>
        <v>100</v>
      </c>
      <c r="V28" s="1307" t="s">
        <v>5</v>
      </c>
      <c r="W28" s="1308">
        <f t="shared" si="11"/>
        <v>100</v>
      </c>
      <c r="X28" s="1302"/>
      <c r="Y28" s="3635"/>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5"/>
      <c r="Q29" s="1306" t="str">
        <f t="shared" si="8"/>
        <v>有无电梯</v>
      </c>
      <c r="R29" s="1307" t="s">
        <v>5</v>
      </c>
      <c r="S29" s="1308">
        <f t="shared" si="9"/>
        <v>100</v>
      </c>
      <c r="T29" s="1307" t="s">
        <v>5</v>
      </c>
      <c r="U29" s="1308">
        <f t="shared" si="10"/>
        <v>100</v>
      </c>
      <c r="V29" s="1307" t="s">
        <v>5</v>
      </c>
      <c r="W29" s="1308">
        <f t="shared" si="11"/>
        <v>100</v>
      </c>
      <c r="X29" s="1302"/>
      <c r="Y29" s="3635"/>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5"/>
      <c r="Q30" s="1306" t="str">
        <f t="shared" si="8"/>
        <v>建筑面积</v>
      </c>
      <c r="R30" s="1307" t="s">
        <v>5</v>
      </c>
      <c r="S30" s="1308" t="e">
        <f t="shared" si="9"/>
        <v>#N/A</v>
      </c>
      <c r="T30" s="1307" t="s">
        <v>5</v>
      </c>
      <c r="U30" s="1308" t="e">
        <f t="shared" si="10"/>
        <v>#N/A</v>
      </c>
      <c r="V30" s="1307" t="s">
        <v>5</v>
      </c>
      <c r="W30" s="1308" t="e">
        <f t="shared" si="11"/>
        <v>#N/A</v>
      </c>
      <c r="X30" s="1302"/>
      <c r="Y30" s="3635"/>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5"/>
      <c r="Q31" s="817" t="str">
        <f t="shared" si="8"/>
        <v>是否封闭</v>
      </c>
      <c r="R31" s="1303" t="s">
        <v>5</v>
      </c>
      <c r="S31" s="1304">
        <f t="shared" si="9"/>
        <v>100</v>
      </c>
      <c r="T31" s="1303" t="s">
        <v>5</v>
      </c>
      <c r="U31" s="1304">
        <f t="shared" si="10"/>
        <v>100</v>
      </c>
      <c r="V31" s="1303" t="s">
        <v>5</v>
      </c>
      <c r="W31" s="1304">
        <f t="shared" si="11"/>
        <v>100</v>
      </c>
      <c r="X31" s="1305"/>
      <c r="Y31" s="3635"/>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5" t="s">
        <v>499</v>
      </c>
      <c r="Q32" s="1306">
        <f t="shared" si="8"/>
        <v>111</v>
      </c>
      <c r="R32" s="1307" t="s">
        <v>5</v>
      </c>
      <c r="S32" s="1308">
        <f t="shared" si="9"/>
        <v>100</v>
      </c>
      <c r="T32" s="1307" t="s">
        <v>5</v>
      </c>
      <c r="U32" s="1308">
        <f t="shared" si="10"/>
        <v>100</v>
      </c>
      <c r="V32" s="1307" t="s">
        <v>5</v>
      </c>
      <c r="W32" s="1308">
        <f t="shared" si="11"/>
        <v>100</v>
      </c>
      <c r="X32" s="1302"/>
      <c r="Y32" s="3635"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5"/>
      <c r="Q33" s="1306">
        <f t="shared" si="8"/>
        <v>111</v>
      </c>
      <c r="R33" s="1307" t="s">
        <v>5</v>
      </c>
      <c r="S33" s="1308">
        <f t="shared" si="9"/>
        <v>100</v>
      </c>
      <c r="T33" s="1307" t="s">
        <v>5</v>
      </c>
      <c r="U33" s="1308">
        <f t="shared" si="10"/>
        <v>100</v>
      </c>
      <c r="V33" s="1307" t="s">
        <v>5</v>
      </c>
      <c r="W33" s="1308">
        <f t="shared" si="11"/>
        <v>100</v>
      </c>
      <c r="X33" s="1302"/>
      <c r="Y33" s="3635"/>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30" t="str">
        <f>A35</f>
        <v>成交单价（元/平方米）</v>
      </c>
      <c r="Q35" s="3630"/>
      <c r="R35" s="3631">
        <f>E35</f>
        <v>0</v>
      </c>
      <c r="S35" s="3631"/>
      <c r="T35" s="3631">
        <f>G35</f>
        <v>0</v>
      </c>
      <c r="U35" s="3631"/>
      <c r="V35" s="3631">
        <f>I35</f>
        <v>0</v>
      </c>
      <c r="W35" s="3631"/>
      <c r="X35" s="799"/>
      <c r="Y35" s="1314"/>
      <c r="Z35" s="799"/>
      <c r="AA35" s="799"/>
      <c r="AB35" s="799"/>
      <c r="AC35" s="799"/>
    </row>
    <row r="36" spans="1:29" ht="15.75" thickBot="1">
      <c r="A36" s="564" t="s">
        <v>2042</v>
      </c>
      <c r="B36" s="812"/>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30" t="str">
        <f>A36</f>
        <v>比较价格（元/平方米）</v>
      </c>
      <c r="Q36" s="3630"/>
      <c r="R36" s="3631" t="e">
        <f>IF(F1="售价",ROUND(PRODUCT(R35,AA7:AA34),0),ROUND(PRODUCT(R35,AA7:AA34),1))</f>
        <v>#DIV/0!</v>
      </c>
      <c r="S36" s="3631"/>
      <c r="T36" s="3631" t="e">
        <f>IF(F1="售价",ROUND(PRODUCT(T35,AB7:AB34),0),ROUND(PRODUCT(T35,AB7:AB34),1))</f>
        <v>#DIV/0!</v>
      </c>
      <c r="U36" s="3631"/>
      <c r="V36" s="3631" t="e">
        <f>IF(F1="售价",ROUND(PRODUCT(V35,AC7:AC34),0),ROUND(PRODUCT(V35,AC7:AC34),1))</f>
        <v>#DIV/0!</v>
      </c>
      <c r="W36" s="3631"/>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627" t="str">
        <f>A37</f>
        <v>估价对象XX用房的比较价格（楼面单价，元/平方米）</v>
      </c>
      <c r="Q37" s="3628"/>
      <c r="R37" s="3629" t="e">
        <f>IF(F1="售价",ROUND(IF(D36="简单平均",AVERAGE(R36:W36),R36*F36+T36*H36+V36*J36),0),ROUND(IF(D36="简单平均",AVERAGE(R36:V36),R36*F36+T36*H36+V36*J36),1))</f>
        <v>#DIV/0!</v>
      </c>
      <c r="S37" s="3629"/>
      <c r="T37" s="3629"/>
      <c r="U37" s="3629"/>
      <c r="V37" s="3629"/>
      <c r="W37" s="3629"/>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2024-12</v>
      </c>
      <c r="D46" s="2115">
        <f>EDATE(C46,-1)</f>
        <v>45597</v>
      </c>
      <c r="E46" s="2115">
        <f t="shared" ref="E46:O46" si="13">EDATE(D46,-1)</f>
        <v>45566</v>
      </c>
      <c r="F46" s="2115">
        <f t="shared" si="13"/>
        <v>45536</v>
      </c>
      <c r="G46" s="2115">
        <f t="shared" si="13"/>
        <v>45505</v>
      </c>
      <c r="H46" s="2115">
        <f t="shared" si="13"/>
        <v>45474</v>
      </c>
      <c r="I46" s="2115">
        <f t="shared" si="13"/>
        <v>45444</v>
      </c>
      <c r="J46" s="2115">
        <f t="shared" si="13"/>
        <v>45413</v>
      </c>
      <c r="K46" s="2115">
        <f t="shared" si="13"/>
        <v>45383</v>
      </c>
      <c r="L46" s="2115">
        <f t="shared" si="13"/>
        <v>45352</v>
      </c>
      <c r="M46" s="2115">
        <f t="shared" si="13"/>
        <v>45323</v>
      </c>
      <c r="N46" s="2115">
        <f t="shared" si="13"/>
        <v>45292</v>
      </c>
      <c r="O46" s="2115">
        <f t="shared" si="13"/>
        <v>45261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57" t="s">
        <v>1661</v>
      </c>
      <c r="D1" s="3758"/>
      <c r="E1" s="3758"/>
      <c r="F1" s="3758"/>
      <c r="G1" s="3758"/>
      <c r="H1" s="3758"/>
      <c r="I1" s="3758"/>
      <c r="J1" s="3758"/>
      <c r="K1" s="3758"/>
      <c r="L1" s="3758"/>
      <c r="M1" s="3758"/>
      <c r="N1" s="3758"/>
      <c r="O1" s="3758"/>
      <c r="P1" s="3758"/>
      <c r="Q1" s="3758"/>
      <c r="R1" s="3758"/>
      <c r="S1" s="375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54" t="s">
        <v>14</v>
      </c>
      <c r="D22" s="3755"/>
      <c r="E22" s="3755"/>
      <c r="F22" s="3755"/>
      <c r="G22" s="3755"/>
      <c r="H22" s="3755"/>
      <c r="I22" s="3755"/>
      <c r="J22" s="3755"/>
      <c r="K22" s="3755"/>
      <c r="L22" s="3755"/>
      <c r="M22" s="3755"/>
      <c r="N22" s="3755"/>
      <c r="O22" s="3755"/>
      <c r="P22" s="3755"/>
      <c r="Q22" s="3756"/>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45637</v>
      </c>
      <c r="H1" s="2234">
        <f>IF(C1&gt;C13,0,MATCH(C1,C$13:C$114,-1))+IF(SUMIF(C13:C114,C1,D13:D114)=0,13,12)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3.1</v>
      </c>
      <c r="J3" s="2240">
        <f ca="1">INDIRECT("d"&amp;$H$1)</f>
        <v>3.1</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3.1</v>
      </c>
      <c r="J4" s="2246">
        <f ca="1">INDIRECT("e"&amp;$H$1)</f>
        <v>3.1</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3.1</v>
      </c>
      <c r="J5" s="2246">
        <f ca="1">INDIRECT("f"&amp;$H$1)</f>
        <v>3.1</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3.1</v>
      </c>
      <c r="J6" s="2246">
        <f ca="1">INDIRECT("g"&amp;$H$1)</f>
        <v>3.1</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3.6</v>
      </c>
      <c r="J7" s="2251">
        <f ca="1">INDIRECT("h"&amp;$H$1)</f>
        <v>3.6</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45586</v>
      </c>
      <c r="D13" s="2280">
        <v>3.1</v>
      </c>
      <c r="E13" s="2280">
        <f>D13</f>
        <v>3.1</v>
      </c>
      <c r="F13" s="2280">
        <f>D13</f>
        <v>3.1</v>
      </c>
      <c r="G13" s="2280">
        <f>D13</f>
        <v>3.1</v>
      </c>
      <c r="H13" s="2280">
        <v>3.6</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45495</v>
      </c>
      <c r="D14" s="2284">
        <v>3.35</v>
      </c>
      <c r="E14" s="2284">
        <f>D14</f>
        <v>3.35</v>
      </c>
      <c r="F14" s="2284">
        <f>D14</f>
        <v>3.35</v>
      </c>
      <c r="G14" s="2284">
        <f>D14</f>
        <v>3.35</v>
      </c>
      <c r="H14" s="2284">
        <v>3.85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45342</v>
      </c>
      <c r="D15" s="2284">
        <v>3.45</v>
      </c>
      <c r="E15" s="2284">
        <f>D15</f>
        <v>3.45</v>
      </c>
      <c r="F15" s="2284">
        <f>D15</f>
        <v>3.45</v>
      </c>
      <c r="G15" s="2284">
        <f>D15</f>
        <v>3.45</v>
      </c>
      <c r="H15" s="2284">
        <v>3.95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45159</v>
      </c>
      <c r="D16" s="2284">
        <v>3.45</v>
      </c>
      <c r="E16" s="2284">
        <f>D16</f>
        <v>3.45</v>
      </c>
      <c r="F16" s="2284">
        <f>D16</f>
        <v>3.45</v>
      </c>
      <c r="G16" s="2284">
        <f>D16</f>
        <v>3.45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45097</v>
      </c>
      <c r="D17" s="2284">
        <v>3.55</v>
      </c>
      <c r="E17" s="2284">
        <f>D17</f>
        <v>3.55</v>
      </c>
      <c r="F17" s="2284">
        <f>D17</f>
        <v>3.55</v>
      </c>
      <c r="G17" s="2284">
        <f>D17</f>
        <v>3.55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44795</v>
      </c>
      <c r="D18" s="2284">
        <v>3.65</v>
      </c>
      <c r="E18" s="2284">
        <v>3.65</v>
      </c>
      <c r="F18" s="2284">
        <v>3.65</v>
      </c>
      <c r="G18" s="2284">
        <v>3.65</v>
      </c>
      <c r="H18" s="2284">
        <v>4.3</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44701</v>
      </c>
      <c r="D19" s="2284">
        <v>3.7</v>
      </c>
      <c r="E19" s="2284">
        <f>D19</f>
        <v>3.7</v>
      </c>
      <c r="F19" s="2284">
        <f>D19</f>
        <v>3.7</v>
      </c>
      <c r="G19" s="2284">
        <f>D19</f>
        <v>3.7</v>
      </c>
      <c r="H19" s="2284">
        <v>4.45</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44581</v>
      </c>
      <c r="D20" s="2284">
        <v>3.7</v>
      </c>
      <c r="E20" s="2284">
        <f>D20</f>
        <v>3.7</v>
      </c>
      <c r="F20" s="2284">
        <f>D20</f>
        <v>3.7</v>
      </c>
      <c r="G20" s="2284">
        <f>D20</f>
        <v>3.7</v>
      </c>
      <c r="H20" s="2284">
        <v>4.5999999999999996</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44550</v>
      </c>
      <c r="D21" s="2284">
        <v>3.8</v>
      </c>
      <c r="E21" s="2284">
        <f>D21</f>
        <v>3.8</v>
      </c>
      <c r="F21" s="2284">
        <f>D21</f>
        <v>3.8</v>
      </c>
      <c r="G21" s="2284">
        <f>D21</f>
        <v>3.8</v>
      </c>
      <c r="H21" s="2284">
        <v>4.6500000000000004</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43941</v>
      </c>
      <c r="D22" s="2284">
        <v>3.85</v>
      </c>
      <c r="E22" s="2284">
        <v>3.85</v>
      </c>
      <c r="F22" s="2284">
        <v>3.85</v>
      </c>
      <c r="G22" s="2284">
        <v>3.85</v>
      </c>
      <c r="H22" s="2284">
        <v>4.6500000000000004</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43881</v>
      </c>
      <c r="D23" s="2284">
        <v>4.05</v>
      </c>
      <c r="E23" s="2284">
        <v>4.05</v>
      </c>
      <c r="F23" s="2284">
        <v>4.05</v>
      </c>
      <c r="G23" s="2284">
        <v>4.05</v>
      </c>
      <c r="H23" s="2284">
        <v>4.75</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43789</v>
      </c>
      <c r="D24" s="2284">
        <v>4.1500000000000004</v>
      </c>
      <c r="E24" s="2284">
        <v>4.1500000000000004</v>
      </c>
      <c r="F24" s="2284">
        <v>4.1500000000000004</v>
      </c>
      <c r="G24" s="2284">
        <v>4.1500000000000004</v>
      </c>
      <c r="H24" s="2284">
        <v>4.8</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43728</v>
      </c>
      <c r="D25" s="2284">
        <v>4.2</v>
      </c>
      <c r="E25" s="2284">
        <v>4.2</v>
      </c>
      <c r="F25" s="2284">
        <v>4.2</v>
      </c>
      <c r="G25" s="2284">
        <v>4.2</v>
      </c>
      <c r="H25" s="2284">
        <v>4.8499999999999996</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4.25">
      <c r="B26" s="2278" t="s">
        <v>2288</v>
      </c>
      <c r="C26" s="2286">
        <v>43697</v>
      </c>
      <c r="D26" s="2778">
        <v>4.25</v>
      </c>
      <c r="E26" s="2778">
        <v>4.25</v>
      </c>
      <c r="F26" s="2778">
        <v>4.25</v>
      </c>
      <c r="G26" s="2778">
        <v>4.25</v>
      </c>
      <c r="H26" s="2778">
        <v>4.8499999999999996</v>
      </c>
      <c r="I26" s="2778"/>
      <c r="J26" s="2778"/>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782"/>
      <c r="C27" s="2783">
        <v>42301</v>
      </c>
      <c r="D27" s="2784">
        <v>4.3499999999999996</v>
      </c>
      <c r="E27" s="2784">
        <v>4.3499999999999996</v>
      </c>
      <c r="F27" s="2784">
        <v>4.75</v>
      </c>
      <c r="G27" s="2784">
        <v>4.75</v>
      </c>
      <c r="H27" s="2784">
        <v>4.9000000000000004</v>
      </c>
      <c r="I27" s="2784"/>
      <c r="J27" s="27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42242</v>
      </c>
      <c r="D28" s="2284">
        <v>4.5999999999999996</v>
      </c>
      <c r="E28" s="2284">
        <v>4.5999999999999996</v>
      </c>
      <c r="F28" s="2284">
        <v>5</v>
      </c>
      <c r="G28" s="2284">
        <v>5</v>
      </c>
      <c r="H28" s="2284">
        <v>5.15</v>
      </c>
      <c r="I28" s="2284">
        <v>2.75</v>
      </c>
      <c r="J28" s="2284">
        <v>3.25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42183</v>
      </c>
      <c r="D29" s="2284">
        <v>4.8499999999999996</v>
      </c>
      <c r="E29" s="2284">
        <v>4.8499999999999996</v>
      </c>
      <c r="F29" s="2284">
        <v>5.25</v>
      </c>
      <c r="G29" s="2284">
        <v>5.25</v>
      </c>
      <c r="H29" s="2284">
        <v>5.4</v>
      </c>
      <c r="I29" s="2284">
        <v>3</v>
      </c>
      <c r="J29" s="2284">
        <v>3.5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42135</v>
      </c>
      <c r="D30" s="2284">
        <v>5.0999999999999996</v>
      </c>
      <c r="E30" s="2284">
        <v>5.0999999999999996</v>
      </c>
      <c r="F30" s="2284">
        <v>5.5</v>
      </c>
      <c r="G30" s="2284">
        <v>5.5</v>
      </c>
      <c r="H30" s="2284">
        <v>5.65</v>
      </c>
      <c r="I30" s="2284">
        <v>3.25</v>
      </c>
      <c r="J30" s="2284">
        <v>3.75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42064</v>
      </c>
      <c r="D31" s="2284">
        <v>5.35</v>
      </c>
      <c r="E31" s="2284">
        <v>5.35</v>
      </c>
      <c r="F31" s="2284">
        <v>5.75</v>
      </c>
      <c r="G31" s="2284">
        <v>5.75</v>
      </c>
      <c r="H31" s="2284">
        <v>5.9</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41965</v>
      </c>
      <c r="D32" s="2284">
        <v>5.6</v>
      </c>
      <c r="E32" s="2284">
        <v>5.6</v>
      </c>
      <c r="F32" s="2284">
        <v>6</v>
      </c>
      <c r="G32" s="2284">
        <v>6</v>
      </c>
      <c r="H32" s="2284">
        <v>6.15</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41096</v>
      </c>
      <c r="D33" s="2284">
        <v>5.6</v>
      </c>
      <c r="E33" s="2284">
        <v>6</v>
      </c>
      <c r="F33" s="2284">
        <v>6.15</v>
      </c>
      <c r="G33" s="2284">
        <v>6.4</v>
      </c>
      <c r="H33" s="2284">
        <v>6.55</v>
      </c>
      <c r="I33" s="2284">
        <v>4</v>
      </c>
      <c r="J33" s="2284">
        <v>4.5</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41068</v>
      </c>
      <c r="D34" s="2284">
        <v>5.85</v>
      </c>
      <c r="E34" s="2284">
        <v>6.31</v>
      </c>
      <c r="F34" s="2284">
        <v>6.4</v>
      </c>
      <c r="G34" s="2284">
        <v>6.65</v>
      </c>
      <c r="H34" s="2284">
        <v>6.8</v>
      </c>
      <c r="I34" s="2284">
        <v>4.2</v>
      </c>
      <c r="J34" s="2284">
        <v>4.7</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40731</v>
      </c>
      <c r="D35" s="2284">
        <v>6.1</v>
      </c>
      <c r="E35" s="2284">
        <v>6.56</v>
      </c>
      <c r="F35" s="2284">
        <v>6.65</v>
      </c>
      <c r="G35" s="2284">
        <v>6.9</v>
      </c>
      <c r="H35" s="2284">
        <v>7.05</v>
      </c>
      <c r="I35" s="2284">
        <v>4.45</v>
      </c>
      <c r="J35" s="2284">
        <v>4.9000000000000004</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40639</v>
      </c>
      <c r="D36" s="2284">
        <v>5.85</v>
      </c>
      <c r="E36" s="2284">
        <v>6.31</v>
      </c>
      <c r="F36" s="2284">
        <v>6.4</v>
      </c>
      <c r="G36" s="2284">
        <v>6.65</v>
      </c>
      <c r="H36" s="2284">
        <v>6.8</v>
      </c>
      <c r="I36" s="2284">
        <v>4.2</v>
      </c>
      <c r="J36" s="2284">
        <v>4.7</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40583</v>
      </c>
      <c r="D37" s="2284">
        <v>5.6</v>
      </c>
      <c r="E37" s="2284">
        <v>6.06</v>
      </c>
      <c r="F37" s="2284">
        <v>6.1</v>
      </c>
      <c r="G37" s="2284">
        <v>6.45</v>
      </c>
      <c r="H37" s="2284">
        <v>6.6</v>
      </c>
      <c r="I37" s="2284">
        <v>4</v>
      </c>
      <c r="J37" s="2284">
        <v>4.5</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40538</v>
      </c>
      <c r="D38" s="2284">
        <v>5.35</v>
      </c>
      <c r="E38" s="2284">
        <v>5.81</v>
      </c>
      <c r="F38" s="2284">
        <v>5.85</v>
      </c>
      <c r="G38" s="2284">
        <v>6.22</v>
      </c>
      <c r="H38" s="2284">
        <v>6.4</v>
      </c>
      <c r="I38" s="2284">
        <v>3.75</v>
      </c>
      <c r="J38" s="2284">
        <v>4.3</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40471</v>
      </c>
      <c r="D39" s="2284">
        <v>5.0999999999999996</v>
      </c>
      <c r="E39" s="2284">
        <v>5.56</v>
      </c>
      <c r="F39" s="2284">
        <v>5.6</v>
      </c>
      <c r="G39" s="2284">
        <v>5.96</v>
      </c>
      <c r="H39" s="2284">
        <v>6.14</v>
      </c>
      <c r="I39" s="2284">
        <v>3.5</v>
      </c>
      <c r="J39" s="2284">
        <v>4.05</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39805</v>
      </c>
      <c r="D40" s="2284">
        <v>4.8600000000000003</v>
      </c>
      <c r="E40" s="2284">
        <v>5.31</v>
      </c>
      <c r="F40" s="2284">
        <v>5.4</v>
      </c>
      <c r="G40" s="2284">
        <v>5.76</v>
      </c>
      <c r="H40" s="2284">
        <v>5.94</v>
      </c>
      <c r="I40" s="2284">
        <v>3.33</v>
      </c>
      <c r="J40" s="2284">
        <v>3.87</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39779</v>
      </c>
      <c r="D41" s="2284">
        <v>5.04</v>
      </c>
      <c r="E41" s="2284">
        <v>5.58</v>
      </c>
      <c r="F41" s="2284">
        <v>5.67</v>
      </c>
      <c r="G41" s="2284">
        <v>5.94</v>
      </c>
      <c r="H41" s="2284">
        <v>6.12</v>
      </c>
      <c r="I41" s="2284">
        <v>3.51</v>
      </c>
      <c r="J41" s="2284">
        <v>4.05</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39751</v>
      </c>
      <c r="D42" s="2284">
        <v>6.03</v>
      </c>
      <c r="E42" s="2284">
        <v>6.66</v>
      </c>
      <c r="F42" s="2284">
        <v>6.75</v>
      </c>
      <c r="G42" s="2284">
        <v>7.02</v>
      </c>
      <c r="H42" s="2284">
        <v>7.2</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6">
        <v>39748</v>
      </c>
      <c r="D43" s="2284">
        <v>6.12</v>
      </c>
      <c r="E43" s="2284">
        <v>6.93</v>
      </c>
      <c r="F43" s="2284">
        <v>7.02</v>
      </c>
      <c r="G43" s="2284">
        <v>7.29</v>
      </c>
      <c r="H43" s="2284">
        <v>7.47</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39730</v>
      </c>
      <c r="D44" s="2284">
        <v>6.12</v>
      </c>
      <c r="E44" s="2284">
        <v>6.93</v>
      </c>
      <c r="F44" s="2284">
        <v>7.02</v>
      </c>
      <c r="G44" s="2284">
        <v>7.29</v>
      </c>
      <c r="H44" s="2284">
        <v>7.47</v>
      </c>
      <c r="I44" s="2284">
        <v>4.32</v>
      </c>
      <c r="J44" s="2284">
        <v>4.8600000000000003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39707</v>
      </c>
      <c r="D45" s="2284">
        <v>6.21</v>
      </c>
      <c r="E45" s="2284">
        <v>7.2</v>
      </c>
      <c r="F45" s="2284">
        <v>7.29</v>
      </c>
      <c r="G45" s="2284">
        <v>7.56</v>
      </c>
      <c r="H45" s="2284">
        <v>7.74</v>
      </c>
      <c r="I45" s="2284">
        <v>4.59</v>
      </c>
      <c r="J45" s="2284">
        <v>5.13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39437</v>
      </c>
      <c r="D46" s="2284">
        <v>6.57</v>
      </c>
      <c r="E46" s="2284">
        <v>7.47</v>
      </c>
      <c r="F46" s="2284">
        <v>7.56</v>
      </c>
      <c r="G46" s="2284">
        <v>7.74</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39340</v>
      </c>
      <c r="D47" s="2284">
        <v>6.48</v>
      </c>
      <c r="E47" s="2284">
        <v>7.29</v>
      </c>
      <c r="F47" s="2284">
        <v>7.47</v>
      </c>
      <c r="G47" s="2284">
        <v>7.65</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39316</v>
      </c>
      <c r="D48" s="2284">
        <v>6.21</v>
      </c>
      <c r="E48" s="2284">
        <v>7.02</v>
      </c>
      <c r="F48" s="2284">
        <v>7.2</v>
      </c>
      <c r="G48" s="2284">
        <v>7.38</v>
      </c>
      <c r="H48" s="2284">
        <v>7.56</v>
      </c>
      <c r="I48" s="2284">
        <v>4.59</v>
      </c>
      <c r="J48" s="2284">
        <v>5.04</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39284</v>
      </c>
      <c r="D49" s="2284">
        <v>6.03</v>
      </c>
      <c r="E49" s="2284">
        <v>6.84</v>
      </c>
      <c r="F49" s="2284">
        <v>7.02</v>
      </c>
      <c r="G49" s="2284">
        <v>7.2</v>
      </c>
      <c r="H49" s="2284">
        <v>7.38</v>
      </c>
      <c r="I49" s="2284">
        <v>4.5</v>
      </c>
      <c r="J49" s="2284">
        <v>4.95</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39221</v>
      </c>
      <c r="D50" s="2284">
        <v>5.85</v>
      </c>
      <c r="E50" s="2284">
        <v>6.57</v>
      </c>
      <c r="F50" s="2284">
        <v>6.75</v>
      </c>
      <c r="G50" s="2284">
        <v>6.93</v>
      </c>
      <c r="H50" s="2284">
        <v>7.2</v>
      </c>
      <c r="I50" s="2284">
        <v>4.41</v>
      </c>
      <c r="J50" s="2284">
        <v>4.8600000000000003</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39159</v>
      </c>
      <c r="D51" s="2284">
        <v>5.67</v>
      </c>
      <c r="E51" s="2284">
        <v>6.39</v>
      </c>
      <c r="F51" s="2284">
        <v>6.57</v>
      </c>
      <c r="G51" s="2284">
        <v>6.75</v>
      </c>
      <c r="H51" s="2284">
        <v>7.11</v>
      </c>
      <c r="I51" s="2284">
        <v>4.32</v>
      </c>
      <c r="J51" s="2284">
        <v>4.7699999999999996</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38948</v>
      </c>
      <c r="D52" s="2284">
        <v>5.58</v>
      </c>
      <c r="E52" s="2284">
        <v>6.12</v>
      </c>
      <c r="F52" s="2284">
        <v>6.3</v>
      </c>
      <c r="G52" s="2284">
        <v>6.48</v>
      </c>
      <c r="H52" s="2284">
        <v>6.84</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38835</v>
      </c>
      <c r="D53" s="2284">
        <v>5.4</v>
      </c>
      <c r="E53" s="2284">
        <v>5.85</v>
      </c>
      <c r="F53" s="2284">
        <v>6.03</v>
      </c>
      <c r="G53" s="2284">
        <v>6.12</v>
      </c>
      <c r="H53" s="2284">
        <v>6.39</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38428</v>
      </c>
      <c r="D54" s="2284">
        <v>5.22</v>
      </c>
      <c r="E54" s="2284">
        <v>5.58</v>
      </c>
      <c r="F54" s="2284">
        <v>5.76</v>
      </c>
      <c r="G54" s="2284">
        <v>5.85</v>
      </c>
      <c r="H54" s="2284">
        <v>6.12</v>
      </c>
      <c r="I54" s="2284">
        <v>3.96</v>
      </c>
      <c r="J54" s="2284">
        <v>4.41</v>
      </c>
      <c r="L54" s="2284"/>
      <c r="M54" s="2285"/>
      <c r="N54" s="2284"/>
      <c r="O54" s="2284"/>
      <c r="P54" s="2284"/>
      <c r="Q54" s="2284"/>
      <c r="R54" s="2284"/>
      <c r="S54" s="2284"/>
      <c r="T54" s="2284"/>
      <c r="U54" s="2284"/>
      <c r="V54" s="2284"/>
      <c r="W54" s="2284"/>
      <c r="X54" s="2284"/>
      <c r="Y54" s="2284"/>
      <c r="Z54" s="2284"/>
    </row>
    <row r="55" spans="2:26">
      <c r="B55" s="2284"/>
      <c r="C55" s="2285">
        <v>38289</v>
      </c>
      <c r="D55" s="2284">
        <v>5.22</v>
      </c>
      <c r="E55" s="2284">
        <v>5.58</v>
      </c>
      <c r="F55" s="2284">
        <v>5.76</v>
      </c>
      <c r="G55" s="2284">
        <v>5.85</v>
      </c>
      <c r="H55" s="2284">
        <v>6.12</v>
      </c>
      <c r="I55" s="2284">
        <v>3.78</v>
      </c>
      <c r="J55" s="2284">
        <v>4.2300000000000004</v>
      </c>
      <c r="L55" s="2284"/>
      <c r="M55" s="2285"/>
      <c r="N55" s="2284"/>
      <c r="O55" s="2284"/>
      <c r="P55" s="2284"/>
      <c r="Q55" s="2284"/>
      <c r="R55" s="2284"/>
      <c r="S55" s="2284"/>
      <c r="T55" s="2284"/>
      <c r="U55" s="2284"/>
      <c r="V55" s="2284"/>
      <c r="W55" s="2284"/>
      <c r="X55" s="2284"/>
      <c r="Y55" s="2284"/>
      <c r="Z55" s="2284"/>
    </row>
    <row r="56" spans="2:26">
      <c r="B56" s="2284"/>
      <c r="C56" s="2285">
        <v>37308</v>
      </c>
      <c r="D56" s="2284">
        <v>5.04</v>
      </c>
      <c r="E56" s="2284">
        <v>5.31</v>
      </c>
      <c r="F56" s="2284">
        <v>5.49</v>
      </c>
      <c r="G56" s="2284">
        <v>5.58</v>
      </c>
      <c r="H56" s="2284">
        <v>5.76</v>
      </c>
      <c r="I56" s="2284">
        <v>3.6</v>
      </c>
      <c r="J56" s="2284">
        <v>4.05</v>
      </c>
      <c r="L56" s="2284"/>
      <c r="M56" s="2285"/>
      <c r="N56" s="2284"/>
      <c r="O56" s="2284"/>
      <c r="P56" s="2284"/>
      <c r="Q56" s="2284"/>
      <c r="R56" s="2284"/>
      <c r="S56" s="2284"/>
      <c r="T56" s="2284"/>
      <c r="U56" s="2284"/>
      <c r="V56" s="2284"/>
      <c r="W56" s="2284"/>
      <c r="X56" s="2284"/>
      <c r="Y56" s="2284"/>
      <c r="Z56" s="2284"/>
    </row>
    <row r="57" spans="2:26">
      <c r="B57" s="2284"/>
      <c r="C57" s="2285">
        <v>36321</v>
      </c>
      <c r="D57" s="2284">
        <v>5.58</v>
      </c>
      <c r="E57" s="2284">
        <v>5.85</v>
      </c>
      <c r="F57" s="2284">
        <v>5.94</v>
      </c>
      <c r="G57" s="2284">
        <v>6.03</v>
      </c>
      <c r="H57" s="2284">
        <v>6.21</v>
      </c>
      <c r="I57" s="2284">
        <v>4.1399999999999997</v>
      </c>
      <c r="J57" s="2284">
        <v>4.59</v>
      </c>
      <c r="L57" s="2284"/>
      <c r="M57" s="2285"/>
      <c r="N57" s="2284"/>
      <c r="O57" s="2284"/>
      <c r="P57" s="2284"/>
      <c r="Q57" s="2284"/>
      <c r="R57" s="2284"/>
      <c r="S57" s="2284"/>
      <c r="T57" s="2284"/>
      <c r="U57" s="2284"/>
      <c r="V57" s="2284"/>
      <c r="W57" s="2284"/>
      <c r="X57" s="2284"/>
      <c r="Y57" s="2284"/>
      <c r="Z57" s="2284"/>
    </row>
    <row r="58" spans="2:26">
      <c r="B58" s="2284"/>
      <c r="C58" s="2285">
        <v>36136</v>
      </c>
      <c r="D58" s="2284">
        <v>6.12</v>
      </c>
      <c r="E58" s="2284">
        <v>6.39</v>
      </c>
      <c r="F58" s="2284">
        <v>6.66</v>
      </c>
      <c r="G58" s="2284">
        <v>7.2</v>
      </c>
      <c r="H58" s="2284">
        <v>7.56</v>
      </c>
      <c r="I58" s="2284">
        <v>0</v>
      </c>
      <c r="J58" s="2284">
        <v>0</v>
      </c>
    </row>
    <row r="59" spans="2:26">
      <c r="B59" s="2284"/>
      <c r="C59" s="2285">
        <v>35977</v>
      </c>
      <c r="D59" s="2284">
        <v>6.57</v>
      </c>
      <c r="E59" s="2284">
        <v>6.93</v>
      </c>
      <c r="F59" s="2284">
        <v>7.11</v>
      </c>
      <c r="G59" s="2284">
        <v>7.65</v>
      </c>
      <c r="H59" s="2284">
        <v>8.01</v>
      </c>
      <c r="I59" s="2284">
        <v>0</v>
      </c>
      <c r="J59" s="2284">
        <v>0</v>
      </c>
    </row>
    <row r="60" spans="2:26">
      <c r="B60" s="2284"/>
      <c r="C60" s="2285">
        <v>35879</v>
      </c>
      <c r="D60" s="2284">
        <v>7.02</v>
      </c>
      <c r="E60" s="2284">
        <v>7.92</v>
      </c>
      <c r="F60" s="2284">
        <v>9</v>
      </c>
      <c r="G60" s="2284">
        <v>9.7200000000000006</v>
      </c>
      <c r="H60" s="2284">
        <v>10.35</v>
      </c>
      <c r="I60" s="2284">
        <v>0</v>
      </c>
      <c r="J60" s="2284">
        <v>0</v>
      </c>
    </row>
    <row r="61" spans="2:26">
      <c r="B61" s="2284"/>
      <c r="C61" s="2285">
        <v>35726</v>
      </c>
      <c r="D61" s="2284">
        <v>7.65</v>
      </c>
      <c r="E61" s="2284">
        <v>8.64</v>
      </c>
      <c r="F61" s="2284">
        <v>9.36</v>
      </c>
      <c r="G61" s="2284">
        <v>9.9</v>
      </c>
      <c r="H61" s="2284">
        <v>10.53</v>
      </c>
      <c r="I61" s="2284">
        <v>0</v>
      </c>
      <c r="J61" s="2284">
        <v>0</v>
      </c>
    </row>
    <row r="62" spans="2:26">
      <c r="B62" s="2284"/>
      <c r="C62" s="2285">
        <v>35300</v>
      </c>
      <c r="D62" s="2284">
        <v>9.18</v>
      </c>
      <c r="E62" s="2284">
        <v>10.08</v>
      </c>
      <c r="F62" s="2284">
        <v>10.98</v>
      </c>
      <c r="G62" s="2284">
        <v>11.7</v>
      </c>
      <c r="H62" s="2284">
        <v>12.42</v>
      </c>
      <c r="I62" s="2284">
        <v>0</v>
      </c>
      <c r="J62" s="2284">
        <v>0</v>
      </c>
    </row>
    <row r="63" spans="2:26">
      <c r="B63" s="2284"/>
      <c r="C63" s="2285">
        <v>35186</v>
      </c>
      <c r="D63" s="2284">
        <v>9.7200000000000006</v>
      </c>
      <c r="E63" s="2284">
        <v>10.98</v>
      </c>
      <c r="F63" s="2284">
        <v>13.14</v>
      </c>
      <c r="G63" s="2284">
        <v>14.94</v>
      </c>
      <c r="H63" s="2284">
        <v>15.12</v>
      </c>
      <c r="I63" s="2284">
        <v>0</v>
      </c>
      <c r="J63" s="2284">
        <v>0</v>
      </c>
    </row>
    <row r="64" spans="2:26">
      <c r="B64" s="2284"/>
      <c r="C64" s="2285">
        <v>34881</v>
      </c>
      <c r="D64" s="2284">
        <v>10.08</v>
      </c>
      <c r="E64" s="2284">
        <v>12.06</v>
      </c>
      <c r="F64" s="2284">
        <v>13.5</v>
      </c>
      <c r="G64" s="2284">
        <v>15.12</v>
      </c>
      <c r="H64" s="2284">
        <v>15.3</v>
      </c>
      <c r="I64" s="2284">
        <v>0</v>
      </c>
      <c r="J64" s="2284">
        <v>0</v>
      </c>
    </row>
    <row r="65" spans="2:10">
      <c r="B65" s="2284"/>
      <c r="C65" s="2285">
        <v>34700</v>
      </c>
      <c r="D65" s="2284">
        <v>9</v>
      </c>
      <c r="E65" s="2284">
        <v>10.98</v>
      </c>
      <c r="F65" s="2284">
        <v>12.96</v>
      </c>
      <c r="G65" s="2284">
        <v>14.58</v>
      </c>
      <c r="H65" s="2284">
        <v>14.76</v>
      </c>
      <c r="I65" s="2284">
        <v>0</v>
      </c>
      <c r="J65" s="2284">
        <v>0</v>
      </c>
    </row>
    <row r="66" spans="2:10">
      <c r="B66" s="2284"/>
      <c r="C66" s="2285">
        <v>34161</v>
      </c>
      <c r="D66" s="2284">
        <v>9</v>
      </c>
      <c r="E66" s="2284">
        <v>10.98</v>
      </c>
      <c r="F66" s="2284">
        <v>12.24</v>
      </c>
      <c r="G66" s="2284">
        <v>13.86</v>
      </c>
      <c r="H66" s="2284">
        <v>14.04</v>
      </c>
      <c r="I66" s="2284">
        <v>0</v>
      </c>
      <c r="J66" s="2284">
        <v>0</v>
      </c>
    </row>
    <row r="67" spans="2:10">
      <c r="B67" s="2284"/>
      <c r="C67" s="2285">
        <v>34104</v>
      </c>
      <c r="D67" s="2284">
        <v>8.82</v>
      </c>
      <c r="E67" s="2284">
        <v>9.36</v>
      </c>
      <c r="F67" s="2284">
        <v>10.8</v>
      </c>
      <c r="G67" s="2284">
        <v>12.06</v>
      </c>
      <c r="H67" s="2284">
        <v>12.24</v>
      </c>
      <c r="I67" s="2284">
        <v>0</v>
      </c>
      <c r="J67" s="2284">
        <v>0</v>
      </c>
    </row>
    <row r="68" spans="2:10">
      <c r="B68" s="2284"/>
      <c r="C68" s="2285">
        <v>33349</v>
      </c>
      <c r="D68" s="2284">
        <v>8.1</v>
      </c>
      <c r="E68" s="2284">
        <v>8.64</v>
      </c>
      <c r="F68" s="2284">
        <v>9</v>
      </c>
      <c r="G68" s="2284">
        <v>9.5399999999999991</v>
      </c>
      <c r="H68" s="2284">
        <v>9.7200000000000006</v>
      </c>
      <c r="I68" s="2284">
        <v>0</v>
      </c>
      <c r="J68" s="2284">
        <v>0</v>
      </c>
    </row>
    <row r="69" spans="2:10">
      <c r="B69" s="2284"/>
      <c r="C69" s="2285">
        <v>33318</v>
      </c>
      <c r="D69" s="2284">
        <v>9</v>
      </c>
      <c r="E69" s="2284">
        <v>10.08</v>
      </c>
      <c r="F69" s="2284">
        <v>10.8</v>
      </c>
      <c r="G69" s="2284">
        <v>11.52</v>
      </c>
      <c r="H69" s="2284">
        <v>11.88</v>
      </c>
      <c r="I69" s="2284" t="s">
        <v>2095</v>
      </c>
      <c r="J69" s="2284" t="s">
        <v>2095</v>
      </c>
    </row>
    <row r="70" spans="2:10">
      <c r="B70" s="2284"/>
      <c r="C70" s="2285">
        <v>33106</v>
      </c>
      <c r="D70" s="2284">
        <v>8.64</v>
      </c>
      <c r="E70" s="2284">
        <v>9.36</v>
      </c>
      <c r="F70" s="2284">
        <v>10.08</v>
      </c>
      <c r="G70" s="2284">
        <v>10.8</v>
      </c>
      <c r="H70" s="2284">
        <v>11.16</v>
      </c>
      <c r="I70" s="2284">
        <v>0</v>
      </c>
      <c r="J70" s="2284">
        <v>0</v>
      </c>
    </row>
    <row r="71" spans="2:10">
      <c r="B71" s="2284"/>
      <c r="C71" s="2285">
        <v>32540</v>
      </c>
      <c r="D71" s="2284">
        <v>11.34</v>
      </c>
      <c r="E71" s="2284">
        <v>11.34</v>
      </c>
      <c r="F71" s="2284">
        <v>12.78</v>
      </c>
      <c r="G71" s="2284">
        <v>14.4</v>
      </c>
      <c r="H71" s="2284">
        <v>19.260000000000002</v>
      </c>
      <c r="I71" s="2284">
        <v>0</v>
      </c>
      <c r="J71" s="2284">
        <v>0</v>
      </c>
    </row>
    <row r="72" spans="2:10">
      <c r="B72" s="2284"/>
      <c r="C72" s="2285"/>
      <c r="D72" s="2284"/>
      <c r="E72" s="2284"/>
      <c r="F72" s="2284"/>
      <c r="G72" s="2284"/>
      <c r="H72" s="2284"/>
      <c r="I72" s="2284"/>
      <c r="J72" s="2284"/>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37"/>
      <c r="C76" s="2237"/>
      <c r="D76" s="2237"/>
      <c r="E76" s="2237"/>
      <c r="F76" s="2237"/>
      <c r="G76" s="2237"/>
      <c r="H76" s="2237"/>
      <c r="I76" s="2237"/>
      <c r="J76" s="2237"/>
    </row>
    <row r="77" spans="2:10">
      <c r="B77" s="2237"/>
      <c r="C77" s="2237"/>
      <c r="D77" s="2237"/>
      <c r="E77" s="2237"/>
      <c r="F77" s="2237"/>
      <c r="G77" s="2237"/>
      <c r="H77" s="2237"/>
      <c r="I77" s="2237"/>
      <c r="J77"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4" t="s">
        <v>1556</v>
      </c>
      <c r="B1" s="3444"/>
      <c r="C1" s="3444"/>
      <c r="D1" s="3444"/>
      <c r="E1" s="3444"/>
      <c r="F1" s="3444"/>
      <c r="G1" s="3444"/>
      <c r="H1" s="3444"/>
      <c r="I1" s="3444"/>
      <c r="J1" s="3444"/>
      <c r="K1" s="3444"/>
      <c r="L1" s="3444"/>
      <c r="M1" s="3444"/>
      <c r="N1" s="3444"/>
      <c r="O1" s="3444"/>
      <c r="P1" s="3444"/>
      <c r="Q1" s="3444"/>
      <c r="R1" s="3444"/>
    </row>
    <row r="2" spans="1:18">
      <c r="A2" s="1502" t="s">
        <v>1558</v>
      </c>
      <c r="B2" s="1502"/>
      <c r="C2" s="1502"/>
      <c r="D2" s="1502"/>
      <c r="E2" s="1502"/>
      <c r="F2" s="1502"/>
      <c r="G2" s="1502"/>
      <c r="H2" s="1502"/>
      <c r="I2" s="1503"/>
      <c r="J2" s="1503"/>
      <c r="K2" s="1504" t="str">
        <f>"估价期日："&amp;TEXT(项目基本情况!D3,"yyyy年m月d日;;")</f>
        <v>估价期日：2024年12月11日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45" t="s">
        <v>1547</v>
      </c>
      <c r="B3" s="3445" t="s">
        <v>2013</v>
      </c>
      <c r="C3" s="3446" t="s">
        <v>1548</v>
      </c>
      <c r="D3" s="3445" t="s">
        <v>2017</v>
      </c>
      <c r="E3" s="3440" t="s">
        <v>1549</v>
      </c>
      <c r="F3" s="3440"/>
      <c r="G3" s="3440"/>
      <c r="H3" s="3440" t="s">
        <v>1550</v>
      </c>
      <c r="I3" s="3440"/>
      <c r="J3" s="3440"/>
      <c r="K3" s="3446" t="s">
        <v>1551</v>
      </c>
      <c r="L3" s="3446" t="s">
        <v>1552</v>
      </c>
      <c r="M3" s="3445" t="s">
        <v>2014</v>
      </c>
      <c r="N3" s="3445" t="str">
        <f>"（分摊）"&amp;项目基本情况!A17&amp;"国有建设用地使用权面积/㎡"</f>
        <v>（分摊）出让国有建设用地使用权面积/㎡</v>
      </c>
      <c r="O3" s="3445" t="s">
        <v>1581</v>
      </c>
      <c r="P3" s="3446" t="s">
        <v>1561</v>
      </c>
      <c r="Q3" s="3446" t="s">
        <v>1582</v>
      </c>
      <c r="R3" s="3446" t="s">
        <v>1553</v>
      </c>
    </row>
    <row r="4" spans="1:18" ht="36.75" customHeight="1">
      <c r="A4" s="3445"/>
      <c r="B4" s="3445"/>
      <c r="C4" s="3446"/>
      <c r="D4" s="3445"/>
      <c r="E4" s="1505" t="s">
        <v>1560</v>
      </c>
      <c r="F4" s="1505" t="s">
        <v>2026</v>
      </c>
      <c r="G4" s="1505" t="s">
        <v>1554</v>
      </c>
      <c r="H4" s="1505" t="s">
        <v>1555</v>
      </c>
      <c r="I4" s="1505" t="s">
        <v>2027</v>
      </c>
      <c r="J4" s="1505" t="s">
        <v>1554</v>
      </c>
      <c r="K4" s="3446"/>
      <c r="L4" s="3446"/>
      <c r="M4" s="3445"/>
      <c r="N4" s="3445"/>
      <c r="O4" s="3445"/>
      <c r="P4" s="3446"/>
      <c r="Q4" s="3446"/>
      <c r="R4" s="344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659.99</v>
      </c>
      <c r="O5" s="1505">
        <f>项目基本情况!C21</f>
        <v>941.58999999999992</v>
      </c>
      <c r="P5" s="1505">
        <f ca="1">结果表!E42</f>
        <v>53804</v>
      </c>
      <c r="Q5" s="1505">
        <f ca="1">结果表!D42</f>
        <v>37713</v>
      </c>
      <c r="R5" s="1506">
        <f ca="1">结果表!C42</f>
        <v>3551</v>
      </c>
    </row>
    <row r="6" spans="1:18">
      <c r="A6" s="3441" t="str">
        <f>IF(项目基本情况!B9="市场价格","——","抵押价格")</f>
        <v>——</v>
      </c>
      <c r="B6" s="3442"/>
      <c r="C6" s="3442"/>
      <c r="D6" s="3442"/>
      <c r="E6" s="3442"/>
      <c r="F6" s="3442"/>
      <c r="G6" s="3442"/>
      <c r="H6" s="3442"/>
      <c r="I6" s="3442"/>
      <c r="J6" s="3442"/>
      <c r="K6" s="3442"/>
      <c r="L6" s="3442"/>
      <c r="M6" s="3442"/>
      <c r="N6" s="3442"/>
      <c r="O6" s="3442"/>
      <c r="P6" s="3442"/>
      <c r="Q6" s="3443"/>
      <c r="R6" s="1507" t="str">
        <f>结果表!O39</f>
        <v>——</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43"/>
      <c r="R7" s="1507" t="str">
        <f>结果表!O40</f>
        <v>——</v>
      </c>
    </row>
    <row r="8" spans="1:18">
      <c r="A8" s="3441" t="str">
        <f>IF(项目基本情况!B9="市场价格","——",项目基本情况!E9)</f>
        <v>——</v>
      </c>
      <c r="B8" s="3442"/>
      <c r="C8" s="3442"/>
      <c r="D8" s="3442"/>
      <c r="E8" s="3442"/>
      <c r="F8" s="3442"/>
      <c r="G8" s="3442"/>
      <c r="H8" s="3442"/>
      <c r="I8" s="3442"/>
      <c r="J8" s="3442"/>
      <c r="K8" s="3442"/>
      <c r="L8" s="3442"/>
      <c r="M8" s="3442"/>
      <c r="N8" s="3442"/>
      <c r="O8" s="3442"/>
      <c r="P8" s="3442"/>
      <c r="Q8" s="3443"/>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48" t="s">
        <v>1583</v>
      </c>
      <c r="B1" s="3448"/>
      <c r="C1" s="3448"/>
      <c r="D1" s="3448"/>
    </row>
    <row r="2" spans="1:4" ht="47.25" customHeight="1">
      <c r="A2" s="3449" t="str">
        <f>"1.权利限制："&amp;项目基本情况!L24&amp;"未设定租赁等其他他项权利。"</f>
        <v>1.权利限制：根据估价对象《不动产权证书》原件、《国有土地使用权》复印件，截至估价期日，估价对象抵押权未见登记。未设定租赁等其他他项权利。</v>
      </c>
      <c r="B2" s="3449"/>
      <c r="C2" s="3449"/>
      <c r="D2" s="3449"/>
    </row>
    <row r="3" spans="1:4" ht="48" customHeight="1">
      <c r="A3" s="34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8"/>
      <c r="C3" s="3448"/>
      <c r="D3" s="3448"/>
    </row>
    <row r="4" spans="1:4" ht="36.75" customHeight="1">
      <c r="A4" s="3448" t="str">
        <f>"3.估价规划限制条件：详见"&amp;项目基本情况!E21&amp;"。"</f>
        <v>3.估价规划限制条件：详见《建设工程规划许可证》[]、《出让合同》[]。</v>
      </c>
      <c r="B4" s="3448"/>
      <c r="C4" s="3448"/>
      <c r="D4" s="3448"/>
    </row>
    <row r="5" spans="1:4">
      <c r="A5" s="3447" t="s">
        <v>1584</v>
      </c>
      <c r="B5" s="3447"/>
      <c r="C5" s="3447"/>
      <c r="D5" s="3447"/>
    </row>
    <row r="6" spans="1:4">
      <c r="A6" s="3448" t="s">
        <v>1562</v>
      </c>
      <c r="B6" s="3448"/>
      <c r="C6" s="3448"/>
      <c r="D6" s="3448"/>
    </row>
    <row r="7" spans="1:4" ht="33" customHeight="1">
      <c r="A7" s="3448" t="s">
        <v>1857</v>
      </c>
      <c r="B7" s="3448"/>
      <c r="C7" s="3448"/>
      <c r="D7" s="3448"/>
    </row>
    <row r="8" spans="1:4" ht="32.25" customHeight="1">
      <c r="A8" s="34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8"/>
      <c r="C8" s="3448"/>
      <c r="D8" s="3448"/>
    </row>
    <row r="9" spans="1:4" ht="33.75" customHeight="1">
      <c r="A9" s="3448" t="str">
        <f>IF(项目基本情况!B8="抵押","3.抵押双方在办理抵押登记手续时，应使用本公司出具的正式《土地估价报告》，特提请报告使用者注意。","——")</f>
        <v>——</v>
      </c>
      <c r="B9" s="3448"/>
      <c r="C9" s="3448"/>
      <c r="D9" s="3448"/>
    </row>
    <row r="10" spans="1:4">
      <c r="A10" s="3448" t="str">
        <f>IF(项目基本情况!B8="抵押","4.估价师所知悉的法定优先受偿款情况为：","——")</f>
        <v>——</v>
      </c>
      <c r="B10" s="3448"/>
      <c r="C10" s="3448"/>
      <c r="D10" s="3448"/>
    </row>
    <row r="11" spans="1:4" ht="37.5" customHeight="1">
      <c r="A11" s="3448" t="str">
        <f>IF(项目基本情况!B8="抵押","（1）"&amp;CONCATENATE(项目基本情况!L24,项目基本情况!L25,项目基本情况!L26),"——")</f>
        <v>——</v>
      </c>
      <c r="B11" s="3448"/>
      <c r="C11" s="3448"/>
      <c r="D11" s="3448"/>
    </row>
    <row r="12" spans="1:4" ht="168" customHeight="1">
      <c r="A12" s="3447" t="s">
        <v>1586</v>
      </c>
      <c r="B12" s="3447"/>
      <c r="C12" s="3447"/>
      <c r="D12" s="3447"/>
    </row>
    <row r="13" spans="1:4">
      <c r="A13" s="3450" t="s">
        <v>2028</v>
      </c>
      <c r="B13" s="3450"/>
      <c r="C13" s="3450"/>
      <c r="D13" s="3450"/>
    </row>
    <row r="14" spans="1:4">
      <c r="A14" s="3448" t="str">
        <f>IF(项目基本情况!B8="抵押","综上，"&amp;结果表!K47,"——")</f>
        <v>——</v>
      </c>
      <c r="B14" s="3448"/>
      <c r="C14" s="3448"/>
      <c r="D14" s="3448"/>
    </row>
    <row r="15" spans="1:4" ht="58.5" customHeight="1">
      <c r="A15" s="34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8"/>
      <c r="C15" s="3448"/>
      <c r="D15" s="3448"/>
    </row>
    <row r="16" spans="1:4" ht="70.5" customHeight="1">
      <c r="A16" s="34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8"/>
      <c r="C16" s="3448"/>
      <c r="D16" s="3448"/>
    </row>
    <row r="17" spans="1:4">
      <c r="A17" s="3448" t="s">
        <v>1984</v>
      </c>
      <c r="B17" s="3448"/>
      <c r="C17" s="3448"/>
      <c r="D17" s="3448"/>
    </row>
    <row r="18" spans="1:4">
      <c r="A18" s="3448" t="s">
        <v>1976</v>
      </c>
      <c r="B18" s="3448"/>
      <c r="C18" s="3448"/>
      <c r="D18" s="3448"/>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48" t="s">
        <v>1981</v>
      </c>
      <c r="B23" s="3448"/>
      <c r="C23" s="3448"/>
      <c r="D23" s="3448"/>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58" t="s">
        <v>27</v>
      </c>
      <c r="B15" s="3459" t="s">
        <v>784</v>
      </c>
      <c r="C15" s="3455"/>
    </row>
    <row r="16" spans="1:7" ht="14.25">
      <c r="A16" s="3458"/>
      <c r="B16" s="3456" t="s">
        <v>28</v>
      </c>
      <c r="C16" s="1016" t="s">
        <v>27</v>
      </c>
    </row>
    <row r="17" spans="1:3" ht="14.25">
      <c r="A17" s="3458"/>
      <c r="B17" s="3456"/>
      <c r="C17" s="1016" t="s">
        <v>29</v>
      </c>
    </row>
    <row r="18" spans="1:3" ht="14.25">
      <c r="A18" s="3458"/>
      <c r="B18" s="3456"/>
      <c r="C18" s="1016" t="s">
        <v>30</v>
      </c>
    </row>
    <row r="19" spans="1:3" ht="14.25">
      <c r="A19" s="3458"/>
      <c r="B19" s="3454" t="s">
        <v>31</v>
      </c>
      <c r="C19" s="3455"/>
    </row>
    <row r="20" spans="1:3" ht="14.25">
      <c r="A20" s="1017" t="s">
        <v>32</v>
      </c>
      <c r="B20" s="1018"/>
      <c r="C20" s="1019"/>
    </row>
    <row r="21" spans="1:3" ht="14.25">
      <c r="A21" s="3457" t="s">
        <v>33</v>
      </c>
      <c r="B21" s="3454" t="s">
        <v>34</v>
      </c>
      <c r="C21" s="3455"/>
    </row>
    <row r="22" spans="1:3" ht="14.25">
      <c r="A22" s="3457"/>
      <c r="B22" s="3454" t="s">
        <v>35</v>
      </c>
      <c r="C22" s="3455"/>
    </row>
    <row r="23" spans="1:3" ht="14.25">
      <c r="A23" s="3457"/>
      <c r="B23" s="3454" t="s">
        <v>36</v>
      </c>
      <c r="C23" s="3455"/>
    </row>
    <row r="24" spans="1:3" ht="14.25">
      <c r="A24" s="3457"/>
      <c r="B24" s="3460" t="s">
        <v>37</v>
      </c>
      <c r="C24" s="1020" t="s">
        <v>775</v>
      </c>
    </row>
    <row r="25" spans="1:3" ht="14.25">
      <c r="A25" s="3457"/>
      <c r="B25" s="3461"/>
      <c r="C25" s="1020" t="s">
        <v>776</v>
      </c>
    </row>
    <row r="26" spans="1:3" ht="14.25">
      <c r="A26" s="3457"/>
      <c r="B26" s="3461"/>
      <c r="C26" s="1020" t="s">
        <v>777</v>
      </c>
    </row>
    <row r="27" spans="1:3" ht="14.25">
      <c r="A27" s="3457"/>
      <c r="B27" s="3461"/>
      <c r="C27" s="1020" t="s">
        <v>778</v>
      </c>
    </row>
    <row r="28" spans="1:3" ht="14.25">
      <c r="A28" s="3457"/>
      <c r="B28" s="3461"/>
      <c r="C28" s="1020" t="s">
        <v>779</v>
      </c>
    </row>
    <row r="29" spans="1:3" ht="14.25">
      <c r="A29" s="3457"/>
      <c r="B29" s="3461"/>
      <c r="C29" s="1020" t="s">
        <v>780</v>
      </c>
    </row>
    <row r="30" spans="1:3" ht="14.25">
      <c r="A30" s="3457"/>
      <c r="B30" s="3461"/>
      <c r="C30" s="1020" t="s">
        <v>781</v>
      </c>
    </row>
    <row r="31" spans="1:3" ht="14.25">
      <c r="A31" s="3457"/>
      <c r="B31" s="3461"/>
      <c r="C31" s="1020" t="s">
        <v>782</v>
      </c>
    </row>
    <row r="32" spans="1:3" ht="14.25">
      <c r="A32" s="3457"/>
      <c r="B32" s="3461"/>
      <c r="C32" s="1020" t="s">
        <v>1181</v>
      </c>
    </row>
    <row r="33" spans="1:3" ht="14.25">
      <c r="A33" s="3457"/>
      <c r="B33" s="3451" t="s">
        <v>1187</v>
      </c>
      <c r="C33" s="1020" t="s">
        <v>1182</v>
      </c>
    </row>
    <row r="34" spans="1:3" ht="14.25">
      <c r="A34" s="3457"/>
      <c r="B34" s="3452"/>
      <c r="C34" s="1025" t="s">
        <v>1183</v>
      </c>
    </row>
    <row r="35" spans="1:3" ht="14.25">
      <c r="A35" s="3457"/>
      <c r="B35" s="3452"/>
      <c r="C35" s="1026" t="s">
        <v>1184</v>
      </c>
    </row>
    <row r="36" spans="1:3" ht="14.25">
      <c r="A36" s="3457"/>
      <c r="B36" s="3452"/>
      <c r="C36" s="1026" t="s">
        <v>1185</v>
      </c>
    </row>
    <row r="37" spans="1:3" ht="14.25">
      <c r="A37" s="3457"/>
      <c r="B37" s="3453"/>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45666</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2448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65" t="s">
        <v>1448</v>
      </c>
      <c r="B18" s="3466"/>
      <c r="C18" s="3466"/>
      <c r="D18" s="3466"/>
      <c r="E18" s="3466"/>
      <c r="F18" s="3466"/>
      <c r="G18" s="2560"/>
    </row>
    <row r="19" spans="1:7" ht="20.25" customHeight="1">
      <c r="A19" s="3462" t="s">
        <v>1449</v>
      </c>
      <c r="B19" s="3462"/>
      <c r="C19" s="3463"/>
      <c r="D19" s="3464" t="s">
        <v>1450</v>
      </c>
      <c r="E19" s="3462"/>
      <c r="F19" s="3462"/>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cellIs" dxfId="163" priority="54" stopIfTrue="1" operator="lessThan">
      <formula>$B$2</formula>
    </cfRule>
    <cfRule type="expression" dxfId="162" priority="53">
      <formula>AND($C12-TODAY()&lt;30,TODAY()&lt;$C12)</formula>
    </cfRule>
  </conditionalFormatting>
  <conditionalFormatting sqref="C13:C16">
    <cfRule type="cellIs" dxfId="161" priority="63" stopIfTrue="1" operator="lessThan">
      <formula>$B$2</formula>
    </cfRule>
  </conditionalFormatting>
  <conditionalFormatting sqref="C21">
    <cfRule type="cellIs" dxfId="160" priority="152" stopIfTrue="1" operator="lessThan">
      <formula>$B$2</formula>
    </cfRule>
    <cfRule type="expression" dxfId="159" priority="150">
      <formula>AND($C21-TODAY()&lt;30,TODAY()&lt;$C21)</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21" sqref="H21"/>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2761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2747</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2748</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2749</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2750</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2751</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2752</v>
      </c>
    </row>
    <row r="8" spans="1:23">
      <c r="A8" s="6" t="s">
        <v>75</v>
      </c>
      <c r="B8" s="6" t="s">
        <v>76</v>
      </c>
      <c r="C8" s="1294" t="s">
        <v>1244</v>
      </c>
      <c r="F8" s="7" t="s">
        <v>121</v>
      </c>
      <c r="H8" s="3083" t="s">
        <v>2746</v>
      </c>
      <c r="I8" s="7" t="s">
        <v>2753</v>
      </c>
    </row>
    <row r="9" spans="1:23">
      <c r="A9" s="6" t="s">
        <v>77</v>
      </c>
      <c r="B9" s="6" t="s">
        <v>122</v>
      </c>
      <c r="C9" s="1294" t="s">
        <v>1245</v>
      </c>
      <c r="F9" s="7" t="s">
        <v>78</v>
      </c>
      <c r="H9" s="7"/>
      <c r="I9" s="7" t="s">
        <v>2754</v>
      </c>
    </row>
    <row r="10" spans="1:23">
      <c r="A10" s="6" t="s">
        <v>79</v>
      </c>
      <c r="B10" s="6" t="s">
        <v>123</v>
      </c>
      <c r="C10" s="1294" t="s">
        <v>1246</v>
      </c>
      <c r="F10" s="3083" t="s">
        <v>2745</v>
      </c>
      <c r="I10" s="7" t="s">
        <v>2755</v>
      </c>
    </row>
    <row r="11" spans="1:23">
      <c r="A11" s="6" t="s">
        <v>80</v>
      </c>
      <c r="B11" s="6" t="s">
        <v>124</v>
      </c>
      <c r="C11" s="1294" t="s">
        <v>1247</v>
      </c>
      <c r="I11" s="7" t="s">
        <v>2756</v>
      </c>
    </row>
    <row r="12" spans="1:23">
      <c r="A12" s="6" t="s">
        <v>81</v>
      </c>
      <c r="B12" s="6" t="s">
        <v>125</v>
      </c>
      <c r="C12" s="1294" t="s">
        <v>1248</v>
      </c>
      <c r="I12" s="7" t="s">
        <v>2757</v>
      </c>
    </row>
    <row r="13" spans="1:23">
      <c r="A13" s="6" t="s">
        <v>82</v>
      </c>
      <c r="B13" s="6" t="s">
        <v>126</v>
      </c>
      <c r="C13" s="1294" t="s">
        <v>1249</v>
      </c>
      <c r="I13" s="7" t="s">
        <v>2758</v>
      </c>
    </row>
    <row r="14" spans="1:23">
      <c r="A14" s="6" t="s">
        <v>83</v>
      </c>
      <c r="B14" s="6" t="s">
        <v>127</v>
      </c>
      <c r="C14" s="1296" t="s">
        <v>1421</v>
      </c>
      <c r="I14" s="7" t="s">
        <v>2759</v>
      </c>
    </row>
    <row r="15" spans="1:23">
      <c r="A15" s="6" t="s">
        <v>84</v>
      </c>
      <c r="B15" s="6" t="s">
        <v>1214</v>
      </c>
      <c r="C15" s="1296"/>
      <c r="I15" s="7" t="s">
        <v>2760</v>
      </c>
    </row>
    <row r="16" spans="1:23">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2440</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67"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11日，在规划利用条件下、设定土地开发程度为红线外“七通”、宗地内场地，设定用途为，剩余土地使用年限为的出让国有建设用地使用权价格。</v>
      </c>
      <c r="D53" s="1469"/>
      <c r="E53" s="1469"/>
    </row>
    <row r="54" spans="1:5">
      <c r="A54" s="3467"/>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67"/>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67"/>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67"/>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不动产比较法-住宅</vt:lpstr>
      <vt:lpstr>法拍</vt:lpstr>
      <vt:lpstr>可比案例</vt:lpstr>
      <vt:lpstr>公司库</vt:lpstr>
      <vt:lpstr>中指数据-朝阳区5-6环别墅</vt:lpstr>
      <vt:lpstr>土地成交数据</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2017-03-09T08:11:21Z</cp:lastPrinted>
  <dcterms:created xsi:type="dcterms:W3CDTF">2015-07-13T07:17:23Z</dcterms:created>
  <dcterms:modified xsi:type="dcterms:W3CDTF">2025-01-09T08:31:28Z</dcterms:modified>
</cp:coreProperties>
</file>