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1074-张家口怀来县工业用房\"/>
    </mc:Choice>
  </mc:AlternateContent>
  <xr:revisionPtr revIDLastSave="0" documentId="13_ncr:1_{0BDB9219-17C1-40B0-BE91-0063F8738679}" xr6:coauthVersionLast="47" xr6:coauthVersionMax="47" xr10:uidLastSave="{00000000-0000-0000-0000-000000000000}"/>
  <bookViews>
    <workbookView xWindow="-108" yWindow="-108" windowWidth="23256" windowHeight="12576"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1" i="80" l="1"/>
  <c r="J12" i="80"/>
  <c r="J9" i="80"/>
  <c r="J10" i="80"/>
  <c r="J8" i="80"/>
  <c r="I12" i="80"/>
  <c r="L11" i="80"/>
  <c r="L8" i="80"/>
  <c r="U9" i="80"/>
  <c r="U10" i="80"/>
  <c r="U11" i="80"/>
  <c r="U8" i="80"/>
  <c r="U12" i="80" l="1"/>
  <c r="I9" i="80"/>
  <c r="L9" i="80" s="1"/>
  <c r="I91" i="9"/>
  <c r="C88" i="9"/>
  <c r="I10" i="80" l="1"/>
  <c r="L10" i="80" s="1"/>
  <c r="L12" i="80"/>
  <c r="G25" i="80"/>
  <c r="F23" i="80"/>
  <c r="G23" i="80" s="1"/>
  <c r="D109" i="40"/>
  <c r="E109" i="40" s="1"/>
  <c r="F109" i="40" s="1"/>
  <c r="I5" i="40"/>
  <c r="I41" i="40"/>
  <c r="G41" i="40"/>
  <c r="E41" i="40"/>
  <c r="I34" i="40"/>
  <c r="G34" i="40"/>
  <c r="E34" i="40"/>
  <c r="E5" i="40"/>
  <c r="I7" i="40" l="1"/>
  <c r="G7" i="40"/>
  <c r="E7" i="40"/>
  <c r="G5" i="40"/>
  <c r="Y6" i="1"/>
  <c r="E18" i="80"/>
  <c r="D3" i="4"/>
  <c r="I14" i="3"/>
  <c r="I15" i="3"/>
  <c r="I16" i="3"/>
  <c r="I13" i="3"/>
  <c r="A3" i="3"/>
  <c r="H12" i="80"/>
  <c r="T12" i="80" s="1"/>
  <c r="U6" i="1"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T68" i="71" s="1"/>
  <c r="B68" i="71"/>
  <c r="B67" i="71" s="1"/>
  <c r="S68" i="71"/>
  <c r="D65" i="71"/>
  <c r="Q64" i="71"/>
  <c r="P64" i="71"/>
  <c r="O64" i="71"/>
  <c r="N64" i="71"/>
  <c r="Q63" i="71"/>
  <c r="P63" i="71"/>
  <c r="O63" i="71"/>
  <c r="N63" i="71"/>
  <c r="Q62" i="71"/>
  <c r="P62" i="71"/>
  <c r="O62" i="71"/>
  <c r="N62" i="71"/>
  <c r="Q61" i="71"/>
  <c r="F62"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F46" i="7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D41" i="71"/>
  <c r="Q40" i="71"/>
  <c r="P40" i="71"/>
  <c r="O40" i="71"/>
  <c r="N40" i="71"/>
  <c r="Q39" i="71"/>
  <c r="AB39" i="71" s="1"/>
  <c r="P39" i="71"/>
  <c r="O39" i="71"/>
  <c r="N39" i="71"/>
  <c r="X39" i="71"/>
  <c r="Q38" i="71"/>
  <c r="P38" i="71"/>
  <c r="O38" i="71"/>
  <c r="N38" i="71"/>
  <c r="F38" i="71"/>
  <c r="Q37" i="71"/>
  <c r="P37" i="71"/>
  <c r="O37" i="71"/>
  <c r="N37" i="71"/>
  <c r="B38" i="71" s="1"/>
  <c r="D37" i="71"/>
  <c r="Q36" i="71"/>
  <c r="P36" i="71"/>
  <c r="O36" i="71"/>
  <c r="N36" i="71"/>
  <c r="Q35" i="71"/>
  <c r="P35" i="71"/>
  <c r="O35" i="71"/>
  <c r="N35" i="71"/>
  <c r="X34" i="71" s="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C30" i="71" s="1"/>
  <c r="D30" i="71" s="1"/>
  <c r="N29" i="71"/>
  <c r="B30" i="71" s="1"/>
  <c r="B31" i="71" s="1"/>
  <c r="B32" i="71" s="1"/>
  <c r="S32" i="71" s="1"/>
  <c r="D29" i="71"/>
  <c r="O28" i="71"/>
  <c r="N28" i="71"/>
  <c r="E30" i="71"/>
  <c r="C38" i="71"/>
  <c r="D38" i="71" s="1"/>
  <c r="P28" i="71"/>
  <c r="E28" i="71" s="1"/>
  <c r="U68" i="71"/>
  <c r="Q28" i="71"/>
  <c r="F28" i="71" s="1"/>
  <c r="F27" i="71" s="1"/>
  <c r="F26" i="71" s="1"/>
  <c r="O68" i="71"/>
  <c r="C67" i="71"/>
  <c r="D67" i="71" s="1"/>
  <c r="C75" i="71"/>
  <c r="D75" i="71" s="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H1" i="69"/>
  <c r="AB21" i="37"/>
  <c r="U21" i="37"/>
  <c r="AC18" i="35"/>
  <c r="J21" i="37"/>
  <c r="W21" i="37" s="1"/>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F5" i="3" s="1"/>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H5" i="3" s="1"/>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A509" i="3" s="1"/>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A513" i="3" s="1"/>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A520" i="3" s="1"/>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L532" i="3" s="1"/>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A560" i="3" s="1"/>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A562" i="3" s="1"/>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A580" i="3" s="1"/>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D90" i="40"/>
  <c r="E90" i="40" s="1"/>
  <c r="D88" i="40"/>
  <c r="E88" i="40" s="1"/>
  <c r="H19" i="40" s="1"/>
  <c r="U19" i="40" s="1"/>
  <c r="D86" i="40"/>
  <c r="E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E96" i="39" s="1"/>
  <c r="F96" i="39" s="1"/>
  <c r="G96" i="39" s="1"/>
  <c r="J23" i="39"/>
  <c r="AC23" i="39" s="1"/>
  <c r="D94" i="39"/>
  <c r="E94" i="39" s="1"/>
  <c r="F94" i="39"/>
  <c r="D92" i="39"/>
  <c r="E92" i="39" s="1"/>
  <c r="F92" i="39" s="1"/>
  <c r="G92" i="39" s="1"/>
  <c r="D90" i="39"/>
  <c r="E90" i="39" s="1"/>
  <c r="F90" i="39" s="1"/>
  <c r="G90" i="39" s="1"/>
  <c r="D88" i="39"/>
  <c r="E88" i="39" s="1"/>
  <c r="F88" i="39" s="1"/>
  <c r="G88" i="39" s="1"/>
  <c r="B85" i="39"/>
  <c r="F14" i="39" s="1"/>
  <c r="B83" i="39"/>
  <c r="F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J25" i="37" s="1"/>
  <c r="B110" i="37"/>
  <c r="J39" i="37" s="1"/>
  <c r="AC39" i="37" s="1"/>
  <c r="B108" i="37"/>
  <c r="H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s="1"/>
  <c r="B95" i="36"/>
  <c r="F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F12" i="36" s="1"/>
  <c r="J12" i="36"/>
  <c r="W12" i="36" s="1"/>
  <c r="B55" i="36"/>
  <c r="H11" i="36" s="1"/>
  <c r="U11"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AB23" i="36"/>
  <c r="Q22" i="36"/>
  <c r="Z22" i="36" s="1"/>
  <c r="J22" i="36"/>
  <c r="AC22" i="36"/>
  <c r="Q20" i="36"/>
  <c r="Z20" i="36" s="1"/>
  <c r="Q16" i="36"/>
  <c r="Z16" i="36"/>
  <c r="Q14" i="36"/>
  <c r="Z14" i="36" s="1"/>
  <c r="Q13" i="36"/>
  <c r="Z13" i="36"/>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J25" i="35" s="1"/>
  <c r="B75" i="35"/>
  <c r="J24" i="35" s="1"/>
  <c r="AC24" i="35" s="1"/>
  <c r="B73" i="35"/>
  <c r="J23" i="35" s="1"/>
  <c r="AC23" i="35" s="1"/>
  <c r="B57" i="35"/>
  <c r="J11" i="35" s="1"/>
  <c r="W11" i="35" s="1"/>
  <c r="B61" i="35"/>
  <c r="B59" i="35"/>
  <c r="F12" i="35" s="1"/>
  <c r="B131" i="34"/>
  <c r="B129" i="34"/>
  <c r="H46" i="34" s="1"/>
  <c r="B127" i="34"/>
  <c r="B99" i="34"/>
  <c r="H32" i="34" s="1"/>
  <c r="B97" i="34"/>
  <c r="J31" i="34" s="1"/>
  <c r="W31" i="34" s="1"/>
  <c r="B95" i="34"/>
  <c r="H30" i="34" s="1"/>
  <c r="B93" i="34"/>
  <c r="B75" i="34"/>
  <c r="F14" i="34" s="1"/>
  <c r="S14" i="34" s="1"/>
  <c r="B73" i="34"/>
  <c r="J13" i="34" s="1"/>
  <c r="B71" i="34"/>
  <c r="B130" i="33"/>
  <c r="B128" i="33"/>
  <c r="J45" i="33" s="1"/>
  <c r="B126" i="33"/>
  <c r="H44" i="33" s="1"/>
  <c r="U44" i="33" s="1"/>
  <c r="B98" i="33"/>
  <c r="B96" i="33"/>
  <c r="B94" i="33"/>
  <c r="J29" i="33" s="1"/>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F27" i="33" s="1"/>
  <c r="D87" i="33"/>
  <c r="E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s="1"/>
  <c r="H40" i="33"/>
  <c r="AB40" i="33" s="1"/>
  <c r="Q39" i="33"/>
  <c r="Z39" i="33"/>
  <c r="J39" i="33"/>
  <c r="Q38" i="33"/>
  <c r="Z38" i="33" s="1"/>
  <c r="J38" i="33"/>
  <c r="AC38" i="33" s="1"/>
  <c r="H38" i="33"/>
  <c r="AB38" i="33" s="1"/>
  <c r="F38" i="33"/>
  <c r="Q37" i="33"/>
  <c r="Z37" i="33" s="1"/>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J46" i="21" s="1"/>
  <c r="B128" i="21"/>
  <c r="J45" i="21" s="1"/>
  <c r="W45" i="21" s="1"/>
  <c r="B126" i="21"/>
  <c r="B98" i="21"/>
  <c r="H31" i="21" s="1"/>
  <c r="B96" i="21"/>
  <c r="J30" i="21" s="1"/>
  <c r="AC30" i="21" s="1"/>
  <c r="B94" i="21"/>
  <c r="F29" i="21" s="1"/>
  <c r="AA29" i="21" s="1"/>
  <c r="B92" i="21"/>
  <c r="J28" i="21" s="1"/>
  <c r="B90" i="21"/>
  <c r="F27" i="21" s="1"/>
  <c r="AA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5" i="39"/>
  <c r="W45" i="39" s="1"/>
  <c r="J44" i="39"/>
  <c r="H36" i="39"/>
  <c r="AB36" i="39" s="1"/>
  <c r="J35" i="39"/>
  <c r="AC35" i="39" s="1"/>
  <c r="F35" i="39"/>
  <c r="E103" i="37"/>
  <c r="F103" i="37" s="1"/>
  <c r="G103" i="37" s="1"/>
  <c r="H103" i="37" s="1"/>
  <c r="I103" i="37" s="1"/>
  <c r="J103" i="37" s="1"/>
  <c r="K103" i="37" s="1"/>
  <c r="L103" i="37" s="1"/>
  <c r="M103" i="37" s="1"/>
  <c r="F29" i="36"/>
  <c r="AA29" i="36" s="1"/>
  <c r="F16" i="36"/>
  <c r="AA16" i="36" s="1"/>
  <c r="H22" i="35"/>
  <c r="AB22" i="35"/>
  <c r="W28" i="35"/>
  <c r="W22" i="35"/>
  <c r="S31" i="35"/>
  <c r="F36" i="34"/>
  <c r="J35" i="34"/>
  <c r="H39" i="33"/>
  <c r="AB39" i="33" s="1"/>
  <c r="F26" i="33"/>
  <c r="AA26" i="33" s="1"/>
  <c r="U35" i="33"/>
  <c r="W33" i="33"/>
  <c r="S27" i="35"/>
  <c r="F42" i="39"/>
  <c r="AA42" i="39" s="1"/>
  <c r="F41" i="39"/>
  <c r="S41" i="39" s="1"/>
  <c r="H40" i="39"/>
  <c r="AB40" i="39" s="1"/>
  <c r="H39" i="39"/>
  <c r="U39" i="39" s="1"/>
  <c r="S34" i="39"/>
  <c r="H34" i="39"/>
  <c r="U34" i="39" s="1"/>
  <c r="E108" i="39"/>
  <c r="F108" i="39" s="1"/>
  <c r="G108" i="39" s="1"/>
  <c r="H108" i="39" s="1"/>
  <c r="I108" i="39" s="1"/>
  <c r="J108" i="39" s="1"/>
  <c r="K108" i="39" s="1"/>
  <c r="L108" i="39" s="1"/>
  <c r="M108" i="39" s="1"/>
  <c r="H19" i="39"/>
  <c r="AB19" i="39" s="1"/>
  <c r="F19" i="39"/>
  <c r="AA19" i="39" s="1"/>
  <c r="H17" i="39"/>
  <c r="AB17" i="39" s="1"/>
  <c r="F17" i="39"/>
  <c r="AA17" i="39" s="1"/>
  <c r="H42" i="39"/>
  <c r="AB42" i="39" s="1"/>
  <c r="J34" i="39"/>
  <c r="AC34" i="39" s="1"/>
  <c r="H27" i="39"/>
  <c r="U27" i="39" s="1"/>
  <c r="J19" i="39"/>
  <c r="AC19" i="39" s="1"/>
  <c r="J17" i="39"/>
  <c r="W17" i="39" s="1"/>
  <c r="J27" i="39"/>
  <c r="F27" i="39"/>
  <c r="F11" i="21"/>
  <c r="S11" i="21" s="1"/>
  <c r="S40" i="21"/>
  <c r="C25" i="39"/>
  <c r="H11" i="39"/>
  <c r="S40" i="39"/>
  <c r="H32" i="33"/>
  <c r="AB32" i="33" s="1"/>
  <c r="H11" i="21"/>
  <c r="U11" i="21" s="1"/>
  <c r="J11" i="21"/>
  <c r="W11" i="21" s="1"/>
  <c r="H37" i="40"/>
  <c r="U37" i="40" s="1"/>
  <c r="F35" i="40"/>
  <c r="AA35" i="40" s="1"/>
  <c r="W32" i="40"/>
  <c r="S44" i="39"/>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24" i="36"/>
  <c r="AA24" i="36"/>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8" i="34"/>
  <c r="F25" i="34"/>
  <c r="S25" i="34" s="1"/>
  <c r="H23" i="34"/>
  <c r="U23" i="34" s="1"/>
  <c r="J23" i="34"/>
  <c r="F19" i="34"/>
  <c r="H17" i="34"/>
  <c r="F15" i="34"/>
  <c r="AA15" i="34" s="1"/>
  <c r="J15" i="34"/>
  <c r="H15" i="34"/>
  <c r="AB15" i="34" s="1"/>
  <c r="J28" i="34"/>
  <c r="W28" i="34" s="1"/>
  <c r="F41" i="33"/>
  <c r="AA41" i="33" s="1"/>
  <c r="F32" i="33"/>
  <c r="AA32" i="33" s="1"/>
  <c r="J19" i="33"/>
  <c r="AC19" i="33" s="1"/>
  <c r="J15" i="33"/>
  <c r="AC15" i="33" s="1"/>
  <c r="F11" i="33"/>
  <c r="AA11" i="33" s="1"/>
  <c r="S26" i="33"/>
  <c r="W40" i="33"/>
  <c r="F37" i="40"/>
  <c r="AA37" i="40" s="1"/>
  <c r="H28" i="40"/>
  <c r="U28" i="40" s="1"/>
  <c r="F29" i="35"/>
  <c r="H29" i="35"/>
  <c r="AB29" i="35" s="1"/>
  <c r="H33" i="37"/>
  <c r="F33" i="37"/>
  <c r="AA33" i="37" s="1"/>
  <c r="AA34" i="37"/>
  <c r="J43" i="34"/>
  <c r="AB42" i="34"/>
  <c r="J40" i="34"/>
  <c r="AC40" i="34" s="1"/>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c r="AA42" i="34"/>
  <c r="S42" i="34"/>
  <c r="AA38" i="34"/>
  <c r="J37" i="34"/>
  <c r="AC37" i="34" s="1"/>
  <c r="J11" i="33"/>
  <c r="W11" i="33" s="1"/>
  <c r="J42" i="21"/>
  <c r="AC42" i="21" s="1"/>
  <c r="H42" i="21"/>
  <c r="U42" i="21"/>
  <c r="J44" i="34"/>
  <c r="W44" i="34" s="1"/>
  <c r="F44" i="34"/>
  <c r="AA44" i="34" s="1"/>
  <c r="J10" i="35"/>
  <c r="AC10" i="35" s="1"/>
  <c r="H14" i="21"/>
  <c r="U14" i="21" s="1"/>
  <c r="H28" i="21"/>
  <c r="AB28" i="21" s="1"/>
  <c r="F28" i="21"/>
  <c r="AA28" i="21" s="1"/>
  <c r="H30" i="21"/>
  <c r="U30" i="21" s="1"/>
  <c r="F30" i="21"/>
  <c r="S30" i="21" s="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C13" i="21" s="1"/>
  <c r="J31" i="21"/>
  <c r="AC31" i="21" s="1"/>
  <c r="F31" i="21"/>
  <c r="S31" i="21" s="1"/>
  <c r="H29" i="33"/>
  <c r="U29" i="33" s="1"/>
  <c r="J31" i="33"/>
  <c r="W31" i="33" s="1"/>
  <c r="H31" i="33"/>
  <c r="F31" i="33"/>
  <c r="H45" i="33"/>
  <c r="F45" i="33"/>
  <c r="AA45" i="33" s="1"/>
  <c r="J14" i="34"/>
  <c r="W14" i="34" s="1"/>
  <c r="F30" i="34"/>
  <c r="S30" i="34" s="1"/>
  <c r="J30" i="34"/>
  <c r="F32" i="34"/>
  <c r="J32" i="34"/>
  <c r="W32" i="34" s="1"/>
  <c r="F46" i="34"/>
  <c r="S46" i="34" s="1"/>
  <c r="H11" i="35"/>
  <c r="AB11" i="35" s="1"/>
  <c r="AC11" i="35"/>
  <c r="F11" i="35"/>
  <c r="S11" i="35" s="1"/>
  <c r="J26" i="36"/>
  <c r="W26" i="36" s="1"/>
  <c r="H28" i="36"/>
  <c r="U28" i="36" s="1"/>
  <c r="H32" i="36"/>
  <c r="AB32" i="36" s="1"/>
  <c r="J32" i="36"/>
  <c r="W32" i="36" s="1"/>
  <c r="J11" i="36"/>
  <c r="AC11" i="36" s="1"/>
  <c r="H13" i="36"/>
  <c r="AB13" i="36" s="1"/>
  <c r="J13" i="36"/>
  <c r="F13" i="36"/>
  <c r="S13" i="36"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H30" i="33"/>
  <c r="AB30" i="33" s="1"/>
  <c r="F30" i="33"/>
  <c r="J30" i="33"/>
  <c r="J44" i="33"/>
  <c r="J46" i="33"/>
  <c r="AC46" i="33" s="1"/>
  <c r="F46" i="33"/>
  <c r="AA46" i="33" s="1"/>
  <c r="H46" i="33"/>
  <c r="U46" i="33" s="1"/>
  <c r="J29" i="34"/>
  <c r="F29" i="34"/>
  <c r="S29" i="34" s="1"/>
  <c r="H29" i="34"/>
  <c r="AB29" i="34" s="1"/>
  <c r="H45" i="34"/>
  <c r="U45" i="34" s="1"/>
  <c r="J45" i="34"/>
  <c r="W45" i="34" s="1"/>
  <c r="F45" i="34"/>
  <c r="S45" i="34" s="1"/>
  <c r="F47" i="34"/>
  <c r="F13" i="35"/>
  <c r="J13" i="35"/>
  <c r="AC13" i="35" s="1"/>
  <c r="H13" i="35"/>
  <c r="U13" i="35" s="1"/>
  <c r="F25" i="35"/>
  <c r="S25" i="35" s="1"/>
  <c r="H25" i="35"/>
  <c r="AB25" i="35" s="1"/>
  <c r="H35" i="35"/>
  <c r="J25" i="36"/>
  <c r="W25" i="36" s="1"/>
  <c r="F25" i="36"/>
  <c r="S25" i="36" s="1"/>
  <c r="H25" i="36"/>
  <c r="AB25" i="36" s="1"/>
  <c r="H13" i="37"/>
  <c r="AB13" i="37" s="1"/>
  <c r="F13" i="37"/>
  <c r="S13" i="37"/>
  <c r="J13" i="37"/>
  <c r="W13" i="37" s="1"/>
  <c r="F28" i="37"/>
  <c r="AA28" i="37" s="1"/>
  <c r="J28" i="37"/>
  <c r="AC28" i="37" s="1"/>
  <c r="AB38" i="37"/>
  <c r="J38" i="37"/>
  <c r="AC38" i="37" s="1"/>
  <c r="F38" i="37"/>
  <c r="S38" i="37" s="1"/>
  <c r="F43" i="39"/>
  <c r="AA43" i="39" s="1"/>
  <c r="H43" i="39"/>
  <c r="U43" i="39" s="1"/>
  <c r="J14" i="39"/>
  <c r="AC14" i="39" s="1"/>
  <c r="F12" i="40"/>
  <c r="H30" i="40"/>
  <c r="AB30" i="40"/>
  <c r="F33" i="40"/>
  <c r="AA33" i="40" s="1"/>
  <c r="H33" i="40"/>
  <c r="U33" i="40" s="1"/>
  <c r="J35" i="40"/>
  <c r="AC35" i="40" s="1"/>
  <c r="J37" i="40"/>
  <c r="AC37" i="40" s="1"/>
  <c r="H13" i="40"/>
  <c r="U13" i="40" s="1"/>
  <c r="J13" i="40"/>
  <c r="AC13" i="40" s="1"/>
  <c r="W13" i="40"/>
  <c r="F13" i="40"/>
  <c r="AA13" i="40" s="1"/>
  <c r="F14" i="37"/>
  <c r="S14" i="37" s="1"/>
  <c r="F27" i="37"/>
  <c r="AA27" i="37" s="1"/>
  <c r="J14" i="40"/>
  <c r="W14" i="40" s="1"/>
  <c r="F14" i="40"/>
  <c r="AA14" i="40" s="1"/>
  <c r="J14" i="37"/>
  <c r="J27" i="37"/>
  <c r="W27" i="37" s="1"/>
  <c r="AC27" i="37"/>
  <c r="J36" i="37"/>
  <c r="AC36" i="37" s="1"/>
  <c r="J10" i="36"/>
  <c r="AC10" i="36" s="1"/>
  <c r="AB30" i="21"/>
  <c r="S44" i="34"/>
  <c r="F17" i="21"/>
  <c r="AA17" i="21" s="1"/>
  <c r="H17" i="21"/>
  <c r="AB17" i="21" s="1"/>
  <c r="F15" i="21"/>
  <c r="S15" i="21" s="1"/>
  <c r="J41" i="39"/>
  <c r="W41" i="39" s="1"/>
  <c r="G540" i="3"/>
  <c r="G536" i="3"/>
  <c r="G531" i="3"/>
  <c r="G523" i="3"/>
  <c r="G510" i="3"/>
  <c r="G508" i="3"/>
  <c r="G496" i="3"/>
  <c r="G584" i="3"/>
  <c r="G568" i="3"/>
  <c r="G560" i="3"/>
  <c r="BL566" i="3"/>
  <c r="G533" i="3"/>
  <c r="BA554" i="3"/>
  <c r="BA523" i="3"/>
  <c r="G579" i="3"/>
  <c r="G577" i="3"/>
  <c r="G567" i="3"/>
  <c r="G565" i="3"/>
  <c r="G563" i="3"/>
  <c r="G561" i="3"/>
  <c r="AC557" i="3"/>
  <c r="BQ557" i="3"/>
  <c r="BQ583" i="3"/>
  <c r="BQ581" i="3"/>
  <c r="BQ579" i="3"/>
  <c r="BQ577" i="3"/>
  <c r="BQ575" i="3"/>
  <c r="BQ573" i="3"/>
  <c r="BQ571" i="3"/>
  <c r="BQ569" i="3"/>
  <c r="BQ567" i="3"/>
  <c r="BQ565" i="3"/>
  <c r="BQ563" i="3"/>
  <c r="BQ561" i="3"/>
  <c r="BL561" i="3" s="1"/>
  <c r="BQ559" i="3"/>
  <c r="G559" i="3"/>
  <c r="G555" i="3"/>
  <c r="G553" i="3"/>
  <c r="G549" i="3"/>
  <c r="G547" i="3"/>
  <c r="G545" i="3"/>
  <c r="G539" i="3"/>
  <c r="BQ555" i="3"/>
  <c r="BQ553" i="3"/>
  <c r="BQ551" i="3"/>
  <c r="BQ549" i="3"/>
  <c r="BQ547" i="3"/>
  <c r="BQ545" i="3"/>
  <c r="BQ543" i="3"/>
  <c r="BQ541" i="3"/>
  <c r="BQ539" i="3"/>
  <c r="BQ537" i="3"/>
  <c r="BQ535" i="3"/>
  <c r="BQ533" i="3"/>
  <c r="BQ531" i="3"/>
  <c r="BQ529" i="3"/>
  <c r="BQ527" i="3"/>
  <c r="BQ525" i="3"/>
  <c r="BL525" i="3" s="1"/>
  <c r="BQ523" i="3"/>
  <c r="AC521" i="3"/>
  <c r="BQ521" i="3"/>
  <c r="G519" i="3"/>
  <c r="G517" i="3"/>
  <c r="G515" i="3"/>
  <c r="BQ519" i="3"/>
  <c r="BQ517" i="3"/>
  <c r="BQ515" i="3"/>
  <c r="BQ513" i="3"/>
  <c r="BQ511" i="3"/>
  <c r="AC509" i="3"/>
  <c r="BQ509" i="3"/>
  <c r="G505" i="3"/>
  <c r="G503" i="3"/>
  <c r="G501" i="3"/>
  <c r="G499" i="3"/>
  <c r="G495" i="3"/>
  <c r="BQ507" i="3"/>
  <c r="BQ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c r="F37" i="37"/>
  <c r="AA37" i="37" s="1"/>
  <c r="F31" i="40"/>
  <c r="AA31" i="40" s="1"/>
  <c r="H31" i="40"/>
  <c r="U31" i="40" s="1"/>
  <c r="F32" i="40"/>
  <c r="H32" i="40"/>
  <c r="AB32" i="40" s="1"/>
  <c r="H19" i="37"/>
  <c r="AB19" i="37" s="1"/>
  <c r="H42" i="33"/>
  <c r="AB42" i="33" s="1"/>
  <c r="J43" i="33"/>
  <c r="AC43" i="33" s="1"/>
  <c r="S28" i="31"/>
  <c r="S27" i="31"/>
  <c r="S26" i="31"/>
  <c r="W23" i="35"/>
  <c r="U11" i="33"/>
  <c r="U19" i="21"/>
  <c r="F43" i="33"/>
  <c r="AA43" i="33" s="1"/>
  <c r="W15" i="34"/>
  <c r="AC15" i="34"/>
  <c r="H37" i="21"/>
  <c r="U37" i="21" s="1"/>
  <c r="S42" i="21"/>
  <c r="H19" i="34"/>
  <c r="AB19" i="34" s="1"/>
  <c r="F36" i="35"/>
  <c r="S36" i="35"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31" i="37"/>
  <c r="U31" i="37" s="1"/>
  <c r="J15" i="37"/>
  <c r="W15" i="37" s="1"/>
  <c r="AT6" i="3"/>
  <c r="AA25" i="21"/>
  <c r="F88" i="40"/>
  <c r="G88" i="40" s="1"/>
  <c r="F19" i="40"/>
  <c r="S19" i="40" s="1"/>
  <c r="AB33" i="40"/>
  <c r="W23" i="39"/>
  <c r="AC43" i="39"/>
  <c r="W43" i="39"/>
  <c r="U45" i="39"/>
  <c r="AB45" i="39"/>
  <c r="AB44" i="39"/>
  <c r="U44" i="39"/>
  <c r="H37" i="39"/>
  <c r="AB37" i="39" s="1"/>
  <c r="H25" i="39"/>
  <c r="U25" i="39" s="1"/>
  <c r="J25" i="39"/>
  <c r="F25" i="39"/>
  <c r="AA25" i="39" s="1"/>
  <c r="F15" i="39"/>
  <c r="AA15" i="39" s="1"/>
  <c r="H15" i="39"/>
  <c r="U15" i="39" s="1"/>
  <c r="J15" i="39"/>
  <c r="W15" i="39" s="1"/>
  <c r="H41" i="39"/>
  <c r="AB41" i="39" s="1"/>
  <c r="AB34" i="39"/>
  <c r="U40" i="39"/>
  <c r="S42" i="39"/>
  <c r="W9" i="39"/>
  <c r="W8" i="39"/>
  <c r="J19" i="40"/>
  <c r="AC19" i="40" s="1"/>
  <c r="J50" i="40"/>
  <c r="H103" i="9"/>
  <c r="D8" i="53" s="1"/>
  <c r="B16" i="53"/>
  <c r="B33" i="72" s="1"/>
  <c r="C7" i="34"/>
  <c r="J11" i="39"/>
  <c r="F11" i="39"/>
  <c r="G4" i="4"/>
  <c r="I4" i="4"/>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502" i="3"/>
  <c r="G17" i="3"/>
  <c r="BA17" i="3"/>
  <c r="BA15" i="3"/>
  <c r="G509" i="3"/>
  <c r="F83" i="43"/>
  <c r="H85" i="43" s="1"/>
  <c r="F50" i="43"/>
  <c r="H54" i="43" s="1"/>
  <c r="F72" i="43"/>
  <c r="H75" i="43" s="1"/>
  <c r="S14" i="35"/>
  <c r="U43" i="21"/>
  <c r="AC35" i="21"/>
  <c r="G8" i="1"/>
  <c r="G10" i="1"/>
  <c r="W37" i="37"/>
  <c r="S15" i="37"/>
  <c r="U13" i="37"/>
  <c r="J37" i="33"/>
  <c r="W37" i="33"/>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W29" i="35"/>
  <c r="H35" i="37"/>
  <c r="U35" i="37" s="1"/>
  <c r="AC14" i="35"/>
  <c r="H20" i="35"/>
  <c r="U20" i="35" s="1"/>
  <c r="F20" i="35"/>
  <c r="AA20" i="35" s="1"/>
  <c r="U29" i="36"/>
  <c r="H32" i="37"/>
  <c r="F96" i="37"/>
  <c r="G96" i="37" s="1"/>
  <c r="H96" i="37" s="1"/>
  <c r="I96" i="37" s="1"/>
  <c r="J96" i="37" s="1"/>
  <c r="K96" i="37" s="1"/>
  <c r="L96" i="37" s="1"/>
  <c r="M96" i="37" s="1"/>
  <c r="H27" i="40"/>
  <c r="U27" i="40" s="1"/>
  <c r="J27" i="40"/>
  <c r="F27" i="40"/>
  <c r="S27" i="40" s="1"/>
  <c r="J30" i="40"/>
  <c r="F30" i="40"/>
  <c r="S30"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C40" i="11"/>
  <c r="F23" i="39"/>
  <c r="S23" i="39" s="1"/>
  <c r="H27" i="36"/>
  <c r="U27" i="36" s="1"/>
  <c r="F27" i="36"/>
  <c r="AA27" i="36" s="1"/>
  <c r="H33" i="34"/>
  <c r="AB33" i="34" s="1"/>
  <c r="F32" i="37"/>
  <c r="F20" i="36"/>
  <c r="AA20" i="36" s="1"/>
  <c r="J33" i="34"/>
  <c r="AC33" i="34" s="1"/>
  <c r="H23" i="39"/>
  <c r="U23" i="39" s="1"/>
  <c r="K9" i="1"/>
  <c r="M9" i="1" s="1"/>
  <c r="W27" i="34"/>
  <c r="AC27" i="34"/>
  <c r="AC12" i="39"/>
  <c r="W12" i="39"/>
  <c r="AC39" i="40"/>
  <c r="W39" i="40"/>
  <c r="AA32" i="36"/>
  <c r="S32" i="36"/>
  <c r="BL14" i="3"/>
  <c r="U30" i="33"/>
  <c r="W28" i="37"/>
  <c r="S19" i="39"/>
  <c r="F12" i="33"/>
  <c r="H12" i="39"/>
  <c r="AB12" i="39"/>
  <c r="F39" i="40"/>
  <c r="AA39" i="40" s="1"/>
  <c r="B12" i="1"/>
  <c r="E12" i="1" s="1"/>
  <c r="B10" i="1"/>
  <c r="E10" i="1" s="1"/>
  <c r="K12" i="1"/>
  <c r="M12" i="1" s="1"/>
  <c r="S13" i="1"/>
  <c r="AR13" i="1" s="1"/>
  <c r="R13" i="1"/>
  <c r="J51" i="67"/>
  <c r="AA34" i="33"/>
  <c r="AB37" i="40"/>
  <c r="S35" i="40"/>
  <c r="S28" i="40"/>
  <c r="AA27" i="40"/>
  <c r="S43" i="39"/>
  <c r="U35" i="39"/>
  <c r="F32" i="39"/>
  <c r="F106" i="39"/>
  <c r="G106" i="39" s="1"/>
  <c r="H106" i="39" s="1"/>
  <c r="I106" i="39" s="1"/>
  <c r="J106" i="39" s="1"/>
  <c r="K106" i="39" s="1"/>
  <c r="L106" i="39" s="1"/>
  <c r="M106" i="39" s="1"/>
  <c r="J21" i="39"/>
  <c r="W21" i="39" s="1"/>
  <c r="F21" i="39"/>
  <c r="G94" i="39"/>
  <c r="H21" i="39"/>
  <c r="W19" i="39"/>
  <c r="S17" i="39"/>
  <c r="S15" i="39"/>
  <c r="S9" i="39"/>
  <c r="U12" i="39"/>
  <c r="U13" i="36"/>
  <c r="AC26" i="36"/>
  <c r="W14" i="36"/>
  <c r="AB14" i="36"/>
  <c r="U22" i="36"/>
  <c r="AA25" i="36"/>
  <c r="S24" i="36"/>
  <c r="U23" i="36"/>
  <c r="S14" i="36"/>
  <c r="AA25" i="35"/>
  <c r="W24" i="35"/>
  <c r="AB13" i="35"/>
  <c r="U28" i="35"/>
  <c r="AB27" i="35"/>
  <c r="U32" i="35"/>
  <c r="AC30" i="35"/>
  <c r="S32" i="35"/>
  <c r="AA36" i="35"/>
  <c r="S28" i="35"/>
  <c r="U22" i="35"/>
  <c r="S20" i="35"/>
  <c r="AC20" i="35"/>
  <c r="S22" i="35"/>
  <c r="U14" i="35"/>
  <c r="AA11" i="35"/>
  <c r="W13" i="35"/>
  <c r="AB40" i="37"/>
  <c r="U29" i="37"/>
  <c r="W30" i="37"/>
  <c r="S36" i="37"/>
  <c r="AA38" i="37"/>
  <c r="W38" i="37"/>
  <c r="AC35" i="37"/>
  <c r="W39" i="37"/>
  <c r="S30" i="37"/>
  <c r="S37" i="37"/>
  <c r="AC15" i="37"/>
  <c r="J17" i="37"/>
  <c r="G73" i="37"/>
  <c r="F17" i="37"/>
  <c r="F75" i="37"/>
  <c r="F19" i="37"/>
  <c r="S19" i="37" s="1"/>
  <c r="F79" i="37"/>
  <c r="G79" i="37" s="1"/>
  <c r="F23" i="37"/>
  <c r="AC13" i="37"/>
  <c r="AA13" i="37"/>
  <c r="H10" i="37"/>
  <c r="AB10" i="37" s="1"/>
  <c r="F63" i="37"/>
  <c r="F11" i="37"/>
  <c r="S11" i="37" s="1"/>
  <c r="W25" i="34"/>
  <c r="AB8" i="34"/>
  <c r="U43" i="34"/>
  <c r="AC42" i="34"/>
  <c r="AB35" i="34"/>
  <c r="U39" i="34"/>
  <c r="AB41" i="34"/>
  <c r="AA25" i="34"/>
  <c r="S17" i="34"/>
  <c r="AA29" i="34"/>
  <c r="S23" i="34"/>
  <c r="H10" i="34"/>
  <c r="AB10" i="34" s="1"/>
  <c r="F11" i="34"/>
  <c r="S11" i="34" s="1"/>
  <c r="W42" i="33"/>
  <c r="AA35" i="33"/>
  <c r="S32" i="33"/>
  <c r="H41" i="33"/>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9" i="33"/>
  <c r="F101" i="33"/>
  <c r="G101" i="33"/>
  <c r="H101" i="33" s="1"/>
  <c r="I101" i="33" s="1"/>
  <c r="J101" i="33" s="1"/>
  <c r="K101" i="33" s="1"/>
  <c r="L101" i="33" s="1"/>
  <c r="M101" i="33" s="1"/>
  <c r="J32" i="33"/>
  <c r="AC32" i="33" s="1"/>
  <c r="W43" i="33"/>
  <c r="F91" i="33"/>
  <c r="H27" i="33"/>
  <c r="F87" i="33"/>
  <c r="G87" i="33" s="1"/>
  <c r="H87" i="33" s="1"/>
  <c r="I87" i="33" s="1"/>
  <c r="J87" i="33" s="1"/>
  <c r="K87" i="33" s="1"/>
  <c r="L87" i="33" s="1"/>
  <c r="M87" i="33" s="1"/>
  <c r="H25" i="33"/>
  <c r="AB25" i="33" s="1"/>
  <c r="F25" i="33"/>
  <c r="S25" i="33" s="1"/>
  <c r="J23" i="33"/>
  <c r="AC23" i="33" s="1"/>
  <c r="F85" i="33"/>
  <c r="H23" i="33"/>
  <c r="U23" i="33" s="1"/>
  <c r="F81" i="33"/>
  <c r="G81" i="33" s="1"/>
  <c r="F19" i="33"/>
  <c r="S19" i="33" s="1"/>
  <c r="W19" i="33"/>
  <c r="J17" i="33"/>
  <c r="W17" i="33" s="1"/>
  <c r="J10" i="33"/>
  <c r="W10" i="33" s="1"/>
  <c r="H10" i="33"/>
  <c r="U10" i="33" s="1"/>
  <c r="AC11" i="33"/>
  <c r="W43" i="21"/>
  <c r="W36" i="21"/>
  <c r="W41" i="21"/>
  <c r="AA43" i="21"/>
  <c r="S39" i="21"/>
  <c r="AA38" i="21"/>
  <c r="AA36" i="21"/>
  <c r="AC40" i="21"/>
  <c r="J15" i="21"/>
  <c r="W15" i="21" s="1"/>
  <c r="F77" i="21"/>
  <c r="G77" i="21" s="1"/>
  <c r="F23" i="21"/>
  <c r="S23" i="21" s="1"/>
  <c r="E85" i="21"/>
  <c r="C18" i="9"/>
  <c r="D18" i="9" s="1"/>
  <c r="F34" i="67"/>
  <c r="F62" i="67" s="1"/>
  <c r="M20" i="67"/>
  <c r="F34" i="15"/>
  <c r="F62" i="15" s="1"/>
  <c r="G13" i="3"/>
  <c r="BA13" i="3"/>
  <c r="BL17" i="3"/>
  <c r="BL13" i="3"/>
  <c r="J56" i="9"/>
  <c r="J57" i="9" s="1"/>
  <c r="J59" i="9" s="1"/>
  <c r="J61" i="9" s="1"/>
  <c r="A24" i="51"/>
  <c r="B18" i="72" s="1"/>
  <c r="U29" i="34"/>
  <c r="E32" i="6"/>
  <c r="G1" i="68"/>
  <c r="K1" i="12"/>
  <c r="E19" i="69"/>
  <c r="E19" i="68"/>
  <c r="E19" i="11"/>
  <c r="E1" i="73"/>
  <c r="C6" i="43"/>
  <c r="C7" i="39"/>
  <c r="C67" i="39" s="1"/>
  <c r="C7" i="40"/>
  <c r="C63" i="40" s="1"/>
  <c r="A4" i="51"/>
  <c r="B6" i="72" s="1"/>
  <c r="L20" i="6"/>
  <c r="B6" i="1"/>
  <c r="E6" i="1" s="1"/>
  <c r="K11" i="1"/>
  <c r="M11" i="1" s="1"/>
  <c r="O11" i="1" s="1"/>
  <c r="B9" i="1"/>
  <c r="E9" i="1" s="1"/>
  <c r="K7" i="1"/>
  <c r="M7" i="1" s="1"/>
  <c r="O7" i="1" s="1"/>
  <c r="P7" i="1" s="1"/>
  <c r="G1" i="15"/>
  <c r="G1" i="69"/>
  <c r="G1" i="67"/>
  <c r="U32" i="40"/>
  <c r="AB31" i="40"/>
  <c r="AB28" i="40"/>
  <c r="W28" i="40"/>
  <c r="AC14" i="40"/>
  <c r="AB13" i="40"/>
  <c r="U8" i="40"/>
  <c r="AA39" i="39"/>
  <c r="AC41" i="39"/>
  <c r="U42" i="39"/>
  <c r="W25" i="39"/>
  <c r="AC25" i="39"/>
  <c r="AB11" i="39"/>
  <c r="U11" i="39"/>
  <c r="AA27" i="39"/>
  <c r="S27" i="39"/>
  <c r="AA45" i="39"/>
  <c r="W34" i="39"/>
  <c r="U38" i="39"/>
  <c r="S8" i="39"/>
  <c r="AC25" i="36"/>
  <c r="W29" i="36"/>
  <c r="AC20" i="36"/>
  <c r="U25" i="36"/>
  <c r="W22" i="36"/>
  <c r="AB20" i="35"/>
  <c r="U24" i="35"/>
  <c r="AA16" i="35"/>
  <c r="W36" i="37"/>
  <c r="S27" i="37"/>
  <c r="W32" i="37"/>
  <c r="U36" i="37"/>
  <c r="U38" i="37"/>
  <c r="AB37" i="37"/>
  <c r="AA31" i="37"/>
  <c r="U8" i="37"/>
  <c r="AB40" i="34"/>
  <c r="U19" i="34"/>
  <c r="W19" i="34"/>
  <c r="AA30" i="34"/>
  <c r="U25" i="34"/>
  <c r="AC32" i="34"/>
  <c r="AC29" i="34"/>
  <c r="W29" i="34"/>
  <c r="S32" i="34"/>
  <c r="AA32" i="34"/>
  <c r="U30" i="34"/>
  <c r="AB30" i="34"/>
  <c r="S37" i="34"/>
  <c r="U38" i="34"/>
  <c r="AA19" i="34"/>
  <c r="S19" i="34"/>
  <c r="AA36" i="34"/>
  <c r="S36" i="34"/>
  <c r="AA8" i="34"/>
  <c r="S8" i="34"/>
  <c r="U32" i="34"/>
  <c r="AB32" i="34"/>
  <c r="AC43" i="34"/>
  <c r="W43" i="34"/>
  <c r="W23" i="34"/>
  <c r="AC23" i="34"/>
  <c r="AC35" i="34"/>
  <c r="W35" i="34"/>
  <c r="AC37" i="33"/>
  <c r="W46" i="33"/>
  <c r="U39" i="33"/>
  <c r="U38" i="33"/>
  <c r="S33" i="33"/>
  <c r="AB34" i="33"/>
  <c r="S30" i="33"/>
  <c r="AA30" i="33"/>
  <c r="AC30" i="33"/>
  <c r="W30" i="33"/>
  <c r="S31" i="33"/>
  <c r="AA31" i="33"/>
  <c r="U15" i="33"/>
  <c r="S11" i="33"/>
  <c r="U37" i="33"/>
  <c r="W9" i="33"/>
  <c r="W8" i="33"/>
  <c r="AB42" i="21"/>
  <c r="F33" i="21"/>
  <c r="AA33" i="21" s="1"/>
  <c r="J33" i="21"/>
  <c r="AC33" i="21" s="1"/>
  <c r="H33" i="21"/>
  <c r="AB33" i="21" s="1"/>
  <c r="F37" i="21"/>
  <c r="AA37" i="21" s="1"/>
  <c r="U40" i="21"/>
  <c r="U13" i="21"/>
  <c r="AB13" i="21"/>
  <c r="S35" i="21"/>
  <c r="J37" i="21"/>
  <c r="W37" i="21" s="1"/>
  <c r="H15" i="21"/>
  <c r="AB15" i="21" s="1"/>
  <c r="J17" i="21"/>
  <c r="W17" i="21" s="1"/>
  <c r="AC19" i="21"/>
  <c r="W39" i="21"/>
  <c r="W30" i="21"/>
  <c r="H45" i="21"/>
  <c r="U45" i="21" s="1"/>
  <c r="F13" i="21"/>
  <c r="AC38" i="21"/>
  <c r="H32" i="21"/>
  <c r="AB32" i="21" s="1"/>
  <c r="H9" i="21"/>
  <c r="J9" i="21"/>
  <c r="J32" i="21"/>
  <c r="W32" i="21" s="1"/>
  <c r="F32" i="21"/>
  <c r="S32" i="21" s="1"/>
  <c r="AA31" i="21"/>
  <c r="U17" i="21"/>
  <c r="S19" i="21"/>
  <c r="S9" i="21"/>
  <c r="AA9" i="21"/>
  <c r="K141" i="21"/>
  <c r="K144" i="21"/>
  <c r="K143" i="21"/>
  <c r="AB25" i="21"/>
  <c r="AA30" i="21"/>
  <c r="W42" i="21"/>
  <c r="AC45" i="21"/>
  <c r="F10" i="21"/>
  <c r="AA10" i="21" s="1"/>
  <c r="K145" i="21"/>
  <c r="W25" i="21"/>
  <c r="W31" i="21"/>
  <c r="S17" i="21"/>
  <c r="AA15" i="21"/>
  <c r="AC26" i="21"/>
  <c r="AC34" i="21"/>
  <c r="C15" i="40"/>
  <c r="C17" i="40"/>
  <c r="C23" i="40"/>
  <c r="U30" i="40"/>
  <c r="B56" i="43"/>
  <c r="B67" i="43"/>
  <c r="B51" i="43"/>
  <c r="B62" i="43"/>
  <c r="D23" i="15"/>
  <c r="D22" i="15"/>
  <c r="E4" i="4"/>
  <c r="B5" i="62" s="1"/>
  <c r="B73" i="72" s="1"/>
  <c r="C4" i="4"/>
  <c r="S39" i="40"/>
  <c r="S12" i="33"/>
  <c r="AA12" i="33"/>
  <c r="J32" i="39"/>
  <c r="AC32" i="39" s="1"/>
  <c r="H32" i="39"/>
  <c r="AB32" i="39" s="1"/>
  <c r="AA32" i="39"/>
  <c r="S32" i="39"/>
  <c r="AA21" i="39"/>
  <c r="S21" i="39"/>
  <c r="J19" i="37"/>
  <c r="W19" i="37" s="1"/>
  <c r="G75" i="37"/>
  <c r="AA19" i="37"/>
  <c r="J23" i="37"/>
  <c r="J10" i="37"/>
  <c r="W10" i="37" s="1"/>
  <c r="G63" i="37"/>
  <c r="H63" i="37" s="1"/>
  <c r="I63" i="37" s="1"/>
  <c r="J63" i="37" s="1"/>
  <c r="K63" i="37" s="1"/>
  <c r="L63" i="37" s="1"/>
  <c r="M63" i="37" s="1"/>
  <c r="H11" i="37"/>
  <c r="AB11" i="37" s="1"/>
  <c r="H11" i="34"/>
  <c r="U11" i="34" s="1"/>
  <c r="J10" i="34"/>
  <c r="AC10" i="34" s="1"/>
  <c r="AB41" i="33"/>
  <c r="U41" i="33"/>
  <c r="J36" i="33"/>
  <c r="W36" i="33" s="1"/>
  <c r="H36" i="33"/>
  <c r="U36" i="33" s="1"/>
  <c r="G91" i="33"/>
  <c r="H91" i="33" s="1"/>
  <c r="I91" i="33" s="1"/>
  <c r="J91" i="33" s="1"/>
  <c r="K91" i="33" s="1"/>
  <c r="L91" i="33" s="1"/>
  <c r="M91" i="33" s="1"/>
  <c r="J27" i="33"/>
  <c r="J25" i="33"/>
  <c r="W25" i="33" s="1"/>
  <c r="F23" i="33"/>
  <c r="G85" i="33"/>
  <c r="H19" i="33"/>
  <c r="H17" i="33"/>
  <c r="U17" i="33" s="1"/>
  <c r="F17" i="33"/>
  <c r="S17" i="33" s="1"/>
  <c r="S37" i="21"/>
  <c r="AA23" i="21"/>
  <c r="J23" i="21"/>
  <c r="AC23" i="21" s="1"/>
  <c r="F85" i="21"/>
  <c r="G85" i="21" s="1"/>
  <c r="H23" i="21"/>
  <c r="AB23" i="21" s="1"/>
  <c r="AP7" i="1"/>
  <c r="U32" i="39"/>
  <c r="J11" i="37"/>
  <c r="AC11" i="37" s="1"/>
  <c r="J11" i="34"/>
  <c r="W11" i="34" s="1"/>
  <c r="AB19" i="33"/>
  <c r="U19" i="33"/>
  <c r="H109" i="9"/>
  <c r="AD3" i="71"/>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0" i="67"/>
  <c r="B10" i="76"/>
  <c r="B12" i="76"/>
  <c r="F7" i="67"/>
  <c r="F5" i="73"/>
  <c r="F42" i="67"/>
  <c r="L48" i="67"/>
  <c r="E9" i="76"/>
  <c r="M24" i="67"/>
  <c r="B9" i="76"/>
  <c r="E8" i="76"/>
  <c r="F4" i="73"/>
  <c r="E12" i="76"/>
  <c r="L47" i="15"/>
  <c r="F13" i="67"/>
  <c r="B7" i="76"/>
  <c r="F38" i="67"/>
  <c r="M23" i="67"/>
  <c r="F16" i="15"/>
  <c r="F9" i="67"/>
  <c r="E7" i="76"/>
  <c r="E2" i="69"/>
  <c r="M26" i="67"/>
  <c r="B13" i="76"/>
  <c r="F36" i="67"/>
  <c r="C76" i="15"/>
  <c r="F3" i="73"/>
  <c r="F7" i="73"/>
  <c r="M28" i="67"/>
  <c r="M9" i="15"/>
  <c r="B11" i="76"/>
  <c r="F6" i="73"/>
  <c r="E10" i="76"/>
  <c r="M29" i="67"/>
  <c r="J15" i="67"/>
  <c r="M24" i="15"/>
  <c r="F26" i="67"/>
  <c r="C76" i="67"/>
  <c r="F42" i="15"/>
  <c r="AO13" i="1"/>
  <c r="L47" i="67"/>
  <c r="F8" i="67"/>
  <c r="E2" i="68"/>
  <c r="M6" i="15"/>
  <c r="M8" i="67"/>
  <c r="B8" i="76"/>
  <c r="F16" i="67"/>
  <c r="F37" i="67"/>
  <c r="E13" i="76"/>
  <c r="F20" i="31"/>
  <c r="M22" i="67"/>
  <c r="F6" i="67"/>
  <c r="M6" i="67"/>
  <c r="F43" i="67"/>
  <c r="M9" i="67"/>
  <c r="E11" i="76"/>
  <c r="A2" i="9" l="1"/>
  <c r="A4" i="52"/>
  <c r="B41" i="72" s="1"/>
  <c r="A118" i="9"/>
  <c r="AA27" i="33"/>
  <c r="S27" i="33"/>
  <c r="AB28" i="33"/>
  <c r="U28" i="33"/>
  <c r="W26" i="33"/>
  <c r="AC26" i="33"/>
  <c r="AA13" i="39"/>
  <c r="S13" i="39"/>
  <c r="AB31" i="21"/>
  <c r="U31" i="21"/>
  <c r="AA31" i="39"/>
  <c r="S31" i="39"/>
  <c r="AB24" i="36"/>
  <c r="U24" i="36"/>
  <c r="W14" i="21"/>
  <c r="AC14" i="21"/>
  <c r="W25" i="35"/>
  <c r="AC25" i="35"/>
  <c r="S14" i="39"/>
  <c r="AA14" i="39"/>
  <c r="W28" i="21"/>
  <c r="AC28" i="21"/>
  <c r="U46" i="34"/>
  <c r="AB46" i="34"/>
  <c r="AB34" i="35"/>
  <c r="U34" i="35"/>
  <c r="S34" i="36"/>
  <c r="AA34" i="36"/>
  <c r="W13" i="34"/>
  <c r="AC13" i="34"/>
  <c r="S36" i="33"/>
  <c r="AB39" i="39"/>
  <c r="H9" i="35"/>
  <c r="U9" i="35" s="1"/>
  <c r="J28" i="33"/>
  <c r="AA33" i="34"/>
  <c r="U15" i="37"/>
  <c r="AA33" i="35"/>
  <c r="D120" i="9"/>
  <c r="U23" i="37"/>
  <c r="F9" i="35"/>
  <c r="S9" i="35" s="1"/>
  <c r="AZ379" i="3"/>
  <c r="U32" i="21"/>
  <c r="AC17" i="33"/>
  <c r="U28" i="21"/>
  <c r="W33" i="34"/>
  <c r="AA40" i="34"/>
  <c r="U32" i="36"/>
  <c r="AC17" i="39"/>
  <c r="AA37" i="33"/>
  <c r="AA45" i="34"/>
  <c r="U36" i="35"/>
  <c r="U16" i="36"/>
  <c r="AA22" i="36"/>
  <c r="AC34" i="33"/>
  <c r="AZ380" i="3"/>
  <c r="AZ325" i="3"/>
  <c r="BL567" i="3"/>
  <c r="AA14" i="37"/>
  <c r="F13" i="33"/>
  <c r="F28" i="33"/>
  <c r="H46" i="21"/>
  <c r="F14" i="21"/>
  <c r="H15" i="40"/>
  <c r="AB15" i="40" s="1"/>
  <c r="U34" i="21"/>
  <c r="G586" i="3"/>
  <c r="W41" i="33"/>
  <c r="H12" i="35"/>
  <c r="U12" i="35" s="1"/>
  <c r="J9" i="36"/>
  <c r="AA25" i="33"/>
  <c r="B69" i="43"/>
  <c r="S27" i="21"/>
  <c r="U9" i="33"/>
  <c r="S43" i="33"/>
  <c r="AB31" i="37"/>
  <c r="W9" i="35"/>
  <c r="AB16" i="35"/>
  <c r="AA12" i="39"/>
  <c r="U35" i="21"/>
  <c r="AZ311" i="3"/>
  <c r="AZ344" i="3"/>
  <c r="AZ313" i="3"/>
  <c r="BL555" i="3"/>
  <c r="BL557" i="3"/>
  <c r="J13" i="33"/>
  <c r="F15" i="40"/>
  <c r="S15" i="40" s="1"/>
  <c r="U9" i="40"/>
  <c r="J24" i="36"/>
  <c r="AC24" i="36" s="1"/>
  <c r="AA38" i="40"/>
  <c r="G581" i="3"/>
  <c r="G572" i="3"/>
  <c r="W30" i="36"/>
  <c r="J15" i="40"/>
  <c r="AB36" i="34"/>
  <c r="U25" i="33"/>
  <c r="AB14" i="21"/>
  <c r="AA46" i="34"/>
  <c r="W40" i="34"/>
  <c r="AA29" i="37"/>
  <c r="S20" i="36"/>
  <c r="S31" i="40"/>
  <c r="AB39" i="21"/>
  <c r="W15" i="33"/>
  <c r="W38" i="33"/>
  <c r="AB27" i="39"/>
  <c r="AB27" i="40"/>
  <c r="AZ351" i="3"/>
  <c r="AZ394" i="3"/>
  <c r="AZ378" i="3"/>
  <c r="AA41" i="39"/>
  <c r="BL541" i="3"/>
  <c r="G557" i="3"/>
  <c r="H14" i="39"/>
  <c r="F11" i="36"/>
  <c r="W8" i="40"/>
  <c r="BL549" i="3"/>
  <c r="BA549" i="3"/>
  <c r="BA548" i="3"/>
  <c r="BA547" i="3"/>
  <c r="BA546" i="3"/>
  <c r="BN5" i="3"/>
  <c r="AC25" i="33"/>
  <c r="B58" i="43"/>
  <c r="C19" i="39"/>
  <c r="S46" i="21"/>
  <c r="AA26" i="21"/>
  <c r="AB45" i="34"/>
  <c r="AA13" i="36"/>
  <c r="S15" i="33"/>
  <c r="S46" i="33"/>
  <c r="AB29" i="33"/>
  <c r="U15" i="34"/>
  <c r="AC29" i="37"/>
  <c r="U29" i="35"/>
  <c r="AA26" i="36"/>
  <c r="AC12" i="36"/>
  <c r="AZ17" i="3"/>
  <c r="AC36" i="34"/>
  <c r="H14" i="34"/>
  <c r="F29" i="33"/>
  <c r="H26" i="33"/>
  <c r="U34" i="37"/>
  <c r="AB41" i="21"/>
  <c r="J12" i="33"/>
  <c r="AC14" i="34"/>
  <c r="S40" i="37"/>
  <c r="U37" i="39"/>
  <c r="AC17" i="34"/>
  <c r="BL565" i="3"/>
  <c r="AB36" i="33"/>
  <c r="AA19" i="33"/>
  <c r="AB36" i="21"/>
  <c r="AC34" i="37"/>
  <c r="AA35" i="37"/>
  <c r="AB28" i="36"/>
  <c r="U41" i="39"/>
  <c r="AB17" i="37"/>
  <c r="U26" i="36"/>
  <c r="U19" i="39"/>
  <c r="U35" i="40"/>
  <c r="AA23" i="39"/>
  <c r="U17" i="39"/>
  <c r="AZ390" i="3"/>
  <c r="W40" i="37"/>
  <c r="BL511" i="3"/>
  <c r="AB46" i="33"/>
  <c r="J46" i="34"/>
  <c r="AC38" i="34"/>
  <c r="BL584" i="3"/>
  <c r="AZ554" i="3"/>
  <c r="AA30" i="40"/>
  <c r="AZ148" i="3"/>
  <c r="BA545" i="3"/>
  <c r="BR5" i="3"/>
  <c r="BA544" i="3"/>
  <c r="BA543" i="3"/>
  <c r="BL542" i="3"/>
  <c r="BA542" i="3"/>
  <c r="AZ542" i="3" s="1"/>
  <c r="BA541" i="3"/>
  <c r="BL540" i="3"/>
  <c r="BA540" i="3"/>
  <c r="BA539" i="3"/>
  <c r="BL538" i="3"/>
  <c r="BA537" i="3"/>
  <c r="AC5" i="3"/>
  <c r="BL536" i="3"/>
  <c r="BA536" i="3"/>
  <c r="BA535" i="3"/>
  <c r="BL534" i="3"/>
  <c r="BA534" i="3"/>
  <c r="BL533" i="3"/>
  <c r="BA533" i="3"/>
  <c r="BT5" i="3"/>
  <c r="BA531" i="3"/>
  <c r="BL530" i="3"/>
  <c r="BL529" i="3"/>
  <c r="BA529" i="3"/>
  <c r="BL528" i="3"/>
  <c r="BA528" i="3"/>
  <c r="BA527" i="3"/>
  <c r="BL526" i="3"/>
  <c r="AZ526" i="3" s="1"/>
  <c r="BA526" i="3"/>
  <c r="BA525" i="3"/>
  <c r="BL524" i="3"/>
  <c r="BA524" i="3"/>
  <c r="BL522" i="3"/>
  <c r="AZ522" i="3" s="1"/>
  <c r="BA521" i="3"/>
  <c r="G521" i="3"/>
  <c r="BL520" i="3"/>
  <c r="AZ520" i="3" s="1"/>
  <c r="BA519" i="3"/>
  <c r="BL518" i="3"/>
  <c r="BL517" i="3"/>
  <c r="BA517" i="3"/>
  <c r="BL516" i="3"/>
  <c r="BA515" i="3"/>
  <c r="BL514" i="3"/>
  <c r="BA514" i="3"/>
  <c r="AZ514" i="3" s="1"/>
  <c r="BL513" i="3"/>
  <c r="BL512" i="3"/>
  <c r="BA512" i="3"/>
  <c r="G512" i="3"/>
  <c r="BL510" i="3"/>
  <c r="BA510" i="3"/>
  <c r="BL509" i="3"/>
  <c r="AZ509" i="3" s="1"/>
  <c r="BL508" i="3"/>
  <c r="AZ508" i="3" s="1"/>
  <c r="BA508" i="3"/>
  <c r="BA507" i="3"/>
  <c r="G507" i="3"/>
  <c r="BL506" i="3"/>
  <c r="BA506" i="3"/>
  <c r="BL505" i="3"/>
  <c r="BA505" i="3"/>
  <c r="BL504" i="3"/>
  <c r="BA504" i="3"/>
  <c r="BA503" i="3"/>
  <c r="BL502" i="3"/>
  <c r="BL501" i="3"/>
  <c r="BA501" i="3"/>
  <c r="BL500" i="3"/>
  <c r="BA500" i="3"/>
  <c r="AZ500" i="3" s="1"/>
  <c r="BA499" i="3"/>
  <c r="BL498" i="3"/>
  <c r="BA498" i="3"/>
  <c r="H5" i="3"/>
  <c r="BL496" i="3"/>
  <c r="BA496" i="3"/>
  <c r="BL494" i="3"/>
  <c r="BA494" i="3"/>
  <c r="AZ494" i="3" s="1"/>
  <c r="F6" i="1"/>
  <c r="G387" i="3"/>
  <c r="G268" i="3"/>
  <c r="G284" i="3"/>
  <c r="G135" i="3"/>
  <c r="BL135" i="3"/>
  <c r="AZ135" i="3" s="1"/>
  <c r="BA148" i="3"/>
  <c r="BL185" i="3"/>
  <c r="BL581" i="3"/>
  <c r="G576" i="3"/>
  <c r="BL575" i="3"/>
  <c r="BL574" i="3"/>
  <c r="G574" i="3"/>
  <c r="BA572" i="3"/>
  <c r="BL570" i="3"/>
  <c r="BA570" i="3"/>
  <c r="BA569" i="3"/>
  <c r="G569" i="3"/>
  <c r="BL568" i="3"/>
  <c r="BA566" i="3"/>
  <c r="BL564" i="3"/>
  <c r="BA563" i="3"/>
  <c r="BL560" i="3"/>
  <c r="AZ560" i="3" s="1"/>
  <c r="BA558" i="3"/>
  <c r="G558" i="3"/>
  <c r="BL556" i="3"/>
  <c r="BA556" i="3"/>
  <c r="BA555" i="3"/>
  <c r="BA553" i="3"/>
  <c r="BL552" i="3"/>
  <c r="BA552" i="3"/>
  <c r="G431" i="3"/>
  <c r="G451" i="3"/>
  <c r="G469" i="3"/>
  <c r="G477" i="3"/>
  <c r="G343" i="3"/>
  <c r="G351" i="3"/>
  <c r="G257" i="3"/>
  <c r="G258" i="3"/>
  <c r="BA132" i="3"/>
  <c r="AZ132" i="3" s="1"/>
  <c r="G150" i="3"/>
  <c r="G159" i="3"/>
  <c r="BA174" i="3"/>
  <c r="BA182" i="3"/>
  <c r="BA50" i="3"/>
  <c r="G51" i="3"/>
  <c r="G52" i="3"/>
  <c r="BA65" i="3"/>
  <c r="G95" i="3"/>
  <c r="U21" i="34"/>
  <c r="D68" i="71"/>
  <c r="AB34" i="71"/>
  <c r="AB36" i="71"/>
  <c r="Y38" i="71"/>
  <c r="Z38" i="71" s="1"/>
  <c r="BL458" i="3"/>
  <c r="BA473" i="3"/>
  <c r="BL211" i="3"/>
  <c r="BA225" i="3"/>
  <c r="BL298" i="3"/>
  <c r="BL166" i="3"/>
  <c r="BA189" i="3"/>
  <c r="A15" i="62"/>
  <c r="B61" i="72" s="1"/>
  <c r="G413" i="3"/>
  <c r="G421" i="3"/>
  <c r="G440" i="3"/>
  <c r="G448" i="3"/>
  <c r="G457" i="3"/>
  <c r="G475" i="3"/>
  <c r="G492" i="3"/>
  <c r="G349" i="3"/>
  <c r="BA208" i="3"/>
  <c r="AZ208" i="3" s="1"/>
  <c r="BA235" i="3"/>
  <c r="G255" i="3"/>
  <c r="G256" i="3"/>
  <c r="G263" i="3"/>
  <c r="BA120" i="3"/>
  <c r="AZ120" i="3" s="1"/>
  <c r="G123" i="3"/>
  <c r="G175" i="3"/>
  <c r="G183" i="3"/>
  <c r="BA188" i="3"/>
  <c r="AZ188" i="3" s="1"/>
  <c r="BA207" i="3"/>
  <c r="BA22" i="3"/>
  <c r="BL24" i="3"/>
  <c r="G25" i="3"/>
  <c r="BA30" i="3"/>
  <c r="G42" i="3"/>
  <c r="G66" i="3"/>
  <c r="G67" i="3"/>
  <c r="G75" i="3"/>
  <c r="E31" i="71"/>
  <c r="E32" i="71" s="1"/>
  <c r="U32" i="71" s="1"/>
  <c r="B39" i="71"/>
  <c r="B40" i="71" s="1"/>
  <c r="S40" i="71" s="1"/>
  <c r="E59" i="71"/>
  <c r="E60" i="71" s="1"/>
  <c r="U60" i="71" s="1"/>
  <c r="C63" i="71"/>
  <c r="F71" i="71"/>
  <c r="F70" i="71" s="1"/>
  <c r="AA3" i="71"/>
  <c r="F31" i="71"/>
  <c r="F32" i="71" s="1"/>
  <c r="V32" i="71" s="1"/>
  <c r="F59" i="71"/>
  <c r="F60" i="71" s="1"/>
  <c r="V60" i="71" s="1"/>
  <c r="E63" i="71"/>
  <c r="E64" i="71" s="1"/>
  <c r="U64" i="71" s="1"/>
  <c r="G582" i="3"/>
  <c r="G566" i="3"/>
  <c r="G554" i="3"/>
  <c r="G552" i="3"/>
  <c r="G447" i="3"/>
  <c r="G481" i="3"/>
  <c r="G490" i="3"/>
  <c r="G397" i="3"/>
  <c r="G217" i="3"/>
  <c r="BA233" i="3"/>
  <c r="G253" i="3"/>
  <c r="BL269" i="3"/>
  <c r="BL271" i="3"/>
  <c r="BA275" i="3"/>
  <c r="BL278" i="3"/>
  <c r="BA283" i="3"/>
  <c r="G154" i="3"/>
  <c r="G163" i="3"/>
  <c r="G32" i="3"/>
  <c r="G73" i="3"/>
  <c r="BL82" i="3"/>
  <c r="G89" i="3"/>
  <c r="E79" i="71"/>
  <c r="E78" i="71" s="1"/>
  <c r="X31" i="71"/>
  <c r="F35" i="71"/>
  <c r="F36" i="71" s="1"/>
  <c r="V36" i="71" s="1"/>
  <c r="B59" i="71"/>
  <c r="B60" i="71" s="1"/>
  <c r="S60" i="71" s="1"/>
  <c r="G570" i="3"/>
  <c r="BL433" i="3"/>
  <c r="BL434" i="3"/>
  <c r="G436" i="3"/>
  <c r="BA452" i="3"/>
  <c r="BL452" i="3"/>
  <c r="G454" i="3"/>
  <c r="G471" i="3"/>
  <c r="BL479" i="3"/>
  <c r="G480" i="3"/>
  <c r="G216" i="3"/>
  <c r="G243" i="3"/>
  <c r="BL252" i="3"/>
  <c r="BA260" i="3"/>
  <c r="BA265" i="3"/>
  <c r="BA267" i="3"/>
  <c r="AZ267" i="3" s="1"/>
  <c r="G269" i="3"/>
  <c r="G285" i="3"/>
  <c r="G294" i="3"/>
  <c r="G128" i="3"/>
  <c r="G162" i="3"/>
  <c r="G172" i="3"/>
  <c r="G180" i="3"/>
  <c r="BL195" i="3"/>
  <c r="AZ195" i="3" s="1"/>
  <c r="G204" i="3"/>
  <c r="G54" i="3"/>
  <c r="BL79" i="3"/>
  <c r="G98" i="3"/>
  <c r="E67" i="71"/>
  <c r="E66" i="71" s="1"/>
  <c r="B44" i="71"/>
  <c r="S44" i="71" s="1"/>
  <c r="E52" i="71"/>
  <c r="U52" i="71" s="1"/>
  <c r="C59" i="71"/>
  <c r="BL399" i="3"/>
  <c r="BL401" i="3"/>
  <c r="BA407" i="3"/>
  <c r="BL407" i="3"/>
  <c r="BL462" i="3"/>
  <c r="BL469" i="3"/>
  <c r="BL346" i="3"/>
  <c r="AZ346" i="3" s="1"/>
  <c r="BA220" i="3"/>
  <c r="BA222" i="3"/>
  <c r="BA256" i="3"/>
  <c r="BA291" i="3"/>
  <c r="BA149" i="3"/>
  <c r="BA532" i="3"/>
  <c r="AZ532" i="3" s="1"/>
  <c r="BA530" i="3"/>
  <c r="AZ530" i="3" s="1"/>
  <c r="AZ524" i="3"/>
  <c r="BA518" i="3"/>
  <c r="AZ518" i="3" s="1"/>
  <c r="BA516" i="3"/>
  <c r="AZ516" i="3" s="1"/>
  <c r="AZ512" i="3"/>
  <c r="BA511" i="3"/>
  <c r="AZ511" i="3" s="1"/>
  <c r="AZ510" i="3"/>
  <c r="AZ505" i="3"/>
  <c r="BA502" i="3"/>
  <c r="BM5" i="3"/>
  <c r="AZ498" i="3"/>
  <c r="BK5" i="3"/>
  <c r="BA497" i="3"/>
  <c r="AZ497" i="3" s="1"/>
  <c r="BJ5" i="3"/>
  <c r="BB5" i="3"/>
  <c r="BA493" i="3"/>
  <c r="AZ493" i="3" s="1"/>
  <c r="BI5" i="3"/>
  <c r="B65" i="43"/>
  <c r="AB26" i="37"/>
  <c r="U26" i="37"/>
  <c r="AC44" i="34"/>
  <c r="BC5" i="3"/>
  <c r="BO5" i="3"/>
  <c r="F29" i="6" s="1"/>
  <c r="AZ322" i="3"/>
  <c r="AZ320" i="3"/>
  <c r="S32" i="40"/>
  <c r="AA32" i="40"/>
  <c r="G537" i="3"/>
  <c r="BA587" i="3"/>
  <c r="J44" i="21"/>
  <c r="H44" i="21"/>
  <c r="AB34" i="34"/>
  <c r="U34" i="34"/>
  <c r="W45" i="33"/>
  <c r="AC45" i="33"/>
  <c r="BA578" i="3"/>
  <c r="BA573" i="3"/>
  <c r="AZ572" i="3"/>
  <c r="BA571" i="3"/>
  <c r="AZ570" i="3"/>
  <c r="BA564" i="3"/>
  <c r="AZ564" i="3" s="1"/>
  <c r="AZ558" i="3"/>
  <c r="BA557" i="3"/>
  <c r="AZ556" i="3"/>
  <c r="AZ552" i="3"/>
  <c r="AZ525" i="3"/>
  <c r="W12" i="37"/>
  <c r="AC12" i="37"/>
  <c r="AA38" i="33"/>
  <c r="S38" i="33"/>
  <c r="AA32" i="21"/>
  <c r="AB23" i="33"/>
  <c r="W23" i="21"/>
  <c r="AB45" i="21"/>
  <c r="W13" i="21"/>
  <c r="U19" i="37"/>
  <c r="S28" i="37"/>
  <c r="U25" i="35"/>
  <c r="AB43" i="39"/>
  <c r="AB14" i="33"/>
  <c r="BE5" i="3"/>
  <c r="AZ373" i="3"/>
  <c r="AZ362" i="3"/>
  <c r="AZ310" i="3"/>
  <c r="AZ327" i="3"/>
  <c r="BL543" i="3"/>
  <c r="AZ543" i="3" s="1"/>
  <c r="BL544" i="3"/>
  <c r="AZ544" i="3" s="1"/>
  <c r="AC31" i="34"/>
  <c r="U45" i="33"/>
  <c r="AB45" i="33"/>
  <c r="AA28" i="34"/>
  <c r="S28" i="34"/>
  <c r="AC27" i="39"/>
  <c r="W27" i="39"/>
  <c r="S35" i="39"/>
  <c r="AA35" i="39"/>
  <c r="W32" i="39"/>
  <c r="B54" i="43"/>
  <c r="AB44" i="33"/>
  <c r="AC45" i="34"/>
  <c r="S33" i="40"/>
  <c r="AB20" i="36"/>
  <c r="BG5" i="3"/>
  <c r="BL515" i="3"/>
  <c r="AZ515" i="3" s="1"/>
  <c r="BL531" i="3"/>
  <c r="AZ531" i="3" s="1"/>
  <c r="S12" i="40"/>
  <c r="AA12" i="40"/>
  <c r="AC44" i="33"/>
  <c r="W44" i="33"/>
  <c r="AC16" i="35"/>
  <c r="W16" i="35"/>
  <c r="J9" i="37"/>
  <c r="W9" i="37" s="1"/>
  <c r="H9" i="37"/>
  <c r="U9" i="37" s="1"/>
  <c r="AB9" i="39"/>
  <c r="U9" i="39"/>
  <c r="J13" i="39"/>
  <c r="H13" i="39"/>
  <c r="S16" i="36"/>
  <c r="AC35" i="33"/>
  <c r="AC15" i="21"/>
  <c r="S13" i="40"/>
  <c r="U27" i="34"/>
  <c r="W24" i="36"/>
  <c r="BL503" i="3"/>
  <c r="AZ503" i="3" s="1"/>
  <c r="AZ561" i="3"/>
  <c r="BA495" i="3"/>
  <c r="F44" i="21"/>
  <c r="F14" i="33"/>
  <c r="J14" i="33"/>
  <c r="H13" i="34"/>
  <c r="U13" i="34" s="1"/>
  <c r="F13" i="34"/>
  <c r="H47" i="34"/>
  <c r="J47" i="34"/>
  <c r="J35" i="35"/>
  <c r="F35" i="35"/>
  <c r="F86" i="40"/>
  <c r="G86" i="40" s="1"/>
  <c r="J17" i="40"/>
  <c r="W17" i="40" s="1"/>
  <c r="H17" i="40"/>
  <c r="U17" i="40" s="1"/>
  <c r="F17" i="40"/>
  <c r="AA17" i="40" s="1"/>
  <c r="BL546" i="3"/>
  <c r="BA538" i="3"/>
  <c r="AZ538" i="3" s="1"/>
  <c r="AC39" i="34"/>
  <c r="AA32" i="37"/>
  <c r="S32" i="37"/>
  <c r="BP5" i="3"/>
  <c r="G29" i="6" s="1"/>
  <c r="AZ369" i="3"/>
  <c r="BL535" i="3"/>
  <c r="AA11" i="36"/>
  <c r="S11" i="36"/>
  <c r="AC44" i="39"/>
  <c r="W44" i="39"/>
  <c r="J29" i="21"/>
  <c r="H29" i="21"/>
  <c r="H34" i="36"/>
  <c r="J34" i="36"/>
  <c r="W34" i="36" s="1"/>
  <c r="BL571" i="3"/>
  <c r="BA565" i="3"/>
  <c r="AZ565" i="3" s="1"/>
  <c r="BL562" i="3"/>
  <c r="S28" i="21"/>
  <c r="U15" i="21"/>
  <c r="U33" i="34"/>
  <c r="BS5" i="3"/>
  <c r="BD5" i="3"/>
  <c r="S11" i="39"/>
  <c r="AA11" i="39"/>
  <c r="S14" i="40"/>
  <c r="S47" i="34"/>
  <c r="AA47" i="34"/>
  <c r="AC39" i="33"/>
  <c r="W39" i="33"/>
  <c r="S12" i="36"/>
  <c r="AA12" i="36"/>
  <c r="AB25" i="39"/>
  <c r="BL499" i="3"/>
  <c r="BL527" i="3"/>
  <c r="AZ527" i="3" s="1"/>
  <c r="BL539" i="3"/>
  <c r="AZ539" i="3" s="1"/>
  <c r="BL563" i="3"/>
  <c r="AZ563" i="3" s="1"/>
  <c r="AC12" i="40"/>
  <c r="BA586" i="3"/>
  <c r="BA585" i="3"/>
  <c r="H12" i="36"/>
  <c r="F23" i="36"/>
  <c r="BA584" i="3"/>
  <c r="AZ584" i="3" s="1"/>
  <c r="BA583" i="3"/>
  <c r="BL579" i="3"/>
  <c r="AZ579" i="3" s="1"/>
  <c r="BA577" i="3"/>
  <c r="BL576" i="3"/>
  <c r="BA575" i="3"/>
  <c r="AZ575" i="3" s="1"/>
  <c r="G573" i="3"/>
  <c r="BL410" i="3"/>
  <c r="BL419" i="3"/>
  <c r="BL455" i="3"/>
  <c r="BL359" i="3"/>
  <c r="AZ359" i="3" s="1"/>
  <c r="BL386" i="3"/>
  <c r="BL519" i="3"/>
  <c r="BL521" i="3"/>
  <c r="AZ521" i="3" s="1"/>
  <c r="AZ541" i="3"/>
  <c r="BL553" i="3"/>
  <c r="AZ553" i="3" s="1"/>
  <c r="W28" i="36"/>
  <c r="AA40" i="33"/>
  <c r="AC31" i="35"/>
  <c r="BA398" i="3"/>
  <c r="BA399" i="3"/>
  <c r="AZ399" i="3" s="1"/>
  <c r="G401" i="3"/>
  <c r="BL447" i="3"/>
  <c r="BA462" i="3"/>
  <c r="AZ462" i="3" s="1"/>
  <c r="BA487" i="3"/>
  <c r="AZ487" i="3" s="1"/>
  <c r="BA489" i="3"/>
  <c r="BL489" i="3"/>
  <c r="BL491" i="3"/>
  <c r="BL492" i="3"/>
  <c r="G400" i="3"/>
  <c r="BL443" i="3"/>
  <c r="BA485" i="3"/>
  <c r="BL488" i="3"/>
  <c r="BL316" i="3"/>
  <c r="C64" i="71"/>
  <c r="D63" i="71"/>
  <c r="AZ357" i="3"/>
  <c r="BL545" i="3"/>
  <c r="BL569" i="3"/>
  <c r="AZ569" i="3" s="1"/>
  <c r="F31" i="34"/>
  <c r="F44" i="33"/>
  <c r="S44" i="33" s="1"/>
  <c r="U40" i="33"/>
  <c r="F23" i="35"/>
  <c r="F39" i="37"/>
  <c r="S39" i="37" s="1"/>
  <c r="H38" i="40"/>
  <c r="BL582" i="3"/>
  <c r="BA582" i="3"/>
  <c r="BL580" i="3"/>
  <c r="BL578" i="3"/>
  <c r="BA576" i="3"/>
  <c r="BA574" i="3"/>
  <c r="AZ574" i="3" s="1"/>
  <c r="G556" i="3"/>
  <c r="G14" i="3"/>
  <c r="AZ377" i="3"/>
  <c r="AZ334" i="3"/>
  <c r="AZ336" i="3"/>
  <c r="AZ143" i="3"/>
  <c r="BL495" i="3"/>
  <c r="BL523" i="3"/>
  <c r="AZ523" i="3" s="1"/>
  <c r="BL547" i="3"/>
  <c r="AZ547" i="3" s="1"/>
  <c r="BL559" i="3"/>
  <c r="AZ559" i="3" s="1"/>
  <c r="S45" i="33"/>
  <c r="H12" i="40"/>
  <c r="H31" i="34"/>
  <c r="U31" i="35"/>
  <c r="J38" i="40"/>
  <c r="BA402" i="3"/>
  <c r="C51" i="71"/>
  <c r="D50" i="71"/>
  <c r="BA419" i="3"/>
  <c r="BA437" i="3"/>
  <c r="BA448" i="3"/>
  <c r="BL449" i="3"/>
  <c r="BL450" i="3"/>
  <c r="BA464" i="3"/>
  <c r="D59" i="71"/>
  <c r="C60" i="71"/>
  <c r="BL537" i="3"/>
  <c r="BL551" i="3"/>
  <c r="H39" i="37"/>
  <c r="W31" i="37"/>
  <c r="G402" i="3"/>
  <c r="BA406" i="3"/>
  <c r="G410" i="3"/>
  <c r="BL420" i="3"/>
  <c r="G422" i="3"/>
  <c r="G423" i="3"/>
  <c r="BA431" i="3"/>
  <c r="BL431" i="3"/>
  <c r="G433" i="3"/>
  <c r="BA441" i="3"/>
  <c r="G444" i="3"/>
  <c r="G445" i="3"/>
  <c r="BL445" i="3"/>
  <c r="BL446" i="3"/>
  <c r="BA451" i="3"/>
  <c r="AZ451" i="3" s="1"/>
  <c r="BA463" i="3"/>
  <c r="G466" i="3"/>
  <c r="G467" i="3"/>
  <c r="BL467" i="3"/>
  <c r="BL468" i="3"/>
  <c r="BA476" i="3"/>
  <c r="BL476" i="3"/>
  <c r="BL477" i="3"/>
  <c r="BL478" i="3"/>
  <c r="G479" i="3"/>
  <c r="BA486" i="3"/>
  <c r="G489" i="3"/>
  <c r="BA331" i="3"/>
  <c r="AZ331" i="3" s="1"/>
  <c r="BL350" i="3"/>
  <c r="G358" i="3"/>
  <c r="BL385" i="3"/>
  <c r="BA392" i="3"/>
  <c r="AZ392" i="3" s="1"/>
  <c r="G220" i="3"/>
  <c r="BA228" i="3"/>
  <c r="G232" i="3"/>
  <c r="BA239" i="3"/>
  <c r="BL242" i="3"/>
  <c r="BA248" i="3"/>
  <c r="G252" i="3"/>
  <c r="G254" i="3"/>
  <c r="G265" i="3"/>
  <c r="G266" i="3"/>
  <c r="G283" i="3"/>
  <c r="G295" i="3"/>
  <c r="BL139" i="3"/>
  <c r="AZ139" i="3" s="1"/>
  <c r="G140" i="3"/>
  <c r="BL141" i="3"/>
  <c r="BA160" i="3"/>
  <c r="AZ160" i="3" s="1"/>
  <c r="BA201" i="3"/>
  <c r="G22" i="3"/>
  <c r="G30" i="3"/>
  <c r="G31" i="3"/>
  <c r="BA36" i="3"/>
  <c r="BL38" i="3"/>
  <c r="BA43" i="3"/>
  <c r="G46" i="3"/>
  <c r="BA53" i="3"/>
  <c r="BA54" i="3"/>
  <c r="G57" i="3"/>
  <c r="G68" i="3"/>
  <c r="BL68" i="3"/>
  <c r="G86" i="3"/>
  <c r="BL96" i="3"/>
  <c r="G106" i="3"/>
  <c r="AA35" i="71"/>
  <c r="BL340" i="3"/>
  <c r="AZ340" i="3" s="1"/>
  <c r="BL383" i="3"/>
  <c r="AZ383" i="3" s="1"/>
  <c r="BL219" i="3"/>
  <c r="BL227" i="3"/>
  <c r="BA246" i="3"/>
  <c r="BL256" i="3"/>
  <c r="AZ256" i="3" s="1"/>
  <c r="BA271" i="3"/>
  <c r="AZ271" i="3" s="1"/>
  <c r="BA279" i="3"/>
  <c r="BA126" i="3"/>
  <c r="BA157" i="3"/>
  <c r="BL173" i="3"/>
  <c r="BL181" i="3"/>
  <c r="BA52" i="3"/>
  <c r="BL76" i="3"/>
  <c r="BA92" i="3"/>
  <c r="BL93" i="3"/>
  <c r="BA109" i="3"/>
  <c r="P67" i="71"/>
  <c r="D72" i="71"/>
  <c r="D62" i="71"/>
  <c r="X26" i="71"/>
  <c r="C31" i="71"/>
  <c r="D31" i="71" s="1"/>
  <c r="AB35" i="71"/>
  <c r="Y35" i="71"/>
  <c r="Z35" i="71" s="1"/>
  <c r="BL451" i="3"/>
  <c r="BL465" i="3"/>
  <c r="BA483" i="3"/>
  <c r="BL487" i="3"/>
  <c r="BL308" i="3"/>
  <c r="AZ308" i="3" s="1"/>
  <c r="BA315" i="3"/>
  <c r="AZ315" i="3" s="1"/>
  <c r="BL381" i="3"/>
  <c r="AZ381" i="3" s="1"/>
  <c r="BA214" i="3"/>
  <c r="BL214" i="3"/>
  <c r="BL230" i="3"/>
  <c r="G241" i="3"/>
  <c r="BL241" i="3"/>
  <c r="BA245" i="3"/>
  <c r="BL264" i="3"/>
  <c r="BA270" i="3"/>
  <c r="BL272" i="3"/>
  <c r="BL274" i="3"/>
  <c r="G302" i="3"/>
  <c r="BA116" i="3"/>
  <c r="AZ116" i="3" s="1"/>
  <c r="BL121" i="3"/>
  <c r="BA125" i="3"/>
  <c r="BL127" i="3"/>
  <c r="AZ127" i="3" s="1"/>
  <c r="BA134" i="3"/>
  <c r="BL146" i="3"/>
  <c r="BA156" i="3"/>
  <c r="AZ156" i="3" s="1"/>
  <c r="BL179" i="3"/>
  <c r="AZ179" i="3" s="1"/>
  <c r="BA198" i="3"/>
  <c r="AZ198" i="3" s="1"/>
  <c r="BL20" i="3"/>
  <c r="BA26" i="3"/>
  <c r="BL28" i="3"/>
  <c r="BA33" i="3"/>
  <c r="BL35" i="3"/>
  <c r="BA62" i="3"/>
  <c r="AZ62" i="3" s="1"/>
  <c r="BL62" i="3"/>
  <c r="BL63" i="3"/>
  <c r="BL74" i="3"/>
  <c r="BL75" i="3"/>
  <c r="BA80" i="3"/>
  <c r="BL84" i="3"/>
  <c r="BL91" i="3"/>
  <c r="BL103" i="3"/>
  <c r="BL110" i="3"/>
  <c r="BL111" i="3"/>
  <c r="J51" i="15"/>
  <c r="AC21" i="37"/>
  <c r="Y26" i="71"/>
  <c r="Z26" i="71" s="1"/>
  <c r="AA37" i="71"/>
  <c r="E47" i="71"/>
  <c r="E48" i="71" s="1"/>
  <c r="U48" i="71" s="1"/>
  <c r="E55" i="71"/>
  <c r="E56" i="71" s="1"/>
  <c r="U56" i="71" s="1"/>
  <c r="F63" i="71"/>
  <c r="F64" i="71" s="1"/>
  <c r="V64" i="71" s="1"/>
  <c r="BA403" i="3"/>
  <c r="BL406" i="3"/>
  <c r="G418" i="3"/>
  <c r="G419" i="3"/>
  <c r="G429" i="3"/>
  <c r="G430" i="3"/>
  <c r="G441" i="3"/>
  <c r="BA469" i="3"/>
  <c r="BL472" i="3"/>
  <c r="G473" i="3"/>
  <c r="BL484" i="3"/>
  <c r="G307" i="3"/>
  <c r="G323" i="3"/>
  <c r="G347" i="3"/>
  <c r="G392" i="3"/>
  <c r="BA212" i="3"/>
  <c r="BL212" i="3"/>
  <c r="G214" i="3"/>
  <c r="G226" i="3"/>
  <c r="BA244" i="3"/>
  <c r="AZ244" i="3" s="1"/>
  <c r="G247" i="3"/>
  <c r="BA258" i="3"/>
  <c r="BL262" i="3"/>
  <c r="BL280" i="3"/>
  <c r="BA288" i="3"/>
  <c r="BL289" i="3"/>
  <c r="G290" i="3"/>
  <c r="G291" i="3"/>
  <c r="BA124" i="3"/>
  <c r="AZ124" i="3" s="1"/>
  <c r="G127" i="3"/>
  <c r="G136" i="3"/>
  <c r="BA145" i="3"/>
  <c r="G146" i="3"/>
  <c r="BL169" i="3"/>
  <c r="BL170" i="3"/>
  <c r="G171" i="3"/>
  <c r="BA177" i="3"/>
  <c r="G179" i="3"/>
  <c r="G190" i="3"/>
  <c r="BA25" i="3"/>
  <c r="BL34" i="3"/>
  <c r="G35" i="3"/>
  <c r="BA40" i="3"/>
  <c r="BL44" i="3"/>
  <c r="G62" i="3"/>
  <c r="BA70" i="3"/>
  <c r="BL72" i="3"/>
  <c r="G74" i="3"/>
  <c r="BA89" i="3"/>
  <c r="G102" i="3"/>
  <c r="G103" i="3"/>
  <c r="G110" i="3"/>
  <c r="W18" i="36"/>
  <c r="C87" i="71"/>
  <c r="AB32" i="71"/>
  <c r="AA34" i="71"/>
  <c r="C43" i="71"/>
  <c r="S76" i="71"/>
  <c r="BL416" i="3"/>
  <c r="G417" i="3"/>
  <c r="G428" i="3"/>
  <c r="BL440" i="3"/>
  <c r="BA458" i="3"/>
  <c r="AZ458" i="3" s="1"/>
  <c r="G461" i="3"/>
  <c r="BA470" i="3"/>
  <c r="BL470" i="3"/>
  <c r="G472" i="3"/>
  <c r="BA480" i="3"/>
  <c r="G484" i="3"/>
  <c r="BA319" i="3"/>
  <c r="AZ319" i="3" s="1"/>
  <c r="G212" i="3"/>
  <c r="BL224" i="3"/>
  <c r="G238" i="3"/>
  <c r="BL239" i="3"/>
  <c r="BA257" i="3"/>
  <c r="G261" i="3"/>
  <c r="BA269" i="3"/>
  <c r="AZ269" i="3" s="1"/>
  <c r="G271" i="3"/>
  <c r="BA276" i="3"/>
  <c r="G279" i="3"/>
  <c r="BA286" i="3"/>
  <c r="AZ286" i="3" s="1"/>
  <c r="G289" i="3"/>
  <c r="BA296" i="3"/>
  <c r="G299" i="3"/>
  <c r="G126" i="3"/>
  <c r="BA133" i="3"/>
  <c r="BL133" i="3"/>
  <c r="BL143" i="3"/>
  <c r="BL154" i="3"/>
  <c r="G156" i="3"/>
  <c r="BL158" i="3"/>
  <c r="BA168" i="3"/>
  <c r="AZ168" i="3" s="1"/>
  <c r="G178" i="3"/>
  <c r="BL186" i="3"/>
  <c r="G187" i="3"/>
  <c r="BA194" i="3"/>
  <c r="G18" i="3"/>
  <c r="G26" i="3"/>
  <c r="BA39" i="3"/>
  <c r="BL52" i="3"/>
  <c r="G61" i="3"/>
  <c r="BA69" i="3"/>
  <c r="BA88" i="3"/>
  <c r="BA98" i="3"/>
  <c r="BL100" i="3"/>
  <c r="BA106" i="3"/>
  <c r="BL108" i="3"/>
  <c r="C40" i="68"/>
  <c r="W29" i="39"/>
  <c r="S18" i="36"/>
  <c r="C74" i="71"/>
  <c r="D74" i="71" s="1"/>
  <c r="D80" i="71"/>
  <c r="Q68" i="71"/>
  <c r="B28" i="71"/>
  <c r="B27" i="71" s="1"/>
  <c r="B26" i="71" s="1"/>
  <c r="F39" i="71"/>
  <c r="AA38" i="71"/>
  <c r="F47" i="71"/>
  <c r="F48" i="71" s="1"/>
  <c r="V48" i="71" s="1"/>
  <c r="B51" i="71"/>
  <c r="B52" i="71" s="1"/>
  <c r="S52" i="71" s="1"/>
  <c r="V68" i="71"/>
  <c r="AC21" i="21"/>
  <c r="U29" i="39"/>
  <c r="Y27" i="71"/>
  <c r="Z27" i="71" s="1"/>
  <c r="Y29" i="71"/>
  <c r="Z29" i="71" s="1"/>
  <c r="X25" i="71"/>
  <c r="X36" i="71"/>
  <c r="BA400" i="3"/>
  <c r="BL402" i="3"/>
  <c r="BA410" i="3"/>
  <c r="BL412" i="3"/>
  <c r="BL413" i="3"/>
  <c r="G415" i="3"/>
  <c r="BL423" i="3"/>
  <c r="G426" i="3"/>
  <c r="G438" i="3"/>
  <c r="BL438" i="3"/>
  <c r="BL439" i="3"/>
  <c r="BA443" i="3"/>
  <c r="BA456" i="3"/>
  <c r="BL456" i="3"/>
  <c r="G460" i="3"/>
  <c r="BL480" i="3"/>
  <c r="G482" i="3"/>
  <c r="BL483" i="3"/>
  <c r="BA333" i="3"/>
  <c r="BA385" i="3"/>
  <c r="G210" i="3"/>
  <c r="G236" i="3"/>
  <c r="BA241" i="3"/>
  <c r="AZ241" i="3" s="1"/>
  <c r="BA255" i="3"/>
  <c r="BL259" i="3"/>
  <c r="G267" i="3"/>
  <c r="G270" i="3"/>
  <c r="BA274" i="3"/>
  <c r="G286" i="3"/>
  <c r="BA121" i="3"/>
  <c r="AZ121" i="3" s="1"/>
  <c r="BA162" i="3"/>
  <c r="BL162" i="3"/>
  <c r="BL165" i="3"/>
  <c r="G166" i="3"/>
  <c r="BA173" i="3"/>
  <c r="AZ173" i="3" s="1"/>
  <c r="BL175" i="3"/>
  <c r="AZ175" i="3" s="1"/>
  <c r="G176" i="3"/>
  <c r="BA181" i="3"/>
  <c r="AZ181" i="3" s="1"/>
  <c r="BL194" i="3"/>
  <c r="BL205" i="3"/>
  <c r="BA21" i="3"/>
  <c r="BL23" i="3"/>
  <c r="G24" i="3"/>
  <c r="BA29" i="3"/>
  <c r="G40" i="3"/>
  <c r="G41" i="3"/>
  <c r="BA47" i="3"/>
  <c r="BL47" i="3"/>
  <c r="G49" i="3"/>
  <c r="G50" i="3"/>
  <c r="G70" i="3"/>
  <c r="G71" i="3"/>
  <c r="BA77" i="3"/>
  <c r="G79" i="3"/>
  <c r="G80" i="3"/>
  <c r="BA94" i="3"/>
  <c r="G99" i="3"/>
  <c r="BA104" i="3"/>
  <c r="G107" i="3"/>
  <c r="P27" i="6"/>
  <c r="BL367" i="3"/>
  <c r="BL375" i="3"/>
  <c r="AZ375" i="3" s="1"/>
  <c r="BA386" i="3"/>
  <c r="AZ386" i="3" s="1"/>
  <c r="BL395" i="3"/>
  <c r="BA217" i="3"/>
  <c r="BA240" i="3"/>
  <c r="BL244" i="3"/>
  <c r="BA250" i="3"/>
  <c r="BA252" i="3"/>
  <c r="AZ252" i="3" s="1"/>
  <c r="BA254" i="3"/>
  <c r="AZ254" i="3" s="1"/>
  <c r="BA281" i="3"/>
  <c r="BA301" i="3"/>
  <c r="BL122" i="3"/>
  <c r="BL161" i="3"/>
  <c r="BL193" i="3"/>
  <c r="BA55" i="3"/>
  <c r="BL57" i="3"/>
  <c r="BA103" i="3"/>
  <c r="F92" i="40"/>
  <c r="F23" i="40" s="1"/>
  <c r="F90" i="40"/>
  <c r="G90" i="40" s="1"/>
  <c r="J21" i="40"/>
  <c r="W21" i="40" s="1"/>
  <c r="F21" i="40"/>
  <c r="AA21" i="40" s="1"/>
  <c r="H21" i="40"/>
  <c r="AB21" i="40" s="1"/>
  <c r="AA15" i="40"/>
  <c r="AB19" i="40"/>
  <c r="U15" i="40"/>
  <c r="H113" i="40"/>
  <c r="I113" i="40" s="1"/>
  <c r="J113" i="40" s="1"/>
  <c r="K113" i="40" s="1"/>
  <c r="L113" i="40" s="1"/>
  <c r="M113" i="40" s="1"/>
  <c r="H36" i="40"/>
  <c r="AB36" i="40" s="1"/>
  <c r="F36" i="40"/>
  <c r="AA36" i="40" s="1"/>
  <c r="J36" i="40"/>
  <c r="W36" i="40" s="1"/>
  <c r="W37" i="40"/>
  <c r="S37" i="40"/>
  <c r="S36" i="40"/>
  <c r="U25" i="40"/>
  <c r="AC25" i="40"/>
  <c r="S21" i="40"/>
  <c r="W19" i="40"/>
  <c r="AC17" i="40"/>
  <c r="C21" i="40"/>
  <c r="C29" i="39"/>
  <c r="B68" i="43"/>
  <c r="B75" i="43"/>
  <c r="B57" i="43"/>
  <c r="S8" i="40"/>
  <c r="B41" i="1"/>
  <c r="F48" i="9" s="1"/>
  <c r="O52" i="9" s="1"/>
  <c r="M18" i="67"/>
  <c r="F30" i="11"/>
  <c r="C48" i="11" s="1"/>
  <c r="D93" i="9"/>
  <c r="C40" i="69"/>
  <c r="C21" i="68"/>
  <c r="G22" i="69"/>
  <c r="G22" i="11"/>
  <c r="G26" i="12"/>
  <c r="G22" i="68"/>
  <c r="B19" i="53"/>
  <c r="B37" i="72" s="1"/>
  <c r="C7" i="21"/>
  <c r="C7" i="33"/>
  <c r="C7" i="37"/>
  <c r="C52" i="37" s="1"/>
  <c r="D52" i="37" s="1"/>
  <c r="G23" i="43"/>
  <c r="C23" i="43" s="1"/>
  <c r="J1" i="73"/>
  <c r="M47" i="9"/>
  <c r="C7" i="35"/>
  <c r="C48" i="35" s="1"/>
  <c r="D48" i="35" s="1"/>
  <c r="C42" i="1"/>
  <c r="C24" i="12" s="1"/>
  <c r="U23" i="21"/>
  <c r="AC30" i="40"/>
  <c r="W30" i="40"/>
  <c r="AA17" i="37"/>
  <c r="S17" i="37"/>
  <c r="AC11" i="39"/>
  <c r="W11" i="39"/>
  <c r="D22" i="71"/>
  <c r="AA17" i="33"/>
  <c r="W32" i="33"/>
  <c r="AC25" i="37"/>
  <c r="W25" i="37"/>
  <c r="D121" i="9"/>
  <c r="D7" i="52" s="1"/>
  <c r="D6" i="52"/>
  <c r="AC27" i="33"/>
  <c r="W27" i="33"/>
  <c r="W23" i="37"/>
  <c r="AC23" i="37"/>
  <c r="W9" i="21"/>
  <c r="AC9" i="21"/>
  <c r="AA13" i="21"/>
  <c r="S13" i="21"/>
  <c r="AC17" i="21"/>
  <c r="AB27" i="33"/>
  <c r="U27" i="33"/>
  <c r="W17" i="37"/>
  <c r="AC17" i="37"/>
  <c r="U21" i="39"/>
  <c r="AB21" i="39"/>
  <c r="AZ389" i="3"/>
  <c r="AZ342" i="3"/>
  <c r="AZ582" i="3"/>
  <c r="AB9" i="21"/>
  <c r="U9" i="21"/>
  <c r="S23" i="37"/>
  <c r="AA23" i="37"/>
  <c r="W27" i="40"/>
  <c r="AC27" i="40"/>
  <c r="AB32" i="37"/>
  <c r="U32" i="37"/>
  <c r="AZ499" i="3"/>
  <c r="U14" i="40"/>
  <c r="AB14" i="40"/>
  <c r="AB35" i="37"/>
  <c r="U28" i="34"/>
  <c r="S43" i="34"/>
  <c r="W41" i="34"/>
  <c r="AZ14" i="3"/>
  <c r="AZ391" i="3"/>
  <c r="AZ318" i="3"/>
  <c r="AZ364" i="3"/>
  <c r="AZ329" i="3"/>
  <c r="AZ304" i="3"/>
  <c r="AZ306" i="3"/>
  <c r="W35" i="40"/>
  <c r="F24" i="35"/>
  <c r="AZ535" i="3"/>
  <c r="BL577" i="3"/>
  <c r="AZ577" i="3" s="1"/>
  <c r="AZ557" i="3"/>
  <c r="AZ513" i="3"/>
  <c r="AZ528" i="3"/>
  <c r="AZ566" i="3"/>
  <c r="AZ540" i="3"/>
  <c r="AZ502" i="3"/>
  <c r="S29" i="35"/>
  <c r="AA29" i="35"/>
  <c r="G585" i="3"/>
  <c r="BL587" i="3"/>
  <c r="BL586" i="3"/>
  <c r="AZ586" i="3" s="1"/>
  <c r="B72" i="43"/>
  <c r="C15" i="39"/>
  <c r="J12" i="34"/>
  <c r="H12" i="34"/>
  <c r="F12" i="34"/>
  <c r="S12" i="34" s="1"/>
  <c r="AC31" i="40"/>
  <c r="W31" i="40"/>
  <c r="AB38" i="21"/>
  <c r="AZ519" i="3"/>
  <c r="BL573" i="3"/>
  <c r="BL583" i="3"/>
  <c r="AZ568" i="3"/>
  <c r="U36" i="39"/>
  <c r="AA14" i="34"/>
  <c r="AB23" i="34"/>
  <c r="AC8" i="34"/>
  <c r="W8" i="34"/>
  <c r="S9" i="40"/>
  <c r="AA9" i="40"/>
  <c r="AZ345" i="3"/>
  <c r="AZ372" i="3"/>
  <c r="AZ337" i="3"/>
  <c r="AZ376" i="3"/>
  <c r="AZ309" i="3"/>
  <c r="BL585" i="3"/>
  <c r="AZ585" i="3" s="1"/>
  <c r="H27" i="21"/>
  <c r="J27" i="21"/>
  <c r="AC40" i="39"/>
  <c r="W40" i="39"/>
  <c r="J37" i="39"/>
  <c r="F37" i="39"/>
  <c r="F36" i="39"/>
  <c r="J36" i="39"/>
  <c r="AC36" i="39" s="1"/>
  <c r="AZ419" i="3"/>
  <c r="AA19" i="40"/>
  <c r="AZ387" i="3"/>
  <c r="AZ338" i="3"/>
  <c r="AZ371" i="3"/>
  <c r="AZ305" i="3"/>
  <c r="AZ360" i="3"/>
  <c r="AC31" i="33"/>
  <c r="AZ529" i="3"/>
  <c r="AZ537" i="3"/>
  <c r="AZ546" i="3"/>
  <c r="AZ580" i="3"/>
  <c r="S41" i="33"/>
  <c r="U17" i="34"/>
  <c r="AB17" i="34"/>
  <c r="S38" i="39"/>
  <c r="F9" i="34"/>
  <c r="AA9" i="34" s="1"/>
  <c r="J9" i="34"/>
  <c r="H9" i="34"/>
  <c r="F33" i="36"/>
  <c r="H33" i="36"/>
  <c r="AB31" i="36"/>
  <c r="U31" i="36"/>
  <c r="H25" i="37"/>
  <c r="F25" i="37"/>
  <c r="U8" i="39"/>
  <c r="AB8" i="39"/>
  <c r="H31" i="39"/>
  <c r="J31" i="39"/>
  <c r="AC27" i="35"/>
  <c r="U30" i="37"/>
  <c r="G587" i="3"/>
  <c r="F9" i="33"/>
  <c r="AA9" i="33" s="1"/>
  <c r="J12" i="35"/>
  <c r="BA551" i="3"/>
  <c r="AZ551" i="3" s="1"/>
  <c r="BA550" i="3"/>
  <c r="AZ550" i="3" s="1"/>
  <c r="BL548" i="3"/>
  <c r="AZ548" i="3" s="1"/>
  <c r="BL16" i="3"/>
  <c r="AZ16" i="3" s="1"/>
  <c r="BA401" i="3"/>
  <c r="AZ401" i="3" s="1"/>
  <c r="AZ406" i="3"/>
  <c r="G409" i="3"/>
  <c r="BL411" i="3"/>
  <c r="BA420" i="3"/>
  <c r="AZ420" i="3" s="1"/>
  <c r="BA421" i="3"/>
  <c r="BL424" i="3"/>
  <c r="G427" i="3"/>
  <c r="BL430" i="3"/>
  <c r="G398" i="3"/>
  <c r="G399" i="3"/>
  <c r="BL400" i="3"/>
  <c r="AZ400" i="3" s="1"/>
  <c r="G404" i="3"/>
  <c r="BL404" i="3"/>
  <c r="BL405" i="3"/>
  <c r="BL408" i="3"/>
  <c r="BA413" i="3"/>
  <c r="AZ413" i="3" s="1"/>
  <c r="BA414" i="3"/>
  <c r="BA415" i="3"/>
  <c r="BA416" i="3"/>
  <c r="AZ416" i="3" s="1"/>
  <c r="BA418" i="3"/>
  <c r="BA422" i="3"/>
  <c r="AZ443" i="3"/>
  <c r="F45" i="21"/>
  <c r="S35" i="34"/>
  <c r="AB12" i="35"/>
  <c r="U33" i="33"/>
  <c r="B79" i="43"/>
  <c r="H23" i="35"/>
  <c r="J23" i="36"/>
  <c r="H39" i="40"/>
  <c r="G551" i="3"/>
  <c r="BL550" i="3"/>
  <c r="G542" i="3"/>
  <c r="BL398" i="3"/>
  <c r="AZ398" i="3" s="1"/>
  <c r="G403" i="3"/>
  <c r="BA404" i="3"/>
  <c r="BA405" i="3"/>
  <c r="BL409" i="3"/>
  <c r="BA412" i="3"/>
  <c r="AZ412" i="3" s="1"/>
  <c r="BA424" i="3"/>
  <c r="BL427" i="3"/>
  <c r="AZ469" i="3"/>
  <c r="BL15" i="3"/>
  <c r="AZ15" i="3" s="1"/>
  <c r="AZ403" i="3"/>
  <c r="G416" i="3"/>
  <c r="BL417" i="3"/>
  <c r="BL418" i="3"/>
  <c r="BL428" i="3"/>
  <c r="BL429" i="3"/>
  <c r="AZ464"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L222" i="3"/>
  <c r="AZ222" i="3" s="1"/>
  <c r="BA223" i="3"/>
  <c r="BL432" i="3"/>
  <c r="BL435" i="3"/>
  <c r="BL436" i="3"/>
  <c r="BA439" i="3"/>
  <c r="BA440" i="3"/>
  <c r="BA442" i="3"/>
  <c r="AZ442" i="3" s="1"/>
  <c r="BA445" i="3"/>
  <c r="AZ445" i="3" s="1"/>
  <c r="BA447" i="3"/>
  <c r="AZ447" i="3" s="1"/>
  <c r="BA449" i="3"/>
  <c r="BL453" i="3"/>
  <c r="BL454" i="3"/>
  <c r="G458" i="3"/>
  <c r="BL459" i="3"/>
  <c r="G462" i="3"/>
  <c r="BA465" i="3"/>
  <c r="AZ465" i="3" s="1"/>
  <c r="BA467" i="3"/>
  <c r="AZ467" i="3" s="1"/>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A397" i="3"/>
  <c r="BL397" i="3"/>
  <c r="BA210" i="3"/>
  <c r="BL210" i="3"/>
  <c r="BL213" i="3"/>
  <c r="BL215" i="3"/>
  <c r="G221" i="3"/>
  <c r="G225" i="3"/>
  <c r="BL225" i="3"/>
  <c r="AZ225" i="3" s="1"/>
  <c r="BL226" i="3"/>
  <c r="G227" i="3"/>
  <c r="BL403" i="3"/>
  <c r="G405" i="3"/>
  <c r="G406" i="3"/>
  <c r="BA408" i="3"/>
  <c r="AZ408" i="3" s="1"/>
  <c r="BA409" i="3"/>
  <c r="BA411" i="3"/>
  <c r="BL414" i="3"/>
  <c r="BL415" i="3"/>
  <c r="BA417" i="3"/>
  <c r="BL421" i="3"/>
  <c r="BL422" i="3"/>
  <c r="BL425" i="3"/>
  <c r="BL426" i="3"/>
  <c r="BA428" i="3"/>
  <c r="BA429" i="3"/>
  <c r="BA430" i="3"/>
  <c r="AZ430" i="3" s="1"/>
  <c r="BA432" i="3"/>
  <c r="BA434" i="3"/>
  <c r="BA436" i="3"/>
  <c r="AZ436" i="3" s="1"/>
  <c r="BA438" i="3"/>
  <c r="AZ438" i="3" s="1"/>
  <c r="G442" i="3"/>
  <c r="G443" i="3"/>
  <c r="BA446" i="3"/>
  <c r="AZ446" i="3" s="1"/>
  <c r="BA450" i="3"/>
  <c r="BA453" i="3"/>
  <c r="BA455" i="3"/>
  <c r="AZ455" i="3" s="1"/>
  <c r="BL457" i="3"/>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A211" i="3"/>
  <c r="AZ211" i="3" s="1"/>
  <c r="BL216" i="3"/>
  <c r="BA221" i="3"/>
  <c r="AZ2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AZ454" i="3" s="1"/>
  <c r="BA457" i="3"/>
  <c r="BA459" i="3"/>
  <c r="AZ459" i="3" s="1"/>
  <c r="BA460" i="3"/>
  <c r="BA461" i="3"/>
  <c r="BL464" i="3"/>
  <c r="BL466" i="3"/>
  <c r="AZ466" i="3" s="1"/>
  <c r="G468" i="3"/>
  <c r="AZ483" i="3"/>
  <c r="BA384" i="3"/>
  <c r="AZ384" i="3" s="1"/>
  <c r="BA395" i="3"/>
  <c r="BL217" i="3"/>
  <c r="AZ217" i="3" s="1"/>
  <c r="BA219" i="3"/>
  <c r="AZ219" i="3" s="1"/>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BA68" i="3"/>
  <c r="AZ68" i="3" s="1"/>
  <c r="P65" i="71"/>
  <c r="P66" i="71"/>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9" i="3"/>
  <c r="BA27" i="3"/>
  <c r="BL30" i="3"/>
  <c r="BL31" i="3"/>
  <c r="G37" i="3"/>
  <c r="BL40" i="3"/>
  <c r="BL41" i="3"/>
  <c r="BL45" i="3"/>
  <c r="BA48" i="3"/>
  <c r="BA49" i="3"/>
  <c r="BA51" i="3"/>
  <c r="G55" i="3"/>
  <c r="BL56" i="3"/>
  <c r="BA58" i="3"/>
  <c r="BL59" i="3"/>
  <c r="BL60" i="3"/>
  <c r="BA61" i="3"/>
  <c r="BL69" i="3"/>
  <c r="AZ69" i="3" s="1"/>
  <c r="BL70" i="3"/>
  <c r="AZ70" i="3" s="1"/>
  <c r="BL71" i="3"/>
  <c r="C44" i="71"/>
  <c r="D43" i="71"/>
  <c r="BL228" i="3"/>
  <c r="AZ228" i="3" s="1"/>
  <c r="BA230" i="3"/>
  <c r="AZ230" i="3" s="1"/>
  <c r="BL232" i="3"/>
  <c r="BL234" i="3"/>
  <c r="BA236" i="3"/>
  <c r="BA238" i="3"/>
  <c r="BA243" i="3"/>
  <c r="BL248" i="3"/>
  <c r="AZ248" i="3" s="1"/>
  <c r="BL250" i="3"/>
  <c r="AZ250" i="3" s="1"/>
  <c r="BA259" i="3"/>
  <c r="AZ259" i="3" s="1"/>
  <c r="BL261" i="3"/>
  <c r="BA263" i="3"/>
  <c r="BA129" i="3"/>
  <c r="BL157" i="3"/>
  <c r="AZ157" i="3" s="1"/>
  <c r="BL159" i="3"/>
  <c r="AZ159" i="3" s="1"/>
  <c r="BL177"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64" i="3"/>
  <c r="G65" i="3"/>
  <c r="BL65" i="3"/>
  <c r="AZ65" i="3" s="1"/>
  <c r="BL66" i="3"/>
  <c r="BL67" i="3"/>
  <c r="AZ67" i="3" s="1"/>
  <c r="G69" i="3"/>
  <c r="BA72" i="3"/>
  <c r="AZ72" i="3" s="1"/>
  <c r="BA73" i="3"/>
  <c r="BL86" i="3"/>
  <c r="C47" i="71"/>
  <c r="D47" i="71" s="1"/>
  <c r="D46" i="7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AZ182" i="3" s="1"/>
  <c r="BA185" i="3"/>
  <c r="BL191" i="3"/>
  <c r="AZ191" i="3" s="1"/>
  <c r="BA193" i="3"/>
  <c r="BA196" i="3"/>
  <c r="AZ196" i="3" s="1"/>
  <c r="G203" i="3"/>
  <c r="BA205" i="3"/>
  <c r="AZ25" i="3"/>
  <c r="AZ52" i="3"/>
  <c r="BA78" i="3"/>
  <c r="C32" i="71"/>
  <c r="C52" i="71"/>
  <c r="D51" i="71"/>
  <c r="C55" i="71"/>
  <c r="D54" i="71"/>
  <c r="N67" i="71"/>
  <c r="B66" i="71"/>
  <c r="F66" i="71"/>
  <c r="Q66" i="71" s="1"/>
  <c r="Q67" i="71"/>
  <c r="V24" i="71"/>
  <c r="E23" i="71"/>
  <c r="E22" i="71" s="1"/>
  <c r="E21" i="71" s="1"/>
  <c r="E20" i="71" s="1"/>
  <c r="E19" i="71" s="1"/>
  <c r="E18" i="71" s="1"/>
  <c r="E17" i="71" s="1"/>
  <c r="E16" i="71" s="1"/>
  <c r="G72" i="3"/>
  <c r="BL73" i="3"/>
  <c r="AZ73" i="3" s="1"/>
  <c r="BA74" i="3"/>
  <c r="AZ74" i="3" s="1"/>
  <c r="BA75" i="3"/>
  <c r="AZ75" i="3" s="1"/>
  <c r="G81" i="3"/>
  <c r="G85" i="3"/>
  <c r="BL85" i="3"/>
  <c r="BA86" i="3"/>
  <c r="BA87" i="3"/>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BA63" i="3"/>
  <c r="AZ63" i="3" s="1"/>
  <c r="BA66" i="3"/>
  <c r="BA71" i="3"/>
  <c r="G76" i="3"/>
  <c r="BL77" i="3"/>
  <c r="AZ77" i="3" s="1"/>
  <c r="BA79" i="3"/>
  <c r="AZ79" i="3" s="1"/>
  <c r="G82" i="3"/>
  <c r="G83" i="3"/>
  <c r="BA84" i="3"/>
  <c r="BL88" i="3"/>
  <c r="AZ88" i="3" s="1"/>
  <c r="G90" i="3"/>
  <c r="BL90" i="3"/>
  <c r="BL92" i="3"/>
  <c r="G101" i="3"/>
  <c r="BA101" i="3"/>
  <c r="G108" i="3"/>
  <c r="G109" i="3"/>
  <c r="BL112" i="3"/>
  <c r="AB21" i="33"/>
  <c r="S21" i="34"/>
  <c r="B88" i="43"/>
  <c r="BL81" i="3"/>
  <c r="BA82" i="3"/>
  <c r="AZ82" i="3" s="1"/>
  <c r="BL83" i="3"/>
  <c r="BA90" i="3"/>
  <c r="BL94" i="3"/>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9" i="3"/>
  <c r="AZ452" i="3"/>
  <c r="AZ456" i="3"/>
  <c r="AZ470" i="3"/>
  <c r="W35" i="39"/>
  <c r="F27" i="34"/>
  <c r="C21" i="39"/>
  <c r="U9" i="36"/>
  <c r="U14" i="37"/>
  <c r="H12" i="21"/>
  <c r="G526" i="3"/>
  <c r="AZ424" i="3"/>
  <c r="AZ434" i="3"/>
  <c r="AZ450" i="3"/>
  <c r="G28" i="6"/>
  <c r="U26" i="21"/>
  <c r="W36" i="39"/>
  <c r="AA39" i="37"/>
  <c r="AC16" i="36"/>
  <c r="AB12" i="33"/>
  <c r="C27" i="39"/>
  <c r="U40" i="40"/>
  <c r="AC9" i="40"/>
  <c r="W36" i="35"/>
  <c r="J12" i="21"/>
  <c r="B73" i="43"/>
  <c r="B76" i="43"/>
  <c r="F9" i="36"/>
  <c r="J40" i="40"/>
  <c r="G562" i="3"/>
  <c r="AZ489" i="3"/>
  <c r="AZ385" i="3"/>
  <c r="AZ212" i="3"/>
  <c r="AZ220"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G230" i="3"/>
  <c r="BA232" i="3"/>
  <c r="AZ232" i="3" s="1"/>
  <c r="BA234" i="3"/>
  <c r="AZ236" i="3"/>
  <c r="G248" i="3"/>
  <c r="AZ260" i="3"/>
  <c r="BL268" i="3"/>
  <c r="G278" i="3"/>
  <c r="BA474" i="3"/>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BL117" i="3"/>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104" i="3"/>
  <c r="G200" i="3"/>
  <c r="G207" i="3"/>
  <c r="BA23" i="3"/>
  <c r="AZ23" i="3" s="1"/>
  <c r="BA24" i="3"/>
  <c r="AZ24" i="3" s="1"/>
  <c r="BL26" i="3"/>
  <c r="AZ26" i="3" s="1"/>
  <c r="BL32" i="3"/>
  <c r="BA34" i="3"/>
  <c r="AZ34" i="3" s="1"/>
  <c r="BA35" i="3"/>
  <c r="AZ35" i="3" s="1"/>
  <c r="BL37" i="3"/>
  <c r="BL42" i="3"/>
  <c r="BA44" i="3"/>
  <c r="AZ44" i="3" s="1"/>
  <c r="BA206" i="3"/>
  <c r="AZ206" i="3" s="1"/>
  <c r="BL22" i="3"/>
  <c r="AZ22" i="3" s="1"/>
  <c r="BL33" i="3"/>
  <c r="BL43" i="3"/>
  <c r="AZ43" i="3" s="1"/>
  <c r="BL46" i="3"/>
  <c r="AZ54" i="3"/>
  <c r="AZ90" i="3"/>
  <c r="BL78" i="3"/>
  <c r="AZ78" i="3" s="1"/>
  <c r="BA83" i="3"/>
  <c r="G91" i="3"/>
  <c r="BL95" i="3"/>
  <c r="AZ95" i="3" s="1"/>
  <c r="BL98" i="3"/>
  <c r="AZ98" i="3" s="1"/>
  <c r="BL109" i="3"/>
  <c r="AZ109" i="3" s="1"/>
  <c r="AB21" i="21"/>
  <c r="G77" i="3"/>
  <c r="BA81" i="3"/>
  <c r="BA85" i="3"/>
  <c r="BL89" i="3"/>
  <c r="AZ89" i="3" s="1"/>
  <c r="G94" i="3"/>
  <c r="G97" i="3"/>
  <c r="G100" i="3"/>
  <c r="BA107" i="3"/>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I1" i="73"/>
  <c r="B39" i="1" s="1"/>
  <c r="F51" i="67"/>
  <c r="F65" i="67"/>
  <c r="J53" i="67"/>
  <c r="J57" i="67"/>
  <c r="J55" i="67" s="1"/>
  <c r="J58" i="67" s="1"/>
  <c r="Q50" i="67" s="1"/>
  <c r="L56" i="67"/>
  <c r="I54" i="67"/>
  <c r="F66" i="67"/>
  <c r="L59" i="15"/>
  <c r="N59" i="15"/>
  <c r="M59" i="15"/>
  <c r="Q71" i="67"/>
  <c r="C27" i="67"/>
  <c r="F71" i="67"/>
  <c r="N59" i="67"/>
  <c r="L59" i="67"/>
  <c r="L58" i="67"/>
  <c r="M59" i="67"/>
  <c r="B13" i="70"/>
  <c r="M7" i="67"/>
  <c r="J6" i="67" s="1"/>
  <c r="F50" i="67"/>
  <c r="F68" i="67"/>
  <c r="F64" i="67"/>
  <c r="D9" i="69"/>
  <c r="C36" i="69"/>
  <c r="D9" i="68"/>
  <c r="F36" i="15"/>
  <c r="D6" i="73"/>
  <c r="M22" i="15"/>
  <c r="F40" i="15"/>
  <c r="L48" i="15"/>
  <c r="M29" i="15"/>
  <c r="F38" i="15"/>
  <c r="D3" i="73"/>
  <c r="F9" i="15"/>
  <c r="F13" i="15"/>
  <c r="J15" i="15"/>
  <c r="F8" i="15"/>
  <c r="M28" i="15"/>
  <c r="F7" i="15"/>
  <c r="D5" i="73"/>
  <c r="F26" i="15"/>
  <c r="F37" i="15"/>
  <c r="D4" i="73"/>
  <c r="M23" i="15"/>
  <c r="F6" i="15"/>
  <c r="C16" i="67"/>
  <c r="M8" i="15"/>
  <c r="F43" i="15"/>
  <c r="C16" i="15"/>
  <c r="M26" i="15"/>
  <c r="D7" i="73"/>
  <c r="I54" i="15" l="1"/>
  <c r="L58" i="15"/>
  <c r="J53" i="15"/>
  <c r="L56" i="15" s="1"/>
  <c r="J57" i="15"/>
  <c r="J55" i="15" s="1"/>
  <c r="J58" i="15" s="1"/>
  <c r="Q50" i="15" s="1"/>
  <c r="AZ32" i="3"/>
  <c r="AZ142" i="3"/>
  <c r="AZ226" i="3"/>
  <c r="AZ272" i="3"/>
  <c r="AZ435" i="3"/>
  <c r="AZ440" i="3"/>
  <c r="M18" i="15"/>
  <c r="W12" i="33"/>
  <c r="AC12" i="33"/>
  <c r="AB14" i="39"/>
  <c r="U14" i="39"/>
  <c r="AZ295" i="3"/>
  <c r="AZ354" i="3"/>
  <c r="AZ258" i="3"/>
  <c r="AZ243" i="3"/>
  <c r="AZ56" i="3"/>
  <c r="AZ122" i="3"/>
  <c r="AZ290" i="3"/>
  <c r="AZ453" i="3"/>
  <c r="AZ417" i="3"/>
  <c r="F54" i="9"/>
  <c r="AZ407" i="3"/>
  <c r="AZ533" i="3"/>
  <c r="W46" i="34"/>
  <c r="AC46" i="34"/>
  <c r="AZ266" i="3"/>
  <c r="AZ45" i="3"/>
  <c r="F31" i="12"/>
  <c r="AZ496" i="3"/>
  <c r="AZ501" i="3"/>
  <c r="AZ506" i="3"/>
  <c r="AZ534" i="3"/>
  <c r="W28" i="33"/>
  <c r="AC28" i="33"/>
  <c r="U26" i="33"/>
  <c r="AB26" i="33"/>
  <c r="AZ60" i="3"/>
  <c r="G30" i="6"/>
  <c r="G31" i="6" s="1"/>
  <c r="S29" i="33"/>
  <c r="AA29" i="33"/>
  <c r="S14" i="21"/>
  <c r="AA14" i="21"/>
  <c r="AZ107" i="3"/>
  <c r="AZ37" i="3"/>
  <c r="AZ129" i="3"/>
  <c r="AZ253" i="3"/>
  <c r="AZ481" i="3"/>
  <c r="AZ234" i="3"/>
  <c r="AZ426" i="3"/>
  <c r="J23" i="40"/>
  <c r="AC23" i="40" s="1"/>
  <c r="AZ255" i="3"/>
  <c r="AZ134" i="3"/>
  <c r="AZ270" i="3"/>
  <c r="AZ92" i="3"/>
  <c r="AZ478" i="3"/>
  <c r="AZ463" i="3"/>
  <c r="AZ431" i="3"/>
  <c r="AZ449" i="3"/>
  <c r="AZ576" i="3"/>
  <c r="AZ536" i="3"/>
  <c r="AB14" i="34"/>
  <c r="U14" i="34"/>
  <c r="AZ549" i="3"/>
  <c r="W15" i="40"/>
  <c r="AC15" i="40"/>
  <c r="AB46" i="21"/>
  <c r="U46" i="21"/>
  <c r="AZ504" i="3"/>
  <c r="W13" i="33"/>
  <c r="AC13" i="33"/>
  <c r="AC9" i="36"/>
  <c r="W9" i="36"/>
  <c r="AA28" i="33"/>
  <c r="S28" i="33"/>
  <c r="AZ18" i="3"/>
  <c r="AZ27" i="3"/>
  <c r="AA13" i="33"/>
  <c r="S13" i="33"/>
  <c r="F66" i="15"/>
  <c r="C27" i="15"/>
  <c r="F71" i="15"/>
  <c r="AA23" i="40"/>
  <c r="S23" i="40"/>
  <c r="E29" i="6"/>
  <c r="K15" i="1" s="1"/>
  <c r="K16" i="1" s="1"/>
  <c r="B29" i="1" s="1"/>
  <c r="C8" i="68" s="1"/>
  <c r="AZ46" i="3"/>
  <c r="AZ42" i="3"/>
  <c r="AZ205" i="3"/>
  <c r="AZ47" i="3"/>
  <c r="AZ162" i="3"/>
  <c r="AZ480" i="3"/>
  <c r="AB39" i="37"/>
  <c r="U39" i="37"/>
  <c r="AC29" i="21"/>
  <c r="W29" i="21"/>
  <c r="AZ249" i="3"/>
  <c r="S17" i="40"/>
  <c r="AB12" i="40"/>
  <c r="U12" i="40"/>
  <c r="AC14" i="33"/>
  <c r="W14" i="33"/>
  <c r="AZ85" i="3"/>
  <c r="AZ33" i="3"/>
  <c r="AZ202" i="3"/>
  <c r="AZ117" i="3"/>
  <c r="AZ474" i="3"/>
  <c r="AZ150" i="3"/>
  <c r="AZ301" i="3"/>
  <c r="AZ51" i="3"/>
  <c r="AZ302" i="3"/>
  <c r="AZ284" i="3"/>
  <c r="AZ178" i="3"/>
  <c r="AZ118" i="3"/>
  <c r="AZ471" i="3"/>
  <c r="AZ583" i="3"/>
  <c r="F28" i="67"/>
  <c r="AB17" i="40"/>
  <c r="AZ476" i="3"/>
  <c r="S31" i="34"/>
  <c r="AA31" i="34"/>
  <c r="AA23" i="36"/>
  <c r="S23" i="36"/>
  <c r="S14" i="33"/>
  <c r="AA14" i="33"/>
  <c r="B20" i="31"/>
  <c r="B21" i="31" s="1"/>
  <c r="AZ81" i="3"/>
  <c r="AZ83" i="3"/>
  <c r="AZ114" i="3"/>
  <c r="AA12" i="34"/>
  <c r="V20" i="71"/>
  <c r="AZ102" i="3"/>
  <c r="AZ461" i="3"/>
  <c r="AZ429" i="3"/>
  <c r="AZ573" i="3"/>
  <c r="F30" i="68"/>
  <c r="F48" i="68" s="1"/>
  <c r="F32" i="67"/>
  <c r="F60" i="67" s="1"/>
  <c r="AZ274" i="3"/>
  <c r="AZ239" i="3"/>
  <c r="T60" i="71"/>
  <c r="D60" i="71"/>
  <c r="U12" i="36"/>
  <c r="AB12" i="36"/>
  <c r="AA35" i="35"/>
  <c r="S35" i="35"/>
  <c r="AA44" i="21"/>
  <c r="S44" i="21"/>
  <c r="AZ112" i="3"/>
  <c r="AZ268" i="3"/>
  <c r="AZ71" i="3"/>
  <c r="AZ273" i="3"/>
  <c r="AZ61" i="3"/>
  <c r="AZ19" i="3"/>
  <c r="AZ411" i="3"/>
  <c r="F52" i="9"/>
  <c r="F28" i="15"/>
  <c r="C28" i="15" s="1"/>
  <c r="AZ194" i="3"/>
  <c r="AC35" i="35"/>
  <c r="W35" i="35"/>
  <c r="AZ94" i="3"/>
  <c r="AZ66" i="3"/>
  <c r="AZ395" i="3"/>
  <c r="F32" i="15"/>
  <c r="F60" i="15" s="1"/>
  <c r="D68" i="9"/>
  <c r="AZ402" i="3"/>
  <c r="AB38" i="40"/>
  <c r="U38" i="40"/>
  <c r="AC47" i="34"/>
  <c r="W47" i="34"/>
  <c r="AB13" i="39"/>
  <c r="U13" i="39"/>
  <c r="AZ84" i="3"/>
  <c r="AZ177" i="3"/>
  <c r="AZ277" i="3"/>
  <c r="AZ457" i="3"/>
  <c r="AZ368" i="3"/>
  <c r="AZ397" i="3"/>
  <c r="AZ332" i="3"/>
  <c r="AZ421" i="3"/>
  <c r="AA44" i="33"/>
  <c r="AZ587" i="3"/>
  <c r="F30" i="69"/>
  <c r="F48" i="69" s="1"/>
  <c r="AZ133" i="3"/>
  <c r="C86" i="71"/>
  <c r="D86" i="71" s="1"/>
  <c r="D87" i="71"/>
  <c r="AZ214" i="3"/>
  <c r="AC38" i="40"/>
  <c r="W38" i="40"/>
  <c r="AB34" i="36"/>
  <c r="U34" i="36"/>
  <c r="U47" i="34"/>
  <c r="AB47" i="34"/>
  <c r="W13" i="39"/>
  <c r="AC13" i="39"/>
  <c r="AZ571" i="3"/>
  <c r="U44" i="21"/>
  <c r="AB44" i="21"/>
  <c r="AA23" i="35"/>
  <c r="S23" i="35"/>
  <c r="U29" i="21"/>
  <c r="AB29" i="21"/>
  <c r="AA13" i="34"/>
  <c r="S13" i="34"/>
  <c r="AC44" i="21"/>
  <c r="W44" i="21"/>
  <c r="G3" i="43"/>
  <c r="F26" i="43" s="1"/>
  <c r="C11" i="40"/>
  <c r="G92" i="40"/>
  <c r="H23" i="40"/>
  <c r="U21" i="40"/>
  <c r="AC21" i="40"/>
  <c r="U36" i="40"/>
  <c r="AC36" i="40"/>
  <c r="C30" i="11"/>
  <c r="C77" i="9"/>
  <c r="C74" i="9" s="1"/>
  <c r="C30" i="68"/>
  <c r="C28" i="67"/>
  <c r="O23" i="43"/>
  <c r="C48" i="68"/>
  <c r="P26" i="43"/>
  <c r="C36" i="68"/>
  <c r="C31" i="12"/>
  <c r="G16" i="1"/>
  <c r="F10" i="39" s="1"/>
  <c r="H16" i="1"/>
  <c r="F30" i="6"/>
  <c r="P6" i="1"/>
  <c r="C13" i="12" s="1"/>
  <c r="Q16" i="1"/>
  <c r="F27" i="69" s="1"/>
  <c r="F45" i="69" s="1"/>
  <c r="E59" i="40"/>
  <c r="M7" i="15"/>
  <c r="J6" i="15" s="1"/>
  <c r="J18" i="15" s="1"/>
  <c r="F50" i="15"/>
  <c r="F31" i="15"/>
  <c r="F64" i="15"/>
  <c r="C6" i="15"/>
  <c r="C32" i="15" s="1"/>
  <c r="F51" i="15"/>
  <c r="F68" i="15"/>
  <c r="F65" i="15"/>
  <c r="C70" i="71"/>
  <c r="D70" i="71" s="1"/>
  <c r="D71" i="71"/>
  <c r="T32" i="71"/>
  <c r="D32" i="71"/>
  <c r="AZ294" i="3"/>
  <c r="AZ238" i="3"/>
  <c r="AZ137" i="3"/>
  <c r="AZ297" i="3"/>
  <c r="AZ59" i="3"/>
  <c r="AZ216" i="3"/>
  <c r="AZ460" i="3"/>
  <c r="AZ425" i="3"/>
  <c r="AZ432" i="3"/>
  <c r="AZ409" i="3"/>
  <c r="AA45" i="21"/>
  <c r="S45" i="21"/>
  <c r="W12" i="35"/>
  <c r="AC12" i="35"/>
  <c r="AC9" i="34"/>
  <c r="W9" i="34"/>
  <c r="S36" i="39"/>
  <c r="AA36" i="39"/>
  <c r="T28" i="71"/>
  <c r="D28" i="71"/>
  <c r="U28" i="71" s="1"/>
  <c r="C27" i="71"/>
  <c r="D79" i="71"/>
  <c r="C78" i="71"/>
  <c r="D78" i="71" s="1"/>
  <c r="C36" i="71"/>
  <c r="D35" i="71"/>
  <c r="C56" i="71"/>
  <c r="D55" i="71"/>
  <c r="AZ64" i="3"/>
  <c r="U39" i="40"/>
  <c r="AB39" i="40"/>
  <c r="AZ415" i="3"/>
  <c r="AC31" i="39"/>
  <c r="W31" i="39"/>
  <c r="AA25" i="37"/>
  <c r="S25" i="37"/>
  <c r="AB33" i="36"/>
  <c r="U33" i="36"/>
  <c r="AA37" i="39"/>
  <c r="S37" i="39"/>
  <c r="W27" i="21"/>
  <c r="AC27" i="21"/>
  <c r="AA24" i="35"/>
  <c r="S24" i="35"/>
  <c r="J7" i="36"/>
  <c r="W7" i="36" s="1"/>
  <c r="D83" i="71"/>
  <c r="C82" i="71"/>
  <c r="D82" i="71" s="1"/>
  <c r="O65" i="71"/>
  <c r="D66" i="71"/>
  <c r="O66" i="71"/>
  <c r="AZ86" i="3"/>
  <c r="N65" i="71"/>
  <c r="N66" i="71"/>
  <c r="AZ263" i="3"/>
  <c r="AZ58" i="3"/>
  <c r="AZ49" i="3"/>
  <c r="AZ130" i="3"/>
  <c r="AZ251" i="3"/>
  <c r="AZ247" i="3"/>
  <c r="AZ223" i="3"/>
  <c r="AZ405" i="3"/>
  <c r="AC23" i="36"/>
  <c r="W23" i="36"/>
  <c r="AZ422" i="3"/>
  <c r="AZ414" i="3"/>
  <c r="AB31" i="39"/>
  <c r="U31" i="39"/>
  <c r="U25" i="37"/>
  <c r="AB25" i="37"/>
  <c r="AA33" i="36"/>
  <c r="S33" i="36"/>
  <c r="W37" i="39"/>
  <c r="AC37" i="39"/>
  <c r="AB27" i="21"/>
  <c r="U27" i="21"/>
  <c r="AB12" i="34"/>
  <c r="U12" i="34"/>
  <c r="J7" i="37"/>
  <c r="W7" i="37" s="1"/>
  <c r="G5" i="3"/>
  <c r="B3" i="3" s="1"/>
  <c r="E408" i="3" s="1"/>
  <c r="AZ101" i="3"/>
  <c r="C40" i="71"/>
  <c r="D39" i="71"/>
  <c r="T52" i="71"/>
  <c r="D52" i="71"/>
  <c r="D44" i="71"/>
  <c r="T44" i="71"/>
  <c r="AZ282" i="3"/>
  <c r="AZ41" i="3"/>
  <c r="AZ31" i="3"/>
  <c r="AZ229" i="3"/>
  <c r="AZ218" i="3"/>
  <c r="AZ353" i="3"/>
  <c r="AZ428" i="3"/>
  <c r="AZ210" i="3"/>
  <c r="AZ404" i="3"/>
  <c r="U23" i="35"/>
  <c r="AB23" i="35"/>
  <c r="AZ418" i="3"/>
  <c r="U9" i="34"/>
  <c r="AB9" i="34"/>
  <c r="W12" i="34"/>
  <c r="AC12" i="34"/>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B7" i="36"/>
  <c r="T36" i="36" s="1"/>
  <c r="G36" i="36" s="1"/>
  <c r="F7" i="33"/>
  <c r="E58" i="21"/>
  <c r="AC7" i="36"/>
  <c r="V36" i="36" s="1"/>
  <c r="I36" i="36" s="1"/>
  <c r="F7" i="37"/>
  <c r="M17" i="67"/>
  <c r="P28" i="43"/>
  <c r="B66" i="40" s="1"/>
  <c r="P25" i="43"/>
  <c r="C49" i="67"/>
  <c r="P29" i="43"/>
  <c r="P27" i="43"/>
  <c r="B70" i="39" s="1"/>
  <c r="C32" i="67"/>
  <c r="Q60" i="67"/>
  <c r="Q73" i="67"/>
  <c r="M11" i="67"/>
  <c r="J10" i="67" s="1"/>
  <c r="J5" i="67" s="1"/>
  <c r="F11" i="15"/>
  <c r="M11" i="15"/>
  <c r="J10" i="15" s="1"/>
  <c r="F11" i="67"/>
  <c r="Q52" i="15"/>
  <c r="J18" i="67"/>
  <c r="F1" i="67"/>
  <c r="Q52" i="67"/>
  <c r="Q60" i="15"/>
  <c r="Q73" i="15"/>
  <c r="Q61" i="67"/>
  <c r="Q74" i="67"/>
  <c r="Q74" i="15"/>
  <c r="Q61" i="15"/>
  <c r="AE11" i="1"/>
  <c r="AE9" i="1"/>
  <c r="F27" i="68"/>
  <c r="AE7" i="1"/>
  <c r="AE8" i="1"/>
  <c r="AE12" i="1"/>
  <c r="AE10" i="1"/>
  <c r="F41" i="67"/>
  <c r="G1" i="73"/>
  <c r="Z7" i="43" l="1"/>
  <c r="B116" i="43"/>
  <c r="J26" i="43"/>
  <c r="F1" i="15"/>
  <c r="W23" i="40"/>
  <c r="H26" i="43"/>
  <c r="E26" i="43"/>
  <c r="C48" i="69"/>
  <c r="AZ5" i="3"/>
  <c r="C30" i="69"/>
  <c r="E557" i="3"/>
  <c r="N6" i="3"/>
  <c r="E207" i="3"/>
  <c r="E305" i="3"/>
  <c r="E137" i="3"/>
  <c r="E133" i="3"/>
  <c r="AA6" i="3"/>
  <c r="E324" i="3"/>
  <c r="F11" i="40"/>
  <c r="H11" i="40"/>
  <c r="J11" i="40"/>
  <c r="E387" i="3"/>
  <c r="E573" i="3"/>
  <c r="E47" i="3"/>
  <c r="G26" i="43"/>
  <c r="N370" i="46"/>
  <c r="N94" i="46"/>
  <c r="AB23" i="40"/>
  <c r="U23" i="40"/>
  <c r="C49" i="15"/>
  <c r="F27" i="11"/>
  <c r="C29" i="11" s="1"/>
  <c r="D27" i="11" s="1"/>
  <c r="AC7" i="37"/>
  <c r="AA7" i="36"/>
  <c r="R36" i="36" s="1"/>
  <c r="M17" i="15"/>
  <c r="E119" i="3"/>
  <c r="E311" i="3"/>
  <c r="E327" i="3"/>
  <c r="E495" i="3"/>
  <c r="E210" i="3"/>
  <c r="E453" i="3"/>
  <c r="E558" i="3"/>
  <c r="E213" i="3"/>
  <c r="E471" i="3"/>
  <c r="E312" i="3"/>
  <c r="L6" i="3"/>
  <c r="E104" i="3"/>
  <c r="E369" i="3"/>
  <c r="E487" i="3"/>
  <c r="E385" i="3"/>
  <c r="E509" i="3"/>
  <c r="E146" i="3"/>
  <c r="E91" i="3"/>
  <c r="E477" i="3"/>
  <c r="E114" i="3"/>
  <c r="E236" i="3"/>
  <c r="E523" i="3"/>
  <c r="E187" i="3"/>
  <c r="E155" i="3"/>
  <c r="E463" i="3"/>
  <c r="E205" i="3"/>
  <c r="E135" i="3"/>
  <c r="E182" i="3"/>
  <c r="E465" i="3"/>
  <c r="E216" i="3"/>
  <c r="E72" i="3"/>
  <c r="E559" i="3"/>
  <c r="E73" i="3"/>
  <c r="E546" i="3"/>
  <c r="E66" i="3"/>
  <c r="E365" i="3"/>
  <c r="E16" i="3"/>
  <c r="E522" i="3"/>
  <c r="E483" i="3"/>
  <c r="E563" i="3"/>
  <c r="E109" i="3"/>
  <c r="E74" i="3"/>
  <c r="E181" i="3"/>
  <c r="E533" i="3"/>
  <c r="E549" i="3"/>
  <c r="E245" i="3"/>
  <c r="E316" i="3"/>
  <c r="E437" i="3"/>
  <c r="E501" i="3"/>
  <c r="E306" i="3"/>
  <c r="E48" i="3"/>
  <c r="E123" i="3"/>
  <c r="E486" i="3"/>
  <c r="E510" i="3"/>
  <c r="E539" i="3"/>
  <c r="E575" i="3"/>
  <c r="E466" i="3"/>
  <c r="AP6" i="3"/>
  <c r="E417" i="3"/>
  <c r="E152" i="3"/>
  <c r="E349" i="3"/>
  <c r="E409" i="3"/>
  <c r="E46" i="3"/>
  <c r="E371" i="3"/>
  <c r="E67" i="3"/>
  <c r="E355" i="3"/>
  <c r="E283" i="3"/>
  <c r="E198" i="3"/>
  <c r="E4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536" i="3"/>
  <c r="E502" i="3"/>
  <c r="E255" i="3"/>
  <c r="E479" i="3"/>
  <c r="E241" i="3"/>
  <c r="E59" i="3"/>
  <c r="E160" i="3"/>
  <c r="E492" i="3"/>
  <c r="E233" i="3"/>
  <c r="E309" i="3"/>
  <c r="E391" i="3"/>
  <c r="E96"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31" i="3"/>
  <c r="E248" i="3"/>
  <c r="E378" i="3"/>
  <c r="E98" i="3"/>
  <c r="E313" i="3"/>
  <c r="E288" i="3"/>
  <c r="E93" i="3"/>
  <c r="E379" i="3"/>
  <c r="E547" i="3"/>
  <c r="E29" i="3"/>
  <c r="E97" i="3"/>
  <c r="E418" i="3"/>
  <c r="E221" i="3"/>
  <c r="AN6" i="3"/>
  <c r="E434" i="3"/>
  <c r="E424" i="3"/>
  <c r="E256" i="3"/>
  <c r="E32" i="3"/>
  <c r="P6" i="3"/>
  <c r="E444" i="3"/>
  <c r="E30" i="3"/>
  <c r="E516" i="3"/>
  <c r="E151" i="3"/>
  <c r="V6" i="3"/>
  <c r="E230" i="3"/>
  <c r="E395" i="3"/>
  <c r="E290" i="3"/>
  <c r="E578" i="3"/>
  <c r="E583" i="3"/>
  <c r="E314" i="3"/>
  <c r="E193" i="3"/>
  <c r="E527" i="3"/>
  <c r="E450" i="3"/>
  <c r="E150" i="3"/>
  <c r="E31" i="3"/>
  <c r="E271" i="3"/>
  <c r="E478" i="3"/>
  <c r="AS6" i="3"/>
  <c r="E162" i="3"/>
  <c r="E384" i="3"/>
  <c r="E530" i="3"/>
  <c r="E388" i="3"/>
  <c r="E143" i="3"/>
  <c r="E231" i="3"/>
  <c r="E528" i="3"/>
  <c r="E180" i="3"/>
  <c r="E212" i="3"/>
  <c r="E442" i="3"/>
  <c r="E554" i="3"/>
  <c r="E37" i="3"/>
  <c r="E292" i="3"/>
  <c r="E484" i="3"/>
  <c r="E267" i="3"/>
  <c r="E84" i="3"/>
  <c r="E68" i="3"/>
  <c r="E513" i="3"/>
  <c r="AL6"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136" i="3"/>
  <c r="E168" i="3"/>
  <c r="E126" i="3"/>
  <c r="E328" i="3"/>
  <c r="E304" i="3"/>
  <c r="E330" i="3"/>
  <c r="E496" i="3"/>
  <c r="E164" i="3"/>
  <c r="E166" i="3"/>
  <c r="E553" i="3"/>
  <c r="E139" i="3"/>
  <c r="E118" i="3"/>
  <c r="E240" i="3"/>
  <c r="E281" i="3"/>
  <c r="E184" i="3"/>
  <c r="E64" i="3"/>
  <c r="E258" i="3"/>
  <c r="E449" i="3"/>
  <c r="E242" i="3"/>
  <c r="E200" i="3"/>
  <c r="AI6" i="3"/>
  <c r="E161" i="3"/>
  <c r="E69" i="3"/>
  <c r="AB6" i="3"/>
  <c r="E201" i="3"/>
  <c r="E322" i="3"/>
  <c r="E572" i="3"/>
  <c r="E70" i="3"/>
  <c r="E400" i="3"/>
  <c r="E204" i="3"/>
  <c r="E362" i="3"/>
  <c r="E454" i="3"/>
  <c r="E406" i="3"/>
  <c r="E277" i="3"/>
  <c r="E77" i="3"/>
  <c r="E586" i="3"/>
  <c r="E361" i="3"/>
  <c r="E439" i="3"/>
  <c r="E270" i="3"/>
  <c r="E343" i="3"/>
  <c r="E186" i="3"/>
  <c r="E414" i="3"/>
  <c r="E567" i="3"/>
  <c r="E433" i="3"/>
  <c r="E519" i="3"/>
  <c r="E253" i="3"/>
  <c r="E61" i="3"/>
  <c r="E130" i="3"/>
  <c r="E358" i="3"/>
  <c r="E282" i="3"/>
  <c r="E295" i="3"/>
  <c r="E443" i="3"/>
  <c r="I6" i="3"/>
  <c r="E55" i="3"/>
  <c r="Q6" i="3"/>
  <c r="E280" i="3"/>
  <c r="E565" i="3"/>
  <c r="E390" i="3"/>
  <c r="E319" i="3"/>
  <c r="E403" i="3"/>
  <c r="E397" i="3"/>
  <c r="E537" i="3"/>
  <c r="E352" i="3"/>
  <c r="E167" i="3"/>
  <c r="E163" i="3"/>
  <c r="E375" i="3"/>
  <c r="E209" i="3"/>
  <c r="E244" i="3"/>
  <c r="E90" i="3"/>
  <c r="E218" i="3"/>
  <c r="E112" i="3"/>
  <c r="E170" i="3"/>
  <c r="E333" i="3"/>
  <c r="E401" i="3"/>
  <c r="E427" i="3"/>
  <c r="E83" i="3"/>
  <c r="E220" i="3"/>
  <c r="E26" i="3"/>
  <c r="E469" i="3"/>
  <c r="E22" i="3"/>
  <c r="E383" i="3"/>
  <c r="E494" i="3"/>
  <c r="E33" i="3"/>
  <c r="E467" i="3"/>
  <c r="E95" i="3"/>
  <c r="E430" i="3"/>
  <c r="E142" i="3"/>
  <c r="E296" i="3"/>
  <c r="E100" i="3"/>
  <c r="E423" i="3"/>
  <c r="E445" i="3"/>
  <c r="E189" i="3"/>
  <c r="M6" i="3"/>
  <c r="E431" i="3"/>
  <c r="E268" i="3"/>
  <c r="E377" i="3"/>
  <c r="E489" i="3"/>
  <c r="E485" i="3"/>
  <c r="E89" i="3"/>
  <c r="E214" i="3"/>
  <c r="E468" i="3"/>
  <c r="E472" i="3"/>
  <c r="AK6" i="3"/>
  <c r="E347" i="3"/>
  <c r="E350" i="3"/>
  <c r="E183" i="3"/>
  <c r="E538" i="3"/>
  <c r="E410" i="3"/>
  <c r="E441" i="3"/>
  <c r="E447" i="3"/>
  <c r="E585" i="3"/>
  <c r="E351" i="3"/>
  <c r="E562" i="3"/>
  <c r="E99" i="3"/>
  <c r="E293" i="3"/>
  <c r="E550" i="3"/>
  <c r="E320" i="3"/>
  <c r="E396" i="3"/>
  <c r="E125" i="3"/>
  <c r="E88" i="3"/>
  <c r="AG6" i="3"/>
  <c r="E394" i="3"/>
  <c r="AE6" i="3"/>
  <c r="E262" i="3"/>
  <c r="E303" i="3"/>
  <c r="E298" i="3"/>
  <c r="E574" i="3"/>
  <c r="E317" i="3"/>
  <c r="E548" i="3"/>
  <c r="E257" i="3"/>
  <c r="E474" i="3"/>
  <c r="E82" i="3"/>
  <c r="E488" i="3"/>
  <c r="E374" i="3"/>
  <c r="E464" i="3"/>
  <c r="E57" i="3"/>
  <c r="E24" i="3"/>
  <c r="E552" i="3"/>
  <c r="E50" i="3"/>
  <c r="E392" i="3"/>
  <c r="E15" i="3"/>
  <c r="E202" i="3"/>
  <c r="AH6" i="3"/>
  <c r="E393" i="3"/>
  <c r="E370" i="3"/>
  <c r="E428" i="3"/>
  <c r="E13" i="3"/>
  <c r="E534" i="3"/>
  <c r="E102" i="3"/>
  <c r="E18" i="3"/>
  <c r="E81" i="3"/>
  <c r="E310" i="3"/>
  <c r="E544" i="3"/>
  <c r="E491" i="3"/>
  <c r="E499" i="3"/>
  <c r="J5" i="15"/>
  <c r="J24" i="15" s="1"/>
  <c r="E94" i="3"/>
  <c r="E219" i="3"/>
  <c r="E132" i="3"/>
  <c r="X6" i="3"/>
  <c r="E191" i="3"/>
  <c r="E172" i="3"/>
  <c r="E215" i="3"/>
  <c r="E514" i="3"/>
  <c r="E579" i="3"/>
  <c r="E526" i="3"/>
  <c r="E211" i="3"/>
  <c r="E531" i="3"/>
  <c r="AO6" i="3"/>
  <c r="E227" i="3"/>
  <c r="E171" i="3"/>
  <c r="E577" i="3"/>
  <c r="K6" i="3"/>
  <c r="E545" i="3"/>
  <c r="E399" i="3"/>
  <c r="E134" i="3"/>
  <c r="E185" i="3"/>
  <c r="E561" i="3"/>
  <c r="E555" i="3"/>
  <c r="E44" i="3"/>
  <c r="E476" i="3"/>
  <c r="E107" i="3"/>
  <c r="E279" i="3"/>
  <c r="E457" i="3"/>
  <c r="E511" i="3"/>
  <c r="E518" i="3"/>
  <c r="E260" i="3"/>
  <c r="E407" i="3"/>
  <c r="E569" i="3"/>
  <c r="E480" i="3"/>
  <c r="E404" i="3"/>
  <c r="E576" i="3"/>
  <c r="E274" i="3"/>
  <c r="E344" i="3"/>
  <c r="E128" i="3"/>
  <c r="E254" i="3"/>
  <c r="E321" i="3"/>
  <c r="O6" i="3"/>
  <c r="E272" i="3"/>
  <c r="E411" i="3"/>
  <c r="E208" i="3"/>
  <c r="E532" i="3"/>
  <c r="E127" i="3"/>
  <c r="E459" i="3"/>
  <c r="E373" i="3"/>
  <c r="E149" i="3"/>
  <c r="E520" i="3"/>
  <c r="E65" i="3"/>
  <c r="E141" i="3"/>
  <c r="E364" i="3"/>
  <c r="E339" i="3"/>
  <c r="E473" i="3"/>
  <c r="E178" i="3"/>
  <c r="E490" i="3"/>
  <c r="E105" i="3"/>
  <c r="E232" i="3"/>
  <c r="E243" i="3"/>
  <c r="E497" i="3"/>
  <c r="E525" i="3"/>
  <c r="E251" i="3"/>
  <c r="E482" i="3"/>
  <c r="E63" i="3"/>
  <c r="E249" i="3"/>
  <c r="E389" i="3"/>
  <c r="E517" i="3"/>
  <c r="E286" i="3"/>
  <c r="F59" i="15"/>
  <c r="AY6" i="3"/>
  <c r="AY473" i="3" s="1"/>
  <c r="E3" i="6"/>
  <c r="D3" i="37" s="1"/>
  <c r="E129" i="3"/>
  <c r="E75" i="3"/>
  <c r="E332" i="3"/>
  <c r="E21" i="3"/>
  <c r="E264" i="3"/>
  <c r="E381" i="3"/>
  <c r="E144" i="3"/>
  <c r="E23" i="3"/>
  <c r="E300" i="3"/>
  <c r="E103" i="3"/>
  <c r="E425" i="3"/>
  <c r="E76" i="3"/>
  <c r="E363" i="3"/>
  <c r="E192" i="3"/>
  <c r="E56" i="3"/>
  <c r="E435" i="3"/>
  <c r="I3" i="6"/>
  <c r="E541" i="3"/>
  <c r="R6" i="3"/>
  <c r="E199" i="3"/>
  <c r="D36" i="71"/>
  <c r="T36" i="71"/>
  <c r="D56" i="71"/>
  <c r="T56" i="71"/>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M27" i="15"/>
  <c r="AE6" i="1"/>
  <c r="F41" i="15" s="1"/>
  <c r="D26" i="43" l="1"/>
  <c r="C25" i="43" s="1"/>
  <c r="C33" i="43" s="1"/>
  <c r="AY361" i="3"/>
  <c r="AY280" i="3"/>
  <c r="AY396" i="3"/>
  <c r="AY285" i="3"/>
  <c r="AY477" i="3"/>
  <c r="AY20" i="3"/>
  <c r="AY235" i="3"/>
  <c r="AY298" i="3"/>
  <c r="AY443" i="3"/>
  <c r="AY173" i="3"/>
  <c r="AY159" i="3"/>
  <c r="AY534" i="3"/>
  <c r="AY148" i="3"/>
  <c r="BQ6" i="3"/>
  <c r="BP6" i="3"/>
  <c r="AY537" i="3"/>
  <c r="AY405" i="3"/>
  <c r="AY37" i="3"/>
  <c r="AY283" i="3"/>
  <c r="AY482" i="3"/>
  <c r="AY394" i="3"/>
  <c r="AY312" i="3"/>
  <c r="R50" i="34"/>
  <c r="AY545" i="3"/>
  <c r="AY575" i="3"/>
  <c r="AY437" i="3"/>
  <c r="AY80" i="3"/>
  <c r="AY133" i="3"/>
  <c r="AY200" i="3"/>
  <c r="AY339" i="3"/>
  <c r="AY459" i="3"/>
  <c r="BR6" i="3"/>
  <c r="AY279" i="3"/>
  <c r="AY71" i="3"/>
  <c r="AY375" i="3"/>
  <c r="AY490" i="3"/>
  <c r="AY509" i="3"/>
  <c r="AY40" i="3"/>
  <c r="AY359" i="3"/>
  <c r="AY487" i="3"/>
  <c r="AY330" i="3"/>
  <c r="D19" i="11"/>
  <c r="C19" i="11" s="1"/>
  <c r="AY240" i="3"/>
  <c r="AY500" i="3"/>
  <c r="AY151" i="3"/>
  <c r="AY402" i="3"/>
  <c r="AY64" i="3"/>
  <c r="AY22" i="3"/>
  <c r="AY140" i="3"/>
  <c r="AY461" i="3"/>
  <c r="AY504" i="3"/>
  <c r="AY213" i="3"/>
  <c r="AY86" i="3"/>
  <c r="AY331" i="3"/>
  <c r="AY35" i="3"/>
  <c r="AY407" i="3"/>
  <c r="AY223" i="3"/>
  <c r="AY419" i="3"/>
  <c r="AY31" i="3"/>
  <c r="AY562" i="3"/>
  <c r="AY295" i="3"/>
  <c r="AY26" i="3"/>
  <c r="BT6" i="3"/>
  <c r="AY257" i="3"/>
  <c r="AY408" i="3"/>
  <c r="AY19" i="3"/>
  <c r="AY434" i="3"/>
  <c r="AY567" i="3"/>
  <c r="AY39" i="3"/>
  <c r="AY203" i="3"/>
  <c r="AY492" i="3"/>
  <c r="AY511" i="3"/>
  <c r="AY224" i="3"/>
  <c r="AY91" i="3"/>
  <c r="AY362" i="3"/>
  <c r="AY46" i="3"/>
  <c r="AY423" i="3"/>
  <c r="AY266" i="3"/>
  <c r="AY480" i="3"/>
  <c r="AY49" i="3"/>
  <c r="AY481" i="3"/>
  <c r="AY166" i="3"/>
  <c r="C48" i="15"/>
  <c r="C66" i="15" s="1"/>
  <c r="AY66" i="3"/>
  <c r="AY50" i="3"/>
  <c r="AY372" i="3"/>
  <c r="AY190" i="3"/>
  <c r="AY247" i="3"/>
  <c r="AY109" i="3"/>
  <c r="AY242" i="3"/>
  <c r="AY462" i="3"/>
  <c r="AY495" i="3"/>
  <c r="AY425" i="3"/>
  <c r="AY89" i="3"/>
  <c r="AY222" i="3"/>
  <c r="AY356" i="3"/>
  <c r="AY508" i="3"/>
  <c r="AY350" i="3"/>
  <c r="AY573" i="3"/>
  <c r="AY286" i="3"/>
  <c r="AY275" i="3"/>
  <c r="AY536" i="3"/>
  <c r="AY519" i="3"/>
  <c r="AY189" i="3"/>
  <c r="AY282" i="3"/>
  <c r="AY380" i="3"/>
  <c r="AY313" i="3"/>
  <c r="AY484" i="3"/>
  <c r="AY426" i="3"/>
  <c r="AY579" i="3"/>
  <c r="AY502" i="3"/>
  <c r="AY570" i="3"/>
  <c r="AY94"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96" i="3"/>
  <c r="AY474" i="3"/>
  <c r="AY174" i="3"/>
  <c r="AY250" i="3"/>
  <c r="AY445" i="3"/>
  <c r="AY505" i="3"/>
  <c r="AY551" i="3"/>
  <c r="AY115" i="3"/>
  <c r="AY261" i="3"/>
  <c r="AY420" i="3"/>
  <c r="AY154" i="3"/>
  <c r="AY230" i="3"/>
  <c r="AY56" i="3"/>
  <c r="AY353" i="3"/>
  <c r="AY398" i="3"/>
  <c r="AY501" i="3"/>
  <c r="AY244" i="3"/>
  <c r="AY36" i="3"/>
  <c r="BS6" i="3"/>
  <c r="AY467" i="3"/>
  <c r="AY577" i="3"/>
  <c r="AY497" i="3"/>
  <c r="AY100" i="3"/>
  <c r="AY227" i="3"/>
  <c r="AY341" i="3"/>
  <c r="AY552" i="3"/>
  <c r="AY96" i="3"/>
  <c r="AY169" i="3"/>
  <c r="AY251" i="3"/>
  <c r="AY369" i="3"/>
  <c r="AY328" i="3"/>
  <c r="AY468" i="3"/>
  <c r="AY410" i="3"/>
  <c r="AY499" i="3"/>
  <c r="AY565" i="3"/>
  <c r="AY531"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347" i="3"/>
  <c r="AY421" i="3"/>
  <c r="AY102" i="3"/>
  <c r="AY175" i="3"/>
  <c r="AY208" i="3"/>
  <c r="AY583" i="3"/>
  <c r="AY305" i="3"/>
  <c r="AY566" i="3"/>
  <c r="AY307" i="3"/>
  <c r="AY143" i="3"/>
  <c r="AY107" i="3"/>
  <c r="AY451" i="3"/>
  <c r="AY265" i="3"/>
  <c r="AY62" i="3"/>
  <c r="AY522" i="3"/>
  <c r="AY479" i="3"/>
  <c r="AY113" i="3"/>
  <c r="AY413" i="3"/>
  <c r="AY288" i="3"/>
  <c r="AY528" i="3"/>
  <c r="AY216" i="3"/>
  <c r="AY110" i="3"/>
  <c r="AY399" i="3"/>
  <c r="AY321" i="3"/>
  <c r="AY205" i="3"/>
  <c r="AY550" i="3"/>
  <c r="AY323" i="3"/>
  <c r="AY273" i="3"/>
  <c r="AY27" i="3"/>
  <c r="AY512" i="3"/>
  <c r="AY466" i="3"/>
  <c r="AY221" i="3"/>
  <c r="AY167" i="3"/>
  <c r="AY99" i="3"/>
  <c r="D3" i="6"/>
  <c r="C34" i="40" s="1"/>
  <c r="AY442" i="3"/>
  <c r="AY329" i="3"/>
  <c r="AY129" i="3"/>
  <c r="AY514" i="3"/>
  <c r="AY29" i="3"/>
  <c r="AY478" i="3"/>
  <c r="BN6" i="3"/>
  <c r="AY302" i="3"/>
  <c r="AY387" i="3"/>
  <c r="AY475" i="3"/>
  <c r="AY360" i="3"/>
  <c r="AY61" i="3"/>
  <c r="AY225" i="3"/>
  <c r="AY521" i="3"/>
  <c r="AY386" i="3"/>
  <c r="AY164" i="3"/>
  <c r="AY568" i="3"/>
  <c r="AY315" i="3"/>
  <c r="AY301" i="3"/>
  <c r="AY79" i="3"/>
  <c r="AY538" i="3"/>
  <c r="AY320" i="3"/>
  <c r="AY153" i="3"/>
  <c r="AY432" i="3"/>
  <c r="AY136" i="3"/>
  <c r="AY13" i="3"/>
  <c r="AY233" i="3"/>
  <c r="AY563" i="3"/>
  <c r="AY431" i="3"/>
  <c r="AY352" i="3"/>
  <c r="AY32" i="3"/>
  <c r="AY429" i="3"/>
  <c r="AY354" i="3"/>
  <c r="AY277" i="3"/>
  <c r="AY38" i="3"/>
  <c r="AY560" i="3"/>
  <c r="AY469" i="3"/>
  <c r="AY232" i="3"/>
  <c r="AY156" i="3"/>
  <c r="BA6" i="3"/>
  <c r="AY14" i="3"/>
  <c r="AY453" i="3"/>
  <c r="AY345" i="3"/>
  <c r="AY137" i="3"/>
  <c r="AY584" i="3"/>
  <c r="AY507" i="3"/>
  <c r="AY212" i="3"/>
  <c r="AY435" i="3"/>
  <c r="AY146" i="3"/>
  <c r="AY90" i="3"/>
  <c r="AY348" i="3"/>
  <c r="AY397" i="3"/>
  <c r="AY533" i="3"/>
  <c r="AY276" i="3"/>
  <c r="D3" i="21"/>
  <c r="D37" i="11"/>
  <c r="W11" i="40"/>
  <c r="AC11" i="40"/>
  <c r="AB11" i="40"/>
  <c r="U11" i="40"/>
  <c r="AA11" i="40"/>
  <c r="S11"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194" i="3"/>
  <c r="AY65" i="3"/>
  <c r="AY582" i="3"/>
  <c r="AY543"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4" i="3"/>
  <c r="AY97" i="3"/>
  <c r="AY549" i="3"/>
  <c r="AY310" i="3"/>
  <c r="AY260" i="3"/>
  <c r="AY441" i="3"/>
  <c r="AY209" i="3"/>
  <c r="AY289" i="3"/>
  <c r="AY335" i="3"/>
  <c r="AY297" i="3"/>
  <c r="AY188" i="3"/>
  <c r="AY176"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D14" i="12"/>
  <c r="D17" i="12" s="1"/>
  <c r="C17" i="12" s="1"/>
  <c r="D3" i="34"/>
  <c r="D3" i="33"/>
  <c r="E6" i="6"/>
  <c r="C17" i="4"/>
  <c r="B4" i="52" s="1"/>
  <c r="B43" i="72" s="1"/>
  <c r="M18" i="9"/>
  <c r="B118" i="9" s="1"/>
  <c r="H6" i="3"/>
  <c r="AC6" i="3"/>
  <c r="F22" i="68"/>
  <c r="F41" i="68" s="1"/>
  <c r="F24" i="67"/>
  <c r="C24" i="67" s="1"/>
  <c r="F22" i="11"/>
  <c r="C24" i="11" s="1"/>
  <c r="F24" i="15"/>
  <c r="C24" i="15" s="1"/>
  <c r="F22" i="69"/>
  <c r="F41" i="69"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24" i="6"/>
  <c r="D14" i="6"/>
  <c r="D29" i="6"/>
  <c r="D19" i="6"/>
  <c r="M19" i="9" s="1"/>
  <c r="C118" i="9" s="1"/>
  <c r="D12"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4" i="67"/>
  <c r="C17" i="15"/>
  <c r="D28" i="6" l="1"/>
  <c r="D5" i="6"/>
  <c r="H24" i="6"/>
  <c r="D10" i="6"/>
  <c r="D8" i="6"/>
  <c r="D21" i="6"/>
  <c r="D13" i="6"/>
  <c r="D23" i="6"/>
  <c r="H21" i="6"/>
  <c r="D9" i="6"/>
  <c r="D26" i="6"/>
  <c r="R26" i="6" s="1"/>
  <c r="D22" i="6"/>
  <c r="D27" i="6" s="1"/>
  <c r="H26" i="6"/>
  <c r="D11" i="6"/>
  <c r="C18" i="4"/>
  <c r="C4" i="52" s="1"/>
  <c r="B45" i="72" s="1"/>
  <c r="H22" i="6"/>
  <c r="D6" i="6"/>
  <c r="D20" i="6"/>
  <c r="D15" i="6"/>
  <c r="C60" i="15"/>
  <c r="C14" i="74"/>
  <c r="B2" i="74" s="1"/>
  <c r="D7" i="74" s="1"/>
  <c r="B14" i="74"/>
  <c r="B1" i="74" s="1"/>
  <c r="J34" i="40"/>
  <c r="H34" i="40"/>
  <c r="F34" i="40"/>
  <c r="C44" i="68"/>
  <c r="D41" i="68" s="1"/>
  <c r="C23" i="11"/>
  <c r="C26" i="68"/>
  <c r="D22" i="68" s="1"/>
  <c r="H25" i="6"/>
  <c r="C44" i="11"/>
  <c r="D41" i="11" s="1"/>
  <c r="D30" i="6"/>
  <c r="C26" i="69"/>
  <c r="D22" i="69" s="1"/>
  <c r="E6" i="3"/>
  <c r="C26" i="11"/>
  <c r="D22" i="11" s="1"/>
  <c r="C25" i="11"/>
  <c r="C44" i="69"/>
  <c r="D41"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4" i="6"/>
  <c r="R11" i="1" s="1"/>
  <c r="R22" i="6"/>
  <c r="R9" i="1" s="1"/>
  <c r="C15" i="12"/>
  <c r="C12" i="12"/>
  <c r="R21" i="6"/>
  <c r="R8" i="1" s="1"/>
  <c r="C10" i="69"/>
  <c r="C8" i="69" s="1"/>
  <c r="C5" i="69" s="1"/>
  <c r="D19" i="69"/>
  <c r="F50" i="69"/>
  <c r="F50" i="11"/>
  <c r="F50" i="68"/>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31" i="6" l="1"/>
  <c r="D16" i="6"/>
  <c r="R23" i="6"/>
  <c r="R10" i="1" s="1"/>
  <c r="C22" i="11"/>
  <c r="C31" i="11" s="1"/>
  <c r="AB34" i="40"/>
  <c r="U34" i="40"/>
  <c r="AC34" i="40"/>
  <c r="W34" i="40"/>
  <c r="S34" i="40"/>
  <c r="AA34" i="40"/>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9" i="1"/>
  <c r="AO8"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K6" i="80" s="1"/>
  <c r="C43" i="40"/>
  <c r="E47" i="40"/>
  <c r="F47" i="40" s="1"/>
  <c r="E46" i="40"/>
  <c r="F46" i="40" s="1"/>
  <c r="I47" i="40"/>
  <c r="J47" i="40" s="1"/>
  <c r="K11" i="80" l="1"/>
  <c r="M11" i="80" s="1"/>
  <c r="K10" i="80"/>
  <c r="M10" i="80" s="1"/>
  <c r="K8" i="80"/>
  <c r="K9" i="80"/>
  <c r="M9" i="80" s="1"/>
  <c r="B58" i="40"/>
  <c r="F58" i="40" s="1"/>
  <c r="B54" i="40"/>
  <c r="F54" i="40" s="1"/>
  <c r="B53" i="40"/>
  <c r="F53" i="40" s="1"/>
  <c r="B59" i="40"/>
  <c r="F59" i="40" s="1"/>
  <c r="B52" i="40"/>
  <c r="F52" i="40" s="1"/>
  <c r="B56" i="40"/>
  <c r="F56" i="40" s="1"/>
  <c r="B60" i="40"/>
  <c r="F60" i="40" s="1"/>
  <c r="B57" i="40"/>
  <c r="F57" i="40" s="1"/>
  <c r="B51" i="40"/>
  <c r="F51" i="40" s="1"/>
  <c r="F61" i="40"/>
  <c r="M8" i="80" l="1"/>
  <c r="M12" i="80" s="1"/>
  <c r="K12" i="80"/>
  <c r="B2" i="40"/>
  <c r="B3" i="40" s="1"/>
  <c r="C6" i="68"/>
  <c r="C7" i="68" l="1"/>
  <c r="C5" i="68" s="1"/>
  <c r="C23" i="68" l="1"/>
  <c r="C20" i="68"/>
  <c r="C28" i="68" l="1"/>
  <c r="C27" i="68" s="1"/>
  <c r="C25" i="68"/>
  <c r="C22" i="68" s="1"/>
  <c r="C31" i="68" l="1"/>
  <c r="C52" i="68" s="1"/>
  <c r="B2" i="68" s="1"/>
  <c r="C19" i="9"/>
  <c r="C57" i="68" l="1"/>
  <c r="C56" i="68" s="1"/>
  <c r="C102" i="9"/>
  <c r="C21" i="9"/>
  <c r="D22" i="9"/>
  <c r="G19" i="9"/>
  <c r="G21" i="9" s="1"/>
  <c r="B3" i="68"/>
  <c r="D34" i="9"/>
  <c r="C20" i="9"/>
  <c r="D35" i="9"/>
  <c r="C103" i="9" l="1"/>
  <c r="G20" i="9"/>
  <c r="C32" i="9" s="1"/>
  <c r="C35" i="9" l="1"/>
  <c r="H118" i="9"/>
  <c r="D14" i="74" l="1"/>
  <c r="G14" i="74" s="1"/>
  <c r="B6" i="74" s="1"/>
  <c r="D6" i="74" s="1"/>
  <c r="N6" i="80"/>
  <c r="F14" i="74"/>
  <c r="B5" i="74"/>
  <c r="D5" i="74" s="1"/>
  <c r="E14" i="74"/>
  <c r="H4" i="52"/>
  <c r="C104" i="9"/>
  <c r="I118" i="9"/>
  <c r="H101" i="9"/>
  <c r="H119" i="9"/>
  <c r="H5" i="52" s="1"/>
  <c r="C34" i="9"/>
  <c r="D118" i="9" s="1"/>
  <c r="F118" i="9"/>
  <c r="N8" i="80" l="1"/>
  <c r="O8" i="80" s="1"/>
  <c r="N9" i="80"/>
  <c r="O9" i="80" s="1"/>
  <c r="N11" i="80"/>
  <c r="O11" i="80" s="1"/>
  <c r="N10" i="80"/>
  <c r="O10" i="80" s="1"/>
  <c r="H102" i="9"/>
  <c r="I4" i="52"/>
  <c r="C105" i="9"/>
  <c r="M48" i="9"/>
  <c r="D5" i="53"/>
  <c r="H107" i="9"/>
  <c r="D45" i="9"/>
  <c r="G118" i="9"/>
  <c r="G4" i="52" s="1"/>
  <c r="B52" i="72" s="1"/>
  <c r="F4" i="52"/>
  <c r="B51" i="72" s="1"/>
  <c r="F119" i="9"/>
  <c r="F5" i="52" s="1"/>
  <c r="B53" i="72" s="1"/>
  <c r="D4" i="52"/>
  <c r="B47" i="72" s="1"/>
  <c r="D119" i="9"/>
  <c r="D5" i="52" s="1"/>
  <c r="B49" i="72" s="1"/>
  <c r="N12" i="80" l="1"/>
  <c r="E118" i="9"/>
  <c r="E4" i="52" s="1"/>
  <c r="B48" i="72" s="1"/>
  <c r="D53" i="9"/>
  <c r="D48" i="9" s="1"/>
  <c r="M52" i="9" s="1"/>
  <c r="D52" i="9"/>
  <c r="C78" i="9"/>
  <c r="C73" i="9" s="1"/>
  <c r="C72" i="9"/>
  <c r="C85" i="9"/>
  <c r="C93" i="9"/>
  <c r="C86" i="9" s="1"/>
  <c r="C64" i="9"/>
  <c r="C63" i="9" s="1"/>
  <c r="C67" i="9" s="1"/>
  <c r="D55" i="9"/>
  <c r="M53" i="9" s="1"/>
  <c r="D122" i="9"/>
  <c r="M49" i="9"/>
  <c r="D13" i="53"/>
  <c r="H108" i="9"/>
  <c r="B20" i="72"/>
  <c r="D6" i="53"/>
  <c r="B22" i="72" s="1"/>
  <c r="C5" i="74"/>
  <c r="D7" i="53"/>
  <c r="B21" i="72" s="1"/>
  <c r="C79" i="9" l="1"/>
  <c r="C80" i="9" s="1"/>
  <c r="E80" i="9" s="1"/>
  <c r="E81" i="9" s="1"/>
  <c r="D15" i="53"/>
  <c r="B31" i="72" s="1"/>
  <c r="C6" i="74"/>
  <c r="B30" i="72"/>
  <c r="D14" i="53"/>
  <c r="B32" i="72" s="1"/>
  <c r="C68" i="9"/>
  <c r="D54" i="9" s="1"/>
  <c r="D59" i="9"/>
  <c r="M55" i="9" s="1"/>
  <c r="L68" i="9"/>
  <c r="M68" i="9" s="1"/>
  <c r="L66" i="9"/>
  <c r="M66" i="9" s="1"/>
  <c r="L64" i="9"/>
  <c r="M64" i="9" s="1"/>
  <c r="L63" i="9"/>
  <c r="M63" i="9" s="1"/>
  <c r="L67" i="9"/>
  <c r="M67" i="9" s="1"/>
  <c r="L65" i="9"/>
  <c r="M65" i="9" s="1"/>
  <c r="D8" i="52"/>
  <c r="D123" i="9"/>
  <c r="D9" i="52" s="1"/>
  <c r="C95" i="9"/>
  <c r="M69" i="9" l="1"/>
  <c r="N69" i="9" s="1"/>
  <c r="C81" i="9"/>
  <c r="C96" i="9"/>
  <c r="E96" i="9" s="1"/>
  <c r="E97" i="9" s="1"/>
  <c r="C97" i="9" l="1"/>
  <c r="D58" i="9" s="1"/>
  <c r="D56" i="9" s="1"/>
  <c r="M54" i="9" s="1"/>
  <c r="N57" i="9" s="1"/>
  <c r="N59" i="9" s="1"/>
  <c r="H111" i="9" s="1"/>
  <c r="N58" i="9" l="1"/>
  <c r="P57" i="9"/>
  <c r="D126" i="9"/>
  <c r="I14" i="74" s="1"/>
  <c r="B8" i="74" s="1"/>
  <c r="D8" i="74" s="1"/>
  <c r="D19" i="53"/>
  <c r="N60" i="9"/>
  <c r="N61" i="9"/>
  <c r="H112" i="9" s="1"/>
  <c r="D21" i="53" l="1"/>
  <c r="B39" i="72" s="1"/>
  <c r="C8" i="74"/>
  <c r="B38" i="72"/>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<sst xmlns="http://schemas.openxmlformats.org/spreadsheetml/2006/main" count="8306" uniqueCount="3591">
  <si>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</si>
  <si>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</si>
  <si>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</si>
  <si>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</si>
  <si>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</si>
  <si>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</si>
  <si>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</si>
  <si>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</si>
  <si>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</si>
  <si>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</si>
  <si>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</si>
  <si>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</si>
  <si>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</si>
  <si>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</si>
  <si>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</si>
  <si>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</si>
  <si>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</si>
  <si>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</si>
  <si>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</si>
  <si>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</si>
  <si>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</si>
  <si>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</si>
  <si>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</si>
  <si>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</si>
  <si>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</si>
  <si>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</si>
  <si>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</si>
  <si>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</si>
  <si>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</si>
  <si>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</si>
  <si>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</si>
  <si>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</si>
  <si>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</si>
  <si>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</si>
  <si>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</si>
  <si>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</si>
  <si>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</si>
  <si>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</si>
  <si>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</si>
  <si>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</si>
  <si>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</si>
  <si>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</si>
  <si>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</si>
  <si>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</si>
  <si>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</si>
  <si>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</si>
  <si>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</si>
  <si>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</si>
  <si>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</si>
  <si>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</si>
  <si>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</si>
  <si>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</si>
  <si>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</si>
  <si>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</si>
  <si>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</si>
  <si>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</si>
  <si>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</si>
  <si>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</si>
  <si>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</si>
  <si>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</si>
  <si>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</si>
  <si>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</si>
  <si>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</si>
  <si>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</si>
  <si>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</si>
  <si>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</si>
  <si>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</si>
  <si>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</si>
  <si>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</si>
  <si>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</si>
  <si>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</si>
  <si>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</si>
  <si>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</si>
  <si>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</si>
  <si>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</si>
  <si>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</si>
  <si>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</si>
  <si>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</si>
  <si>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</si>
  <si>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</si>
  <si>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</si>
  <si>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</si>
  <si>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</si>
  <si>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</si>
  <si>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</si>
  <si>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</si>
  <si>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</si>
  <si>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</si>
  <si>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</si>
  <si>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</si>
  <si>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</si>
  <si>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</si>
  <si>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</si>
  <si>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</si>
  <si>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</si>
  <si>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</si>
  <si>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</si>
  <si>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</si>
  <si>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</si>
  <si>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</si>
  <si>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</si>
  <si>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</si>
  <si>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</si>
  <si>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</si>
  <si>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</si>
  <si>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</si>
  <si>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</si>
  <si>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</si>
  <si>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</si>
  <si>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</si>
  <si>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</si>
  <si>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</si>
  <si>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</si>
  <si>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</si>
  <si>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</si>
  <si>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</si>
  <si>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</si>
  <si>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</si>
  <si>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</si>
  <si>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</si>
  <si>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</si>
  <si>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</si>
  <si>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</si>
  <si>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</si>
  <si>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</si>
  <si>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</si>
  <si>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</si>
  <si>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</si>
  <si>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</si>
  <si>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</si>
  <si>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</si>
  <si>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</si>
  <si>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</si>
  <si>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</si>
  <si>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</si>
  <si>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</si>
  <si>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</si>
  <si>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</si>
  <si>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</si>
  <si>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</si>
  <si>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</si>
  <si>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</si>
  <si>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</si>
  <si>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</si>
  <si>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</si>
  <si>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</si>
  <si>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</si>
  <si>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</si>
  <si>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</si>
  <si>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</si>
  <si>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</si>
  <si>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</si>
  <si>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</si>
  <si>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</si>
  <si>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</si>
  <si>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</si>
  <si>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</si>
  <si>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</si>
  <si>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</si>
  <si>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</si>
  <si>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</si>
  <si>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</si>
  <si>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</si>
  <si>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</si>
  <si>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</si>
  <si>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</si>
  <si>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</si>
  <si>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</si>
  <si>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</si>
  <si>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</si>
  <si>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</si>
  <si>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</si>
  <si>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</si>
  <si>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</si>
  <si>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</si>
  <si>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</si>
  <si>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</si>
  <si>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</si>
  <si>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</si>
  <si>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</si>
  <si>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</si>
  <si>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</si>
  <si>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</si>
  <si>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</si>
  <si>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</si>
  <si>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</si>
  <si>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</si>
  <si>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</si>
  <si>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</si>
  <si>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</si>
  <si>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</si>
  <si>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</si>
  <si>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</si>
  <si>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</si>
  <si>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</si>
  <si>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</si>
  <si>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</si>
  <si>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</si>
  <si>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</si>
  <si>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</si>
  <si>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</si>
  <si>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</si>
  <si>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</si>
  <si>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</si>
  <si>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</si>
  <si>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</si>
  <si>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</si>
  <si>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</si>
  <si>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</si>
  <si>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</si>
  <si>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</si>
  <si>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</si>
  <si>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</si>
  <si>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</si>
  <si>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</si>
  <si>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</si>
  <si>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</si>
  <si>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</si>
  <si>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</si>
  <si>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</si>
  <si>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</si>
  <si>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</si>
  <si>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</si>
  <si>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</si>
  <si>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</si>
  <si>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</si>
  <si>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</si>
  <si>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</si>
  <si>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</si>
  <si>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</si>
  <si>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</si>
  <si>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</si>
  <si>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</si>
  <si>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</si>
  <si>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</si>
  <si>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</si>
  <si>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</si>
  <si>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</si>
  <si>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</si>
  <si>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</si>
  <si>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</si>
  <si>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</si>
  <si>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</si>
  <si>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</si>
  <si>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</si>
  <si>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</si>
  <si>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</si>
  <si>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</si>
  <si>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</si>
  <si>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</si>
  <si>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</si>
  <si>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</si>
  <si>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</si>
  <si>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</si>
  <si>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</si>
  <si>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</si>
  <si>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</si>
  <si>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</si>
  <si>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</si>
  <si>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</si>
  <si>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</si>
  <si>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</si>
  <si>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</si>
  <si>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</si>
  <si>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</si>
  <si>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</si>
  <si>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</si>
  <si>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</si>
  <si>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</si>
  <si>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</si>
  <si>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</si>
  <si>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</si>
  <si>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</si>
  <si>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</si>
  <si>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</si>
  <si>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</si>
  <si>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</si>
  <si>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</si>
  <si>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</si>
  <si>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</si>
  <si>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</si>
  <si>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</si>
  <si>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</si>
  <si>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</si>
  <si>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</si>
  <si>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</si>
  <si>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</si>
  <si>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</si>
  <si>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</si>
  <si>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</si>
  <si>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</si>
  <si>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</si>
  <si>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</si>
  <si>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</si>
  <si>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</si>
  <si>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</si>
  <si>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</si>
  <si>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</si>
  <si>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</si>
  <si>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</si>
  <si>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</si>
  <si>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</si>
  <si>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</si>
  <si>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</si>
  <si>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</si>
  <si>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</si>
  <si>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</si>
  <si>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</si>
  <si>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</si>
  <si>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</si>
  <si>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</si>
  <si>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</si>
  <si>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</si>
  <si>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</si>
  <si>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</si>
  <si>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</si>
  <si>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</si>
  <si>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</si>
  <si>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</si>
  <si>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</si>
  <si>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</si>
  <si>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</si>
  <si>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</si>
  <si>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</si>
  <si>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</si>
  <si>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</si>
  <si>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</si>
  <si>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</si>
  <si>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</si>
  <si>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</si>
  <si>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</si>
  <si>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</si>
  <si>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</si>
  <si>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</si>
  <si>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</si>
  <si>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</si>
  <si>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</si>
  <si>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</si>
  <si>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</si>
  <si>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</si>
  <si>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</si>
  <si>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</si>
  <si>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</si>
  <si>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</si>
  <si>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</si>
  <si>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</si>
  <si>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</si>
  <si>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</si>
  <si>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</si>
  <si>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</si>
  <si>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</si>
  <si>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</si>
  <si>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</si>
  <si>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</si>
  <si>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</si>
  <si>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</si>
  <si>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</si>
  <si>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</si>
  <si>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</si>
  <si>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</si>
  <si>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</si>
  <si>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</si>
  <si>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</si>
  <si>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</si>
  <si>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</si>
  <si>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</si>
  <si>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</si>
  <si>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</si>
  <si>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</si>
  <si>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</si>
  <si>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</si>
  <si>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</si>
  <si>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</si>
  <si>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</si>
  <si>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</si>
  <si>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</si>
  <si>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</si>
  <si>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</si>
  <si>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</si>
  <si>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</si>
  <si>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</si>
  <si>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</si>
  <si>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</si>
  <si>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</si>
  <si>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</si>
  <si>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</si>
  <si>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</si>
  <si>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</si>
  <si>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</si>
  <si>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</si>
  <si>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</si>
  <si>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</si>
  <si>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</si>
  <si>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</si>
  <si>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</si>
  <si>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</si>
  <si>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</si>
  <si>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</si>
  <si>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</si>
  <si>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</si>
  <si>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</si>
  <si>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</si>
  <si>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</si>
  <si>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</si>
  <si>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</si>
  <si>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</si>
  <si>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</si>
  <si>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</si>
  <si>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</si>
  <si>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</si>
  <si>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</si>
  <si>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</si>
  <si>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</si>
  <si>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</si>
  <si>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</si>
  <si>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</si>
  <si>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</si>
  <si>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</si>
  <si>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</si>
  <si>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</si>
  <si>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</si>
  <si>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</si>
  <si>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</si>
  <si>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</si>
  <si>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</si>
  <si>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</si>
  <si>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</si>
  <si>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</si>
  <si>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</si>
  <si>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</si>
  <si>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</si>
  <si>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</si>
  <si>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</si>
  <si>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</si>
  <si>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</si>
  <si>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</si>
  <si>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</si>
  <si>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</si>
  <si>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</si>
  <si>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</si>
  <si>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</si>
  <si>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</si>
  <si>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</si>
  <si>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</si>
  <si>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</si>
  <si>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</si>
  <si>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</si>
  <si>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</si>
  <si>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</si>
  <si>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</si>
  <si>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</si>
  <si>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</si>
  <si>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</si>
  <si>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</si>
  <si>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</si>
  <si>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</si>
  <si>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</si>
  <si>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</si>
  <si>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</si>
  <si>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</si>
  <si>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</si>
  <si>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</si>
  <si>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</si>
  <si>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</si>
  <si>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</si>
  <si>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</si>
  <si>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</si>
  <si>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</si>
  <si>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</si>
  <si>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</si>
  <si>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</si>
  <si>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</si>
  <si>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</si>
  <si>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</si>
  <si>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</si>
  <si>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</si>
  <si>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</si>
  <si>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</si>
  <si>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</si>
  <si>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</si>
  <si>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</si>
  <si>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</si>
  <si>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</si>
  <si>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</si>
  <si>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</si>
  <si>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</si>
  <si>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</si>
  <si>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</si>
  <si>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</si>
  <si>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</si>
  <si>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</si>
  <si>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</si>
  <si>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</si>
  <si>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</si>
  <si>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</si>
  <si>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</si>
  <si>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</si>
  <si>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</si>
  <si>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</si>
  <si>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</si>
  <si>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</si>
  <si>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</si>
  <si>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</si>
  <si>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</si>
  <si>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</si>
  <si>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</si>
  <si>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</si>
  <si>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</si>
  <si>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</si>
  <si>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</si>
  <si>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</si>
  <si>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</si>
  <si>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</si>
  <si>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</si>
  <si>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</si>
  <si>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</si>
  <si>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</si>
  <si>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</si>
  <si>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</si>
  <si>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</si>
  <si>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</si>
  <si>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</si>
  <si>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</si>
  <si>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</si>
  <si>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</si>
  <si>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</si>
  <si>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</si>
  <si>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</si>
  <si>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</si>
  <si>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</si>
  <si>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</si>
  <si>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</si>
  <si>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</si>
  <si>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</si>
  <si>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</si>
  <si>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</si>
  <si>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</si>
  <si>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</si>
  <si>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</si>
  <si>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</si>
  <si>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</si>
  <si>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</si>
  <si>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</si>
  <si>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</si>
  <si>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</si>
  <si>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</si>
  <si>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</si>
  <si>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</si>
  <si>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</si>
  <si>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</si>
  <si>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</si>
  <si>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</si>
  <si>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</si>
  <si>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</si>
  <si>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</si>
  <si>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</si>
  <si>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</si>
  <si>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</si>
  <si>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</si>
  <si>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</si>
  <si>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</si>
  <si>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</si>
  <si>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</si>
  <si>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</si>
  <si>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</si>
  <si>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</si>
  <si>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</si>
  <si>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</si>
  <si>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</si>
  <si>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</si>
  <si>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</si>
  <si>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</si>
  <si>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</si>
  <si>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</si>
  <si>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</si>
  <si>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</si>
  <si>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</si>
  <si>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</si>
  <si>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</si>
  <si>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</si>
  <si>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</si>
  <si>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</si>
  <si>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</si>
  <si>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</si>
  <si>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</si>
  <si>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</si>
  <si>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</si>
  <si>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</si>
  <si>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</si>
  <si>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</si>
  <si>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</si>
  <si>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</si>
  <si>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</si>
  <si>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</si>
  <si>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</si>
  <si>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</si>
  <si>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</si>
  <si>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</si>
  <si>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</si>
  <si>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</si>
  <si>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</si>
  <si>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</si>
  <si>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</si>
  <si>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</si>
  <si>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</si>
  <si>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</si>
  <si>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</si>
  <si>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</si>
  <si>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</si>
  <si>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</si>
  <si>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</si>
  <si>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</si>
  <si>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</si>
  <si>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</si>
  <si>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</si>
  <si>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</si>
  <si>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</si>
  <si>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</si>
  <si>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</si>
  <si>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</si>
  <si>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</si>
  <si>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</si>
  <si>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</si>
  <si>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</si>
  <si>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</si>
  <si>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</si>
  <si>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</si>
  <si>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</si>
  <si>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</si>
  <si>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</si>
  <si>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</si>
  <si>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</si>
  <si>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</si>
  <si>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</si>
  <si>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</si>
  <si>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</si>
  <si>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</si>
  <si>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</si>
  <si>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</si>
  <si>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</si>
  <si>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</si>
  <si>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</si>
  <si>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</si>
  <si>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</si>
  <si>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</si>
  <si>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</si>
  <si>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</si>
  <si>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</si>
  <si>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</si>
  <si>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</si>
  <si>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</si>
  <si>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</si>
  <si>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</si>
  <si>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</si>
  <si>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</si>
  <si>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</si>
  <si>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</si>
  <si>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</si>
  <si>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</si>
  <si>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</si>
  <si>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</si>
  <si>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</si>
  <si>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</si>
  <si>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</si>
  <si>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</si>
  <si>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</si>
  <si>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</si>
  <si>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</si>
  <si>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</si>
  <si>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</si>
  <si>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</si>
  <si>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</si>
  <si>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</si>
  <si>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</si>
  <si>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</si>
  <si>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</si>
  <si>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</si>
  <si>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</si>
  <si>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</si>
  <si>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</si>
  <si>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</si>
  <si>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</si>
  <si>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</si>
  <si>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</si>
  <si>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</si>
  <si>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</si>
  <si>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</si>
  <si>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</si>
  <si>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</si>
  <si>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</si>
  <si>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</si>
  <si>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</si>
  <si>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</si>
  <si>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</si>
  <si>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</si>
  <si>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</si>
  <si>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</si>
  <si>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</si>
  <si>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</si>
  <si>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</si>
  <si>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</si>
  <si>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</si>
  <si>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</si>
  <si>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</si>
  <si>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</si>
  <si>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</si>
  <si>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</si>
  <si>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</si>
  <si>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</si>
  <si>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</si>
  <si>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</si>
  <si>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</si>
  <si>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</si>
  <si>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</si>
  <si>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</si>
  <si>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</si>
  <si>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</si>
  <si>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</si>
  <si>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</si>
  <si>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</si>
  <si>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</si>
  <si>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</si>
  <si>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</si>
  <si>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</si>
  <si>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</si>
  <si>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</si>
  <si>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</si>
  <si>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</si>
  <si>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</si>
  <si>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</si>
  <si>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</si>
  <si>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</si>
  <si>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</si>
  <si>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</si>
  <si>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</si>
  <si>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</si>
  <si>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</si>
  <si>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</si>
  <si>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</si>
  <si>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</si>
  <si>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</si>
  <si>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</si>
  <si>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</si>
  <si>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</si>
  <si>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</si>
  <si>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</si>
  <si>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</si>
  <si>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</si>
  <si>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</si>
  <si>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</si>
  <si>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</si>
  <si>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</si>
  <si>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</si>
  <si>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</si>
  <si>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</si>
  <si>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</si>
  <si>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</si>
  <si>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</si>
  <si>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</si>
  <si>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</si>
  <si>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</si>
  <si>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</si>
  <si>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</si>
  <si>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</si>
  <si>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</si>
  <si>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</si>
  <si>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</si>
  <si>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</si>
  <si>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</si>
  <si>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</si>
  <si>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</si>
  <si>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</si>
  <si>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</si>
  <si>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</si>
  <si>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</si>
  <si>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</si>
  <si>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</si>
  <si>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</si>
  <si>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</si>
  <si>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</si>
  <si>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</si>
  <si>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</si>
  <si>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</si>
  <si>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</si>
  <si>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</si>
  <si>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</si>
  <si>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</si>
  <si>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</si>
  <si>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</si>
  <si>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</si>
  <si>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</si>
  <si>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</si>
  <si>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</si>
  <si>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</si>
  <si>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</si>
  <si>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</si>
  <si>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</si>
  <si>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</si>
  <si>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</si>
  <si>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</si>
  <si>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</si>
  <si>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</si>
  <si>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</si>
  <si>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</si>
  <si>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</si>
  <si>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</si>
  <si>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</si>
  <si>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</si>
  <si>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</si>
  <si>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</si>
  <si>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</si>
  <si>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</si>
  <si>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</si>
  <si>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</si>
  <si>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</si>
  <si>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</si>
  <si>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</si>
  <si>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</si>
  <si>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</si>
  <si>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</si>
  <si>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</si>
  <si>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</si>
  <si>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</si>
  <si>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</si>
  <si>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</si>
  <si>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</si>
  <si>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</si>
  <si>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</si>
  <si>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</si>
  <si>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</si>
  <si>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</si>
  <si>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</si>
  <si>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</si>
  <si>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</si>
  <si>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</si>
  <si>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</si>
  <si>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</si>
  <si>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</si>
  <si>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</si>
  <si>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</si>
  <si>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</si>
  <si>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</si>
  <si>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</si>
  <si>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</si>
  <si>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</si>
  <si>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</si>
  <si>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</si>
  <si>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</si>
  <si>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</si>
  <si>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</si>
  <si>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</si>
  <si>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</si>
  <si>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</si>
  <si>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</si>
  <si>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</si>
  <si>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</si>
  <si>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</si>
  <si>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</si>
  <si>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</si>
  <si>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</si>
  <si>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</si>
  <si>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</si>
  <si>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</si>
  <si>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</si>
  <si>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</si>
  <si>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</si>
  <si>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</si>
  <si>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</si>
  <si>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</si>
  <si>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</si>
  <si>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</si>
  <si>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</si>
  <si>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</si>
  <si>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</si>
  <si>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</si>
  <si>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</si>
  <si>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</si>
  <si>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</si>
  <si>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</si>
  <si>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</si>
  <si>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</si>
  <si>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</si>
  <si>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</si>
  <si>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</si>
  <si>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</si>
  <si>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</si>
  <si>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</si>
  <si>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</si>
  <si>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</si>
  <si>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</si>
  <si>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</si>
  <si>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</si>
  <si>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</si>
  <si>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</si>
  <si>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</si>
  <si>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</si>
  <si>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</si>
  <si>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</si>
  <si>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</si>
  <si>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</si>
  <si>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</si>
  <si>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</si>
  <si>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</si>
  <si>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</si>
  <si>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</si>
  <si>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</si>
  <si>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</si>
  <si>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</si>
  <si>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</si>
  <si>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</si>
  <si>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</si>
  <si>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</si>
  <si>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</si>
  <si>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</si>
  <si>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</si>
  <si>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</si>
  <si>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</si>
  <si>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</si>
  <si>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</si>
  <si>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</si>
  <si>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</si>
  <si>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</si>
  <si>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</si>
  <si>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</si>
  <si>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</si>
  <si>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</si>
  <si>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</si>
  <si>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</si>
  <si>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</si>
  <si>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</si>
  <si>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</si>
  <si>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</si>
  <si>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</si>
  <si>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</si>
  <si>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</si>
  <si>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</si>
  <si>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</si>
  <si>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</si>
  <si>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</si>
  <si>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</si>
  <si>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</si>
  <si>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</si>
  <si>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</si>
  <si>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</si>
  <si>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</si>
  <si>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</si>
  <si>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</si>
  <si>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</si>
  <si>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</si>
  <si>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</si>
  <si>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</si>
  <si>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</si>
  <si>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</si>
  <si>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</si>
  <si>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</si>
  <si>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</si>
  <si>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</si>
  <si>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</si>
  <si>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</si>
  <si>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</si>
  <si>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</si>
  <si>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</si>
  <si>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</si>
  <si>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</si>
  <si>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</si>
  <si>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</si>
  <si>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</si>
  <si>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</si>
  <si>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</si>
  <si>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</si>
  <si>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</si>
  <si>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</si>
  <si>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</si>
  <si>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</si>
  <si>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</si>
  <si>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</si>
  <si>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</si>
  <si>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</si>
  <si>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</si>
  <si>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</si>
  <si>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</si>
  <si>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</si>
  <si>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</si>
  <si>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</si>
  <si>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</si>
  <si>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</si>
  <si>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</si>
  <si>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</si>
  <si>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</si>
  <si>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</si>
  <si>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</si>
  <si>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</si>
  <si>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</si>
  <si>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</si>
  <si>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</si>
  <si>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</si>
  <si>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</si>
  <si>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</si>
  <si>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</si>
  <si>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</si>
  <si>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</si>
  <si>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</si>
  <si>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</si>
  <si>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</si>
  <si>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</si>
  <si>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</si>
  <si>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</si>
  <si>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</si>
  <si>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</si>
  <si>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</si>
  <si>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</si>
  <si>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</si>
  <si>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</si>
  <si>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</si>
  <si>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</si>
  <si>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</si>
  <si>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</si>
  <si>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</si>
  <si>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</si>
  <si>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</si>
  <si>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</si>
  <si>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</si>
  <si>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</si>
  <si>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</si>
  <si>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</si>
  <si>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</si>
  <si>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</si>
  <si>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</si>
  <si>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</si>
  <si>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</si>
  <si>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</si>
  <si>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</si>
  <si>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</si>
  <si>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</si>
  <si>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</si>
  <si>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</si>
  <si>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</si>
  <si>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</si>
  <si>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</si>
  <si>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</si>
  <si>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</si>
  <si>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</si>
  <si>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</si>
  <si>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</si>
  <si>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</si>
  <si>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</si>
  <si>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</si>
  <si>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</si>
  <si>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</si>
  <si>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</si>
  <si>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</si>
  <si>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</si>
  <si>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</si>
  <si>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</si>
  <si>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</si>
  <si>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</si>
  <si>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</si>
  <si>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</si>
  <si>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</si>
  <si>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</si>
  <si>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</si>
  <si>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</si>
  <si>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</si>
  <si>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</si>
  <si>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</si>
  <si>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</si>
  <si>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</si>
  <si>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</si>
  <si>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</si>
  <si>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</si>
  <si>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</si>
  <si>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</si>
  <si>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</si>
  <si>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</si>
  <si>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</si>
  <si>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</si>
  <si>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</si>
  <si>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</si>
  <si>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</si>
  <si>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</si>
  <si>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</si>
  <si>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</si>
  <si>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</si>
  <si>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</si>
  <si>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</si>
  <si>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</si>
  <si>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</si>
  <si>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</si>
  <si>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</si>
  <si>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</si>
  <si>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</si>
  <si>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</si>
  <si>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</si>
  <si>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</si>
  <si>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</si>
  <si>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</si>
  <si>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</si>
  <si>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</si>
  <si>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</si>
  <si>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</si>
  <si>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</si>
  <si>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</si>
  <si>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</si>
  <si>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</si>
  <si>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</si>
  <si>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</si>
  <si>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</si>
  <si>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</si>
  <si>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</si>
  <si>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</si>
  <si>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</si>
  <si>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</si>
  <si>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</si>
  <si>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</si>
  <si>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</si>
  <si>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</si>
  <si>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</si>
  <si>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</si>
  <si>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</si>
  <si>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</si>
  <si>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</si>
  <si>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</si>
  <si>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</si>
  <si>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</si>
  <si>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</si>
  <si>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</si>
  <si>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</si>
  <si>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</si>
  <si>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</si>
  <si>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</si>
  <si>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</si>
  <si>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</si>
  <si>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</si>
  <si>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</si>
  <si>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</si>
  <si>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</si>
  <si>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</si>
  <si>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</si>
  <si>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</si>
  <si>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</si>
  <si>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</si>
  <si>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</si>
  <si>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</si>
  <si>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</si>
  <si>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</si>
  <si>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</si>
  <si>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</si>
  <si>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</si>
  <si>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</si>
  <si>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</si>
  <si>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</si>
  <si>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</si>
  <si>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</si>
  <si>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</si>
  <si>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</si>
  <si>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</si>
  <si>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</si>
  <si>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</si>
  <si>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</si>
  <si>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</si>
  <si>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</si>
  <si>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</si>
  <si>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</si>
  <si>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</si>
  <si>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</si>
  <si>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</si>
  <si>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</si>
  <si>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</si>
  <si>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</si>
  <si>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</si>
  <si>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</si>
  <si>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</si>
  <si>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</si>
  <si>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</si>
  <si>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</si>
  <si>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</si>
  <si>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</si>
  <si>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</si>
  <si>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</si>
  <si>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</si>
  <si>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</si>
  <si>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</si>
  <si>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</si>
  <si>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</si>
  <si>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</si>
  <si>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</si>
  <si>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</si>
  <si>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</si>
  <si>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</si>
  <si>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</si>
  <si>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</si>
  <si>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</si>
  <si>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</si>
  <si>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</si>
  <si>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</si>
  <si>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</si>
  <si>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</si>
  <si>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</si>
  <si>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</si>
  <si>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</si>
  <si>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</si>
  <si>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</si>
  <si>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</si>
  <si>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</si>
  <si>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</si>
  <si>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</si>
  <si>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</si>
  <si>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</si>
  <si>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</si>
  <si>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</si>
  <si>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</si>
  <si>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</si>
  <si>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</si>
  <si>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</si>
  <si>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</si>
  <si>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</si>
  <si>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</si>
  <si>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</si>
  <si>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</si>
  <si>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</si>
  <si>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</si>
  <si>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</si>
  <si>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</si>
  <si>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</si>
  <si>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</si>
  <si>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</si>
  <si>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</si>
  <si>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</si>
  <si>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</si>
  <si>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</si>
  <si>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</si>
  <si>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</si>
  <si>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</si>
  <si>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</si>
  <si>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</si>
  <si>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</si>
  <si>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</si>
  <si>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</si>
  <si>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</si>
  <si>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</si>
  <si>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</si>
  <si>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</si>
  <si>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</si>
  <si>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</si>
  <si>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</si>
  <si>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</si>
  <si>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</si>
  <si>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</si>
  <si>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</si>
  <si>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</si>
  <si>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</si>
  <si>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</si>
  <si>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</si>
  <si>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</si>
  <si>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</si>
  <si>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</si>
  <si>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</si>
  <si>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</si>
  <si>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</si>
  <si>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</si>
  <si>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</si>
  <si>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</si>
  <si>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</si>
  <si>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</si>
  <si>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</si>
  <si>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</si>
  <si>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</si>
  <si>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</si>
  <si>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</si>
  <si>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</si>
  <si>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</si>
  <si>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</si>
  <si>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</si>
  <si>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</si>
  <si>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</si>
  <si>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</si>
  <si>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</si>
  <si>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</si>
  <si>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</si>
  <si>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</si>
  <si>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</si>
  <si>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</si>
  <si>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</si>
  <si>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</si>
  <si>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</si>
  <si>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</si>
  <si>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</si>
  <si>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</si>
  <si>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</si>
  <si>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</si>
  <si>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</si>
  <si>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</si>
  <si>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</si>
  <si>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</si>
  <si>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</si>
  <si>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</si>
  <si>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</si>
  <si>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</si>
  <si>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</si>
  <si>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</si>
  <si>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</si>
  <si>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</si>
  <si>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</si>
  <si>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</si>
  <si>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</si>
  <si>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</si>
  <si>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</si>
  <si>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</si>
  <si>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</si>
  <si>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</si>
  <si>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</si>
  <si>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</si>
  <si>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</si>
  <si>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</si>
  <si>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</si>
  <si>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</si>
  <si>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</si>
  <si>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</si>
  <si>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</si>
  <si>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</si>
  <si>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</si>
  <si>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</si>
  <si>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</si>
  <si>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</si>
  <si>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</si>
  <si>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</si>
  <si>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</si>
  <si>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</si>
  <si>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</si>
  <si>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</si>
  <si>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</si>
  <si>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</si>
  <si>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</si>
  <si>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</si>
  <si>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</si>
  <si>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</si>
  <si>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</si>
  <si>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</si>
  <si>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</si>
  <si>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</si>
  <si>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</si>
  <si>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</si>
  <si>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</si>
  <si>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</si>
  <si>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</si>
  <si>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</si>
  <si>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</si>
  <si>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</si>
  <si>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</si>
  <si>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</si>
  <si>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</si>
  <si>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</si>
  <si>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</si>
  <si>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</si>
  <si>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</si>
  <si>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</si>
  <si>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</si>
  <si>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</si>
  <si>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</si>
  <si>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</si>
  <si>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</si>
  <si>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</si>
  <si>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</si>
  <si>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</si>
  <si>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</si>
  <si>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</si>
  <si>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</si>
  <si>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</si>
  <si>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</si>
  <si>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</si>
  <si>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</si>
  <si>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</si>
  <si>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</si>
  <si>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</si>
  <si>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</si>
  <si>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</si>
  <si>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</si>
  <si>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</si>
  <si>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</si>
  <si>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</si>
  <si>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</si>
  <si>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</si>
  <si>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</si>
  <si>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</si>
  <si>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</si>
  <si>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</si>
  <si>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</si>
  <si>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</si>
  <si>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</si>
  <si>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</si>
  <si>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</si>
  <si>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</si>
  <si>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</si>
  <si>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</si>
  <si>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</si>
  <si>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</si>
  <si>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</si>
  <si>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</si>
  <si>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</si>
  <si>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</si>
  <si>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</si>
  <si>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</si>
  <si>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</si>
  <si>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</si>
  <si>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</si>
  <si>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</si>
  <si>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</si>
  <si>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</si>
  <si>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</si>
  <si>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</si>
  <si>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</si>
  <si>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</si>
  <si>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</si>
  <si>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</si>
  <si>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</si>
  <si>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</si>
  <si>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</si>
  <si>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</si>
  <si>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</si>
  <si>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</si>
  <si>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</si>
  <si>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</si>
  <si>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</si>
  <si>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</si>
  <si>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</si>
  <si>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</si>
  <si>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</si>
  <si>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</si>
  <si>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</si>
  <si>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</si>
  <si>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</si>
  <si>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</si>
  <si>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</si>
  <si>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</si>
  <si>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</si>
  <si>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</si>
  <si>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</si>
  <si>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</si>
  <si>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</si>
  <si>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</si>
  <si>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</si>
  <si>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</si>
  <si>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</si>
  <si>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</si>
  <si>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</si>
  <si>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</si>
  <si>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</si>
  <si>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</si>
  <si>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</si>
  <si>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</si>
  <si>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</si>
  <si>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</si>
  <si>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</si>
  <si>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</si>
  <si>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</si>
  <si>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</si>
  <si>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</si>
  <si>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</si>
  <si>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</si>
  <si>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</si>
  <si>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</si>
  <si>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</si>
  <si>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</si>
  <si>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</si>
  <si>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</si>
  <si>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</si>
  <si>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</si>
  <si>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</si>
  <si>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</si>
  <si>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</si>
  <si>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</si>
  <si>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</si>
  <si>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</si>
  <si>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</si>
  <si>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</si>
  <si>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</si>
  <si>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</si>
  <si>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</si>
  <si>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</si>
  <si>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</si>
  <si>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</si>
  <si>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</si>
  <si>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</si>
  <si>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</si>
  <si>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</si>
  <si>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</si>
  <si>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</si>
  <si>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</si>
  <si>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</si>
  <si>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</si>
  <si>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</si>
  <si>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</si>
  <si>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</si>
  <si>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</si>
  <si>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</si>
  <si>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</si>
  <si>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</si>
  <si>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</si>
  <si>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</si>
  <si>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</si>
  <si>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</si>
  <si>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</si>
  <si>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</si>
  <si>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</si>
  <si>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</si>
  <si>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</si>
  <si>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</si>
  <si>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</si>
  <si>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</si>
  <si>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</si>
  <si>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</si>
  <si>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</si>
  <si>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</si>
  <si>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</si>
  <si>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</si>
  <si>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</si>
  <si>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</si>
  <si>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</si>
  <si>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</si>
  <si>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</si>
  <si>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</si>
  <si>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</si>
  <si>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</si>
  <si>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</si>
  <si>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</si>
  <si>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</si>
  <si>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</si>
  <si>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</si>
  <si>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</si>
  <si>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</si>
  <si>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</si>
  <si>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</si>
  <si>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</si>
  <si>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</si>
  <si>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</si>
  <si>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</si>
  <si>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</si>
  <si>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</si>
  <si>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</si>
  <si>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</si>
  <si>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</si>
  <si>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</si>
  <si>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</si>
  <si>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</si>
  <si>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</si>
  <si>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</si>
  <si>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</si>
  <si>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</si>
  <si>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</si>
  <si>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</si>
  <si>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</si>
  <si>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</si>
  <si>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</si>
  <si>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</si>
  <si>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</si>
  <si>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</si>
  <si>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</si>
  <si>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</si>
  <si>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</si>
  <si>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</si>
  <si>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</si>
  <si>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</si>
  <si>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</si>
  <si>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</si>
  <si>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</si>
  <si>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</si>
  <si>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</si>
  <si>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</si>
  <si>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</si>
  <si>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</si>
  <si>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</si>
  <si>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</si>
  <si>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</si>
  <si>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</si>
  <si>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</si>
  <si>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</si>
  <si>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</si>
  <si>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</si>
  <si>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</si>
  <si>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</si>
  <si>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</si>
  <si>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</si>
  <si>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</si>
  <si>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</si>
  <si>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</si>
  <si>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</si>
  <si>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</si>
  <si>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</si>
  <si>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</si>
  <si>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</si>
  <si>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</si>
  <si>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</si>
  <si>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</si>
  <si>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</si>
  <si>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</si>
  <si>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</si>
  <si>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</si>
  <si>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</si>
  <si>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</si>
  <si>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</si>
  <si>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</si>
  <si>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</si>
  <si>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</si>
  <si>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</si>
  <si>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</si>
  <si>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</si>
  <si>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</si>
  <si>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</si>
  <si>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</si>
  <si>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</si>
  <si>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</si>
  <si>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</si>
  <si>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</si>
  <si>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</si>
  <si>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</si>
  <si>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</si>
  <si>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</si>
  <si>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</si>
  <si>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</si>
  <si>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</si>
  <si>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</si>
  <si>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</si>
  <si>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</si>
  <si>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</si>
  <si>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</si>
  <si>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</si>
  <si>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</si>
  <si>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</si>
  <si>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</si>
  <si>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</si>
  <si>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</si>
  <si>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</si>
  <si>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</si>
  <si>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</si>
  <si>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</si>
  <si>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</si>
  <si>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</si>
  <si>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</si>
  <si>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</si>
  <si>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</si>
  <si>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</si>
  <si>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</si>
  <si>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</si>
  <si>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</si>
  <si>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</si>
  <si>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</si>
  <si>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</si>
  <si>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</si>
  <si>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</si>
  <si>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</si>
  <si>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</si>
  <si>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</si>
  <si>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</si>
  <si>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</si>
  <si>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</si>
  <si>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</si>
  <si>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</si>
  <si>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</si>
  <si>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</si>
  <si>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</si>
  <si>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</si>
  <si>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</si>
  <si>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</si>
  <si>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</si>
  <si>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</si>
  <si>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</si>
  <si>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</si>
  <si>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</si>
  <si>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</si>
  <si>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</si>
  <si>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</si>
  <si>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</si>
  <si>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</si>
  <si>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</si>
  <si>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</si>
  <si>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</si>
  <si>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</si>
  <si>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</si>
  <si>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</si>
  <si>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</si>
  <si>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</si>
  <si>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</si>
  <si>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</si>
  <si>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</si>
  <si>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</si>
  <si>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</si>
  <si>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</si>
  <si>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</si>
  <si>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</si>
  <si>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</si>
  <si>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</si>
  <si>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</si>
  <si>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</si>
  <si>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</si>
  <si>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</si>
  <si>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</si>
  <si>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</si>
  <si>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</si>
  <si>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</si>
  <si>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</si>
  <si>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</si>
  <si>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</si>
  <si>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</si>
  <si>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</si>
  <si>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</si>
  <si>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</si>
  <si>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</si>
  <si>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</si>
  <si>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</si>
  <si>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</si>
  <si>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</si>
  <si>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</si>
  <si>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</si>
  <si>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</si>
  <si>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</si>
  <si>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</si>
  <si>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</si>
  <si>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</si>
  <si>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</si>
  <si>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</si>
  <si>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</si>
  <si>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</si>
  <si>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</si>
  <si>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</si>
  <si>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</si>
  <si>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</si>
  <si>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</si>
  <si>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</si>
  <si>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</si>
  <si>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</si>
  <si>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</si>
  <si>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</si>
  <si>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</si>
  <si>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</si>
  <si>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</si>
  <si>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</si>
  <si>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</si>
  <si>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</si>
  <si>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</si>
  <si>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</si>
  <si>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</si>
  <si>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</si>
  <si>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</si>
  <si>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</si>
  <si>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</si>
  <si>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</si>
  <si>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</si>
  <si>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</si>
  <si>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</si>
  <si>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</si>
  <si>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</si>
  <si>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</si>
  <si>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</si>
  <si>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</si>
  <si>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</si>
  <si>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</si>
  <si>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</si>
  <si>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</si>
  <si>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</si>
  <si>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</si>
  <si>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</si>
  <si>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</si>
  <si>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</si>
  <si>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</si>
  <si>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</si>
  <si>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</si>
  <si>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</si>
  <si>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</si>
  <si>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</si>
  <si>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</si>
  <si>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</si>
  <si>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</si>
  <si>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</si>
  <si>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</si>
  <si>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</si>
  <si>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</si>
  <si>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</si>
  <si>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</si>
  <si>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</si>
  <si>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</si>
  <si>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</si>
  <si>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</si>
  <si>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</si>
  <si>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</si>
  <si>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</si>
  <si>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</si>
  <si>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</si>
  <si>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</si>
  <si>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</si>
  <si>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</si>
  <si>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</si>
  <si>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</si>
  <si>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</si>
  <si>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</si>
  <si>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</si>
  <si>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</si>
  <si>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</si>
  <si>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</si>
  <si>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</si>
  <si>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</si>
  <si>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</si>
  <si>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</si>
  <si>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</si>
  <si>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</si>
  <si>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</si>
  <si>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</si>
  <si>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</si>
  <si>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</si>
  <si>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</si>
  <si>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</si>
  <si>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</si>
  <si>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</si>
  <si>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</si>
  <si>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</si>
  <si>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</si>
  <si>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</si>
  <si>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</si>
  <si>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</si>
  <si>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</si>
  <si>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</si>
  <si>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</si>
  <si>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</si>
  <si>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</si>
  <si>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</si>
  <si>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</si>
  <si>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</si>
  <si>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</si>
  <si>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</si>
  <si>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</si>
  <si>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</si>
  <si>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</si>
  <si>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</si>
  <si>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</si>
  <si>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</si>
  <si>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</si>
  <si>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</si>
  <si>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</si>
  <si>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</si>
  <si>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</si>
  <si>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</si>
  <si>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</si>
  <si>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</si>
  <si>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</si>
  <si>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</si>
  <si>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</si>
  <si>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</si>
  <si>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</si>
  <si>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</si>
  <si>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</si>
  <si>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</si>
  <si>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</si>
  <si>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</si>
  <si>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</si>
  <si>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</si>
  <si>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</si>
  <si>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</si>
  <si>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</si>
  <si>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</si>
  <si>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</si>
  <si>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</si>
  <si>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</si>
  <si>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</si>
  <si>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</si>
  <si>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</si>
  <si>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</si>
  <si>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</si>
  <si>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</si>
  <si>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</si>
  <si>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</si>
  <si>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</si>
  <si>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</si>
  <si>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</si>
  <si>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</si>
  <si>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</si>
  <si>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</si>
  <si>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</si>
  <si>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</si>
  <si>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</si>
  <si>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</si>
  <si>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</si>
  <si>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</si>
  <si>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</si>
  <si>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</si>
  <si>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</si>
  <si>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</si>
  <si>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</si>
  <si>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</si>
  <si>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</si>
  <si>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</si>
  <si>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</si>
  <si>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</si>
  <si>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</si>
  <si>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</si>
  <si>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</si>
  <si>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</si>
  <si>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</si>
  <si>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</si>
  <si>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</si>
  <si>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</si>
  <si>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</si>
  <si>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</si>
  <si>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</si>
  <si>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</si>
  <si>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</si>
  <si>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</si>
  <si>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</si>
  <si>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</si>
  <si>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</si>
  <si>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</si>
  <si>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</si>
  <si>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</si>
  <si>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</si>
  <si>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</si>
  <si>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</si>
  <si>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</si>
  <si>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</si>
  <si>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</si>
  <si>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</si>
  <si>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</si>
  <si>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</si>
  <si>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</si>
  <si>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</si>
  <si>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</si>
  <si>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</si>
  <si>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</si>
  <si>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</si>
  <si>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</si>
  <si>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</si>
  <si>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</si>
  <si>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</si>
  <si>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</si>
  <si>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</si>
  <si>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</si>
  <si>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</si>
  <si>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</si>
  <si>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</si>
  <si>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</si>
  <si>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</si>
  <si>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</si>
  <si>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</si>
  <si>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</si>
  <si>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</si>
  <si>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</si>
  <si>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</si>
  <si>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</si>
  <si>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</si>
  <si>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</si>
  <si>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</si>
  <si>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</si>
  <si>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</si>
  <si>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</si>
  <si>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</si>
  <si>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</si>
  <si>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</si>
  <si>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</si>
  <si>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</si>
  <si>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</si>
  <si>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</si>
  <si>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</si>
  <si>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</si>
  <si>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</si>
  <si>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</si>
  <si>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</si>
  <si>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</si>
  <si>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</si>
  <si>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</si>
  <si>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</si>
  <si>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</si>
  <si>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</si>
  <si>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</si>
  <si>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</si>
  <si>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</si>
  <si>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</si>
  <si>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</si>
  <si>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</si>
  <si>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</si>
  <si>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</si>
  <si>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</si>
  <si>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</si>
  <si>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</si>
  <si>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</si>
  <si>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</si>
  <si>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</si>
  <si>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</si>
  <si>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</si>
  <si>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</si>
  <si>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</si>
  <si>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</si>
  <si>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</si>
  <si>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</si>
  <si>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</si>
  <si>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</si>
  <si>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</si>
  <si>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</si>
  <si>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</si>
  <si>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</si>
  <si>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</si>
  <si>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</si>
  <si>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</si>
  <si>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</si>
  <si>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</si>
  <si>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</si>
  <si>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</si>
  <si>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</si>
  <si>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</si>
  <si>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</si>
  <si>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</si>
  <si>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</si>
  <si>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</si>
  <si>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</si>
  <si>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</si>
  <si>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</si>
  <si>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</si>
  <si>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</si>
  <si>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</si>
  <si>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</si>
  <si>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</si>
  <si>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</si>
  <si>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</si>
  <si>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</si>
  <si>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</si>
  <si>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</si>
  <si>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</si>
  <si>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</si>
  <si>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</si>
  <si>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</si>
  <si>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</si>
  <si>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</si>
  <si>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</si>
  <si>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</si>
  <si>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</si>
  <si>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</si>
  <si>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</si>
  <si>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</si>
  <si>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</si>
  <si>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</si>
  <si>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</si>
  <si>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</si>
  <si>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</si>
  <si>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</si>
  <si>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</si>
  <si>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</si>
  <si>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</si>
  <si>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</si>
  <si>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</si>
  <si>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</si>
  <si>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</si>
  <si>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</si>
  <si>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</si>
  <si>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</si>
  <si>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</si>
  <si>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</si>
  <si>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</si>
  <si>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</si>
  <si>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</si>
  <si>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</si>
  <si>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</si>
  <si>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</si>
  <si>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</si>
  <si>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</si>
  <si>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</si>
  <si>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</si>
  <si>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</si>
  <si>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</si>
  <si>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</si>
  <si>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</si>
  <si>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</si>
  <si>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</si>
  <si>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</si>
  <si>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</si>
  <si>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</si>
  <si>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</si>
  <si>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</si>
  <si>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</si>
  <si>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</si>
  <si>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</si>
  <si>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</si>
  <si>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</si>
  <si>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</si>
  <si>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</si>
  <si>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</si>
  <si>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</si>
  <si>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</si>
  <si>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</si>
  <si>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</si>
  <si>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</si>
  <si>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</si>
  <si>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</si>
  <si>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</si>
  <si>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</si>
  <si>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</si>
  <si>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</si>
  <si>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</si>
  <si>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</si>
  <si>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</si>
  <si>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</si>
  <si>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</si>
  <si>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</si>
  <si>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</si>
  <si>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</si>
  <si>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</si>
  <si>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</si>
  <si>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</si>
  <si>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</si>
  <si>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</si>
  <si>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</si>
  <si>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</si>
  <si>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</si>
  <si>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</si>
  <si>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</si>
  <si>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</si>
  <si>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</si>
  <si>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</si>
  <si>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</si>
  <si>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</si>
  <si>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</si>
  <si>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</si>
  <si>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</si>
  <si>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</si>
  <si>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</si>
  <si>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</si>
  <si>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</si>
  <si>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</si>
  <si>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</si>
  <si>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</si>
  <si>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</si>
  <si>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</si>
  <si>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</si>
  <si>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</si>
  <si>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</si>
  <si>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</si>
  <si>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</si>
  <si>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</si>
  <si>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</si>
  <si>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</si>
  <si>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</si>
  <si>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</si>
  <si>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</si>
  <si>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</si>
  <si>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</si>
  <si>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</si>
  <si>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</si>
  <si>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</si>
  <si>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</si>
  <si>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</si>
  <si>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</si>
  <si>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</si>
  <si>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</si>
  <si>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</si>
  <si>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</si>
  <si>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</si>
  <si>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</si>
  <si>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</si>
  <si>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</si>
  <si>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</si>
  <si>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</si>
  <si>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</si>
  <si>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</si>
  <si>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</si>
  <si>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</si>
  <si>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</si>
  <si>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</si>
  <si>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</si>
  <si>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</si>
  <si>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</si>
  <si>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</si>
  <si>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</si>
  <si>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</si>
  <si>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</si>
  <si>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</si>
  <si>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</si>
  <si>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</si>
  <si>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</si>
  <si>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</si>
  <si>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</si>
  <si>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</si>
  <si>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</si>
  <si>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</si>
  <si>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</si>
  <si>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</si>
  <si>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</si>
  <si>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</si>
  <si>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</si>
  <si>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</si>
  <si>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</si>
  <si>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</si>
  <si>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</si>
  <si>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</si>
  <si>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</si>
  <si>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</si>
  <si>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</si>
  <si>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</si>
  <si>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</si>
  <si>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</si>
  <si>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</si>
  <si>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</si>
  <si>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</si>
  <si>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</si>
  <si>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</si>
  <si>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</si>
  <si>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</si>
  <si>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</si>
  <si>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</si>
  <si>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</si>
  <si>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</si>
  <si>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</si>
  <si>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</si>
  <si>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</si>
  <si>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</si>
  <si>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</si>
  <si>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</si>
  <si>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</si>
  <si>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</si>
  <si>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</si>
  <si>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</si>
  <si>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</si>
  <si>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</si>
  <si>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</si>
  <si>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</si>
  <si>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</si>
  <si>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</si>
  <si>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</si>
  <si>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</si>
  <si>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</si>
  <si>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</si>
  <si>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</si>
  <si>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</si>
  <si>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</si>
  <si>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</si>
  <si>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</si>
  <si>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</si>
  <si>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</si>
  <si>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</si>
  <si>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</si>
  <si>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</si>
  <si>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</si>
  <si>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</si>
  <si>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</si>
  <si>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</si>
  <si>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</si>
  <si>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</si>
  <si>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</si>
  <si>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</si>
  <si>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</si>
  <si>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</si>
  <si>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</si>
  <si>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</si>
  <si>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</si>
  <si>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</si>
  <si>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</si>
  <si>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</si>
  <si>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</si>
  <si>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</si>
  <si>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</si>
  <si>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</si>
  <si>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</si>
  <si>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</si>
  <si>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</si>
  <si>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</si>
  <si>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</si>
  <si>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</si>
  <si>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</si>
  <si>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</si>
  <si>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</si>
  <si>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</si>
  <si>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</si>
  <si>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</si>
  <si>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</si>
  <si>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</si>
  <si>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</si>
  <si>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</si>
  <si>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</si>
  <si>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</si>
  <si>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</si>
  <si>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</si>
  <si>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</si>
  <si>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</si>
  <si>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</si>
  <si>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</si>
  <si>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</si>
  <si>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</si>
  <si>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</si>
  <si>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</si>
  <si>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</si>
  <si>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</si>
  <si>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</si>
  <si>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</si>
  <si>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</si>
  <si>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</si>
  <si>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</si>
  <si>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</si>
  <si>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</si>
  <si>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</si>
  <si>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</si>
  <si>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</si>
  <si>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</si>
  <si>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</si>
  <si>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</si>
  <si>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</si>
  <si>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</si>
  <si>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</si>
  <si>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</si>
  <si>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</si>
  <si>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</si>
  <si>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</si>
  <si>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</si>
  <si>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</si>
  <si>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</si>
  <si>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</si>
  <si>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</si>
  <si>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</si>
  <si>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</si>
  <si>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</si>
  <si>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</si>
  <si>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</si>
  <si>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</si>
  <si>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</si>
  <si>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</si>
  <si>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</si>
  <si>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</si>
  <si>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</si>
  <si>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</si>
  <si>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</si>
  <si>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</si>
  <si>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</si>
  <si>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</si>
  <si>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</si>
  <si>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</si>
  <si>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</si>
  <si>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</si>
  <si>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</si>
  <si>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</si>
  <si>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</si>
  <si>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</si>
  <si>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</si>
  <si>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</si>
  <si>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</si>
  <si>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</si>
  <si>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</si>
  <si>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</si>
  <si>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</si>
  <si>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</si>
  <si>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</si>
  <si>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</si>
  <si>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</si>
  <si>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</si>
  <si>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</si>
  <si>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</si>
  <si>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</si>
  <si>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</si>
  <si>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</si>
  <si>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</si>
  <si>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</si>
  <si>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</si>
  <si>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</si>
  <si>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</si>
  <si>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</si>
  <si>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</si>
  <si>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</si>
  <si>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</si>
  <si>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</si>
  <si>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</si>
  <si>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</si>
  <si>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</si>
  <si>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</si>
  <si>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</si>
  <si>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</si>
  <si>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</si>
  <si>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</si>
  <si>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</si>
  <si>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</si>
  <si>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</si>
  <si>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</si>
  <si>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</si>
  <si>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</si>
  <si>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</si>
  <si>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</si>
  <si>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</si>
  <si>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</si>
  <si>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</si>
  <si>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</si>
  <si>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</si>
  <si>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</si>
  <si>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</si>
  <si>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</si>
  <si>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</si>
  <si>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</si>
  <si>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</si>
  <si>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</si>
  <si>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</si>
  <si>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</si>
  <si>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</si>
  <si>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</si>
  <si>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</si>
  <si>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</si>
  <si>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</si>
  <si>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</si>
  <si>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</si>
  <si>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</si>
  <si>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</si>
  <si>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</si>
  <si>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</si>
  <si>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</si>
  <si>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</si>
  <si>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</si>
  <si>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</si>
  <si>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</si>
  <si>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</si>
  <si>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</si>
  <si>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</si>
  <si>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</si>
  <si>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</si>
  <si>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</si>
  <si>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</si>
  <si>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</si>
  <si>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</si>
  <si>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</si>
  <si>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</si>
  <si>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</si>
  <si>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</si>
  <si>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</si>
  <si>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</si>
  <si>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</si>
  <si>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</si>
  <si>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</si>
  <si>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</si>
  <si>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</si>
  <si>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</si>
  <si>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</si>
  <si>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</si>
  <si>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</si>
  <si>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</si>
  <si>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</si>
  <si>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</si>
  <si>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</si>
  <si>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</si>
  <si>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</si>
  <si>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</si>
  <si>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</si>
  <si>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</si>
  <si>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</si>
  <si>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</si>
  <si>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</si>
  <si>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</si>
  <si>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</si>
  <si>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</si>
  <si>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</si>
  <si>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</si>
  <si>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</si>
  <si>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</si>
  <si>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</si>
  <si>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</si>
  <si>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</si>
  <si>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</si>
  <si>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</si>
  <si>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</si>
  <si>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</si>
  <si>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</si>
  <si>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</si>
  <si>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</si>
  <si>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</si>
  <si>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</si>
  <si>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</si>
  <si>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</si>
  <si>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</si>
  <si>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</si>
  <si>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</si>
  <si>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</si>
  <si>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</si>
  <si>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</si>
  <si>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</si>
  <si>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</si>
  <si>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</si>
  <si>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</si>
  <si>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</si>
  <si>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</si>
  <si>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</si>
  <si>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</si>
  <si>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</si>
  <si>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</si>
  <si>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</si>
  <si>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</si>
  <si>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</si>
  <si>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</si>
  <si>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</si>
  <si>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</si>
  <si>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</si>
  <si>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</si>
  <si>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</si>
  <si>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</si>
  <si>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</si>
  <si>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</si>
  <si>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</si>
  <si>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</si>
  <si>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</si>
  <si>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</si>
  <si>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</si>
  <si>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</si>
  <si>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</si>
  <si>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</si>
  <si>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</si>
  <si>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</si>
  <si>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</si>
  <si>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</si>
  <si>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</si>
  <si>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</si>
  <si>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</si>
  <si>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</si>
  <si>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</si>
  <si>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</si>
  <si>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</si>
  <si>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</si>
  <si>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</si>
  <si>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</si>
  <si>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</si>
  <si>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</si>
  <si>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</si>
  <si>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</si>
  <si>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</si>
  <si>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</si>
  <si>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</si>
  <si>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</si>
  <si>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</si>
  <si>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</si>
  <si>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</si>
  <si>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</si>
  <si>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</si>
  <si>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</si>
  <si>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</si>
  <si>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</si>
  <si>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</si>
  <si>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</si>
  <si>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</si>
  <si>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</si>
  <si>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</si>
  <si>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</si>
  <si>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</si>
  <si>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</si>
  <si>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</si>
  <si>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</si>
  <si>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</si>
  <si>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</si>
  <si>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</si>
  <si>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</si>
  <si>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</si>
  <si>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</si>
  <si>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</si>
  <si>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</si>
  <si>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</si>
  <si>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</si>
  <si>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</si>
  <si>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</si>
  <si>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</si>
  <si>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</si>
  <si>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</si>
  <si>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</si>
  <si>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</si>
  <si>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</si>
  <si>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</si>
  <si>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</si>
  <si>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</si>
  <si>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</si>
  <si>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</si>
  <si>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</si>
  <si>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</si>
  <si>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</si>
  <si>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</si>
  <si>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</si>
  <si>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</si>
  <si>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</si>
  <si>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</si>
  <si>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</si>
  <si>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</si>
  <si>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</si>
  <si>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</si>
  <si>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</si>
  <si>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</si>
  <si>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</si>
  <si>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</si>
  <si>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</si>
  <si>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</si>
  <si>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</si>
  <si>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</si>
  <si>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</si>
  <si>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</si>
  <si>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</si>
  <si>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</si>
  <si>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</si>
  <si>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</si>
  <si>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</si>
  <si>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</si>
  <si>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</si>
  <si>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</si>
  <si>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</si>
  <si>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</si>
  <si>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</si>
  <si>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</si>
  <si>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</si>
  <si>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</si>
  <si>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</si>
  <si>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</si>
  <si>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</si>
  <si>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</si>
  <si>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</si>
  <si>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</si>
  <si>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</si>
  <si>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</si>
  <si>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</si>
  <si>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</si>
  <si>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</si>
  <si>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</si>
  <si>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</si>
  <si>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</si>
  <si>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</si>
  <si>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</si>
  <si>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</si>
  <si>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</si>
  <si>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</si>
  <si>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</si>
  <si>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</si>
  <si>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</si>
  <si>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</si>
  <si>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</si>
  <si>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</si>
  <si>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</si>
  <si>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</si>
  <si>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</si>
  <si>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</si>
  <si>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</si>
  <si>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</si>
  <si>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</si>
  <si>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</si>
  <si>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</si>
  <si>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</si>
  <si>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</si>
  <si>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</si>
  <si>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</si>
  <si>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</si>
  <si>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</si>
  <si>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</si>
  <si>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</si>
  <si>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</si>
  <si>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</si>
  <si>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</si>
  <si>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</si>
  <si>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</si>
  <si>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</si>
  <si>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</si>
  <si>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</si>
  <si>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</si>
  <si>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</si>
  <si>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</si>
  <si>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</si>
  <si>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</si>
  <si>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</si>
  <si>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</si>
  <si>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</si>
  <si>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</si>
  <si>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</si>
  <si>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</si>
  <si>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</si>
  <si>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</si>
  <si>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</si>
  <si>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</si>
  <si>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</si>
  <si>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</si>
  <si>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</si>
  <si>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</si>
  <si>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</si>
  <si>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</si>
  <si>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</si>
  <si>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</si>
  <si>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</si>
  <si>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</si>
  <si>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</si>
  <si>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</si>
  <si>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</si>
  <si>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</si>
  <si>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</si>
  <si>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</si>
  <si>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</si>
  <si>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</si>
  <si>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</si>
  <si>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</si>
  <si>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</si>
  <si>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</si>
  <si>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</si>
  <si>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</si>
  <si>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</si>
  <si>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</si>
  <si>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</si>
  <si>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</si>
  <si>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</si>
  <si>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</si>
  <si>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</si>
  <si>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</si>
  <si>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</si>
  <si>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</si>
  <si>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</si>
  <si>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</si>
  <si>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</si>
  <si>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</si>
  <si>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</si>
  <si>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</si>
  <si>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</si>
  <si>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</si>
  <si>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</si>
  <si>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</si>
  <si>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</si>
  <si>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</si>
  <si>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</si>
  <si>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</si>
  <si>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</si>
  <si>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</si>
  <si>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</si>
  <si>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</si>
  <si>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</si>
  <si>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</si>
  <si>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</si>
  <si>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</si>
  <si>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</si>
  <si>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</si>
  <si>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</si>
  <si>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</si>
  <si>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</si>
  <si>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</si>
  <si>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</si>
  <si>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</si>
  <si>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</si>
  <si>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</si>
  <si>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</si>
  <si>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</si>
  <si>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</si>
  <si>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</si>
  <si>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</si>
  <si>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</si>
  <si>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</si>
  <si>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</si>
  <si>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</si>
  <si>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</si>
  <si>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</si>
  <si>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</si>
  <si>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</si>
  <si>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</si>
  <si>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</si>
  <si>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</si>
  <si>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</si>
  <si>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</si>
  <si>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</si>
  <si>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</si>
  <si>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</si>
  <si>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</si>
  <si>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</si>
  <si>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</si>
  <si>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</si>
  <si>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</si>
  <si>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</si>
  <si>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</si>
  <si>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</si>
  <si>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</si>
  <si>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</si>
  <si>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</si>
  <si>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</si>
  <si>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</si>
  <si>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</si>
  <si>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</si>
  <si>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</si>
  <si>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</si>
  <si>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</si>
  <si>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</si>
  <si>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</si>
  <si>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</si>
  <si>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</si>
  <si>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</si>
  <si>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</si>
  <si>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</si>
  <si>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</si>
  <si>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</si>
  <si>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</si>
  <si>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</si>
  <si>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</si>
  <si>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</si>
  <si>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</si>
  <si>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</si>
  <si>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</si>
  <si>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</si>
  <si>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</si>
  <si>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</si>
  <si>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</si>
  <si>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</si>
  <si>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</si>
  <si>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</si>
  <si>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</si>
  <si>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</si>
  <si>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</si>
  <si>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</si>
  <si>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</si>
  <si>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</si>
  <si>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</si>
  <si>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</si>
  <si>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</si>
  <si>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</si>
  <si>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</si>
  <si>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</si>
  <si>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</si>
  <si>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</si>
  <si>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</si>
  <si>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</si>
  <si>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</si>
  <si>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</si>
  <si>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</si>
  <si>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</si>
  <si>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</si>
  <si>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</si>
  <si>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</si>
  <si>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</si>
  <si>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</si>
  <si>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</si>
  <si>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</si>
  <si>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</si>
  <si>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</si>
  <si>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</si>
  <si>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</si>
  <si>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</si>
  <si>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</si>
  <si>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</si>
  <si>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</si>
  <si>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</si>
  <si>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</si>
  <si>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</si>
  <si>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</si>
  <si>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</si>
  <si>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</si>
  <si>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</si>
  <si>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</si>
  <si>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</si>
  <si>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</si>
  <si>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</si>
  <si>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</si>
  <si>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</si>
  <si>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</si>
  <si>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</si>
  <si>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</si>
  <si>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</si>
  <si>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</si>
  <si>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</si>
  <si>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</si>
  <si>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</si>
  <si>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</si>
  <si>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</si>
  <si>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</si>
  <si>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</si>
  <si>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</si>
  <si>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</si>
  <si>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</si>
  <si>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</si>
  <si>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</si>
  <si>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</si>
  <si>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</si>
  <si>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</si>
  <si>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</si>
  <si>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</si>
  <si>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</si>
  <si>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</si>
  <si>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</si>
  <si>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</si>
  <si>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</si>
  <si>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</si>
  <si>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</si>
  <si>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</si>
  <si>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</si>
  <si>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</si>
  <si>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</si>
  <si>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</si>
  <si>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</si>
  <si>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</si>
  <si>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</si>
  <si>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</si>
  <si>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</si>
  <si>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</si>
  <si>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</si>
  <si>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</si>
  <si>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</si>
  <si>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</si>
  <si>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</si>
  <si>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</si>
  <si>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</si>
  <si>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</si>
  <si>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</si>
  <si>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</si>
  <si>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</si>
  <si>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</si>
  <si>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</si>
  <si>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</si>
  <si>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</si>
  <si>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</si>
  <si>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</si>
  <si>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</si>
  <si>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</si>
  <si>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</si>
  <si>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</si>
  <si>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</si>
  <si>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</si>
  <si>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</si>
  <si>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</si>
  <si>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</si>
  <si>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</si>
  <si>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</si>
  <si>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</si>
  <si>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</si>
  <si>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</si>
  <si>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</si>
  <si>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</si>
  <si>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</si>
  <si>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</si>
  <si>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</si>
  <si>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</si>
  <si>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</si>
  <si>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</si>
  <si>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</si>
  <si>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</si>
  <si>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</si>
  <si>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</si>
  <si>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</si>
  <si>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</si>
  <si>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</si>
  <si>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</si>
  <si>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</si>
  <si>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</si>
  <si>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</si>
  <si>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</si>
  <si>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</si>
  <si>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</si>
  <si>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</si>
  <si>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</si>
  <si>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</si>
  <si>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</si>
  <si>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</si>
  <si>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</si>
  <si>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</si>
  <si>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</si>
  <si>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</si>
  <si>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</si>
  <si>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</si>
  <si>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</si>
  <si>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</si>
  <si>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</si>
  <si>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</si>
  <si>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</si>
  <si>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</si>
  <si>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</si>
  <si>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</si>
  <si>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</si>
  <si>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</si>
  <si>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</si>
  <si>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</si>
  <si>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</si>
  <si>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</si>
  <si>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</si>
  <si>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</si>
  <si>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</si>
  <si>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</si>
  <si>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</si>
  <si>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</si>
  <si>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</si>
  <si>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</si>
  <si>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</si>
  <si>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</si>
  <si>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</si>
  <si>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</si>
  <si>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</si>
  <si>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</si>
  <si>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</si>
  <si>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</si>
  <si>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</si>
  <si>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</si>
  <si>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</si>
  <si>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</si>
  <si>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</si>
  <si>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</si>
  <si>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</si>
  <si>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</si>
  <si>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</si>
  <si>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</si>
  <si>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</si>
  <si>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</si>
  <si>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</si>
  <si>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</si>
  <si>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</si>
  <si>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</si>
  <si>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</si>
  <si>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</si>
  <si>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</si>
  <si>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</si>
  <si>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</si>
  <si>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</si>
  <si>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</si>
  <si>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</si>
  <si>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</si>
  <si>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</si>
  <si>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</si>
  <si>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</si>
  <si>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</si>
  <si>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</si>
  <si>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</si>
  <si>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</si>
  <si>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</si>
  <si>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</si>
  <si>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</si>
  <si>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</si>
  <si>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</si>
  <si>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</si>
  <si>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</si>
  <si>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</si>
  <si>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</si>
  <si>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</si>
  <si>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</si>
  <si>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</si>
  <si>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</si>
  <si>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</si>
  <si>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</si>
  <si>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</si>
  <si>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</si>
  <si>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</si>
  <si>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</si>
  <si>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</si>
  <si>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</si>
  <si>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</si>
  <si>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</si>
  <si>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</si>
  <si>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</si>
  <si>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</si>
  <si>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</si>
  <si>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</si>
  <si>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</si>
  <si>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</si>
  <si>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</si>
  <si>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</si>
  <si>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</si>
  <si>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</si>
  <si>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</si>
  <si>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</si>
  <si>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</si>
  <si>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</si>
  <si>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</si>
  <si>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</si>
  <si>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</si>
  <si>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</si>
  <si>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</si>
  <si>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</si>
  <si>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</si>
  <si>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</si>
  <si>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</si>
  <si>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</si>
  <si>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</si>
  <si>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</si>
  <si>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</si>
  <si>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</si>
  <si>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</si>
  <si>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</si>
  <si>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</si>
  <si>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</si>
  <si>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</si>
  <si>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</si>
  <si>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</si>
  <si>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</si>
  <si>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</si>
  <si>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</si>
  <si>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</si>
  <si>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</si>
  <si>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</si>
  <si>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</si>
  <si>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</si>
  <si>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</si>
  <si>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</si>
  <si>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</si>
  <si>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</si>
  <si>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</si>
  <si>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</si>
  <si>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</si>
  <si>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</si>
  <si>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</si>
  <si>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</si>
  <si>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</si>
  <si>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</si>
  <si>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</si>
  <si>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</si>
  <si>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</si>
  <si>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</si>
  <si>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</si>
  <si>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</si>
  <si>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</si>
  <si>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</si>
  <si>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</si>
  <si>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</si>
  <si>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</si>
  <si>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</si>
  <si>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</si>
  <si>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</si>
  <si>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</si>
  <si>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</si>
  <si>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</si>
  <si>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</si>
  <si>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</si>
  <si>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</si>
  <si>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</si>
  <si>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</si>
  <si>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</si>
  <si>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</si>
  <si>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</si>
  <si>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</si>
  <si>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</si>
  <si>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</si>
  <si>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</si>
  <si>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</si>
  <si>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</si>
  <si>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</si>
  <si>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</si>
  <si>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</si>
  <si>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</si>
  <si>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</si>
  <si>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</si>
  <si>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</si>
  <si>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</si>
  <si>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</si>
  <si>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</si>
  <si>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</si>
  <si>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</si>
  <si>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</si>
  <si>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</si>
  <si>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</si>
  <si>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</si>
  <si>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</si>
  <si>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</si>
  <si>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</si>
  <si>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</si>
  <si>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</si>
  <si>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</si>
  <si>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</si>
  <si>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</si>
  <si>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</si>
  <si>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</si>
  <si>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</si>
  <si>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</si>
  <si>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</si>
  <si>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</si>
  <si>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</si>
  <si>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</si>
  <si>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</si>
  <si>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</si>
  <si>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</si>
  <si>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</si>
  <si>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</si>
  <si>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</si>
  <si>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</si>
  <si>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</si>
  <si>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</si>
  <si>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</si>
  <si>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</si>
  <si>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</si>
  <si>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</si>
  <si>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</si>
  <si>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</si>
  <si>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</si>
  <si>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</si>
  <si>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</si>
  <si>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</si>
  <si>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</si>
  <si>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</si>
  <si>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</si>
  <si>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</si>
  <si>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</si>
  <si>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</si>
  <si>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</si>
  <si>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</si>
  <si>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</si>
  <si>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</si>
  <si>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</si>
  <si>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</si>
  <si>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</si>
  <si>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</si>
  <si>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</si>
  <si>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</si>
  <si>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</si>
  <si>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</si>
  <si>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</si>
  <si>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</si>
  <si>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</si>
  <si>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</si>
  <si>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</si>
  <si>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</si>
  <si>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</si>
  <si>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</si>
  <si>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</si>
  <si>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</si>
  <si>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</si>
  <si>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</si>
  <si>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</si>
  <si>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</si>
  <si>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</si>
  <si>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</si>
  <si>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</si>
  <si>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</si>
  <si>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</si>
  <si>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</si>
  <si>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</si>
  <si>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</si>
  <si>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</si>
  <si>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</si>
  <si>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</si>
  <si>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</si>
  <si>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</si>
  <si>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</si>
  <si>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</si>
  <si>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</si>
  <si>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</si>
  <si>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</si>
  <si>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</si>
  <si>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</si>
  <si>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</si>
  <si>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</si>
  <si>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</si>
  <si>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</si>
  <si>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</si>
  <si>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</si>
  <si>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</si>
  <si>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</si>
  <si>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</si>
  <si>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</si>
  <si>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</si>
  <si>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</si>
  <si>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</si>
  <si>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</si>
  <si>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</si>
  <si>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</si>
  <si>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</si>
  <si>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</si>
  <si>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</si>
  <si>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</si>
  <si>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</si>
  <si>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</si>
  <si>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</si>
  <si>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</si>
  <si>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</si>
  <si>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</si>
  <si>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</si>
  <si>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</si>
  <si>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</si>
  <si>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</si>
  <si>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</si>
  <si>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</si>
  <si>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</si>
  <si>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</si>
  <si>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</si>
  <si>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</si>
  <si>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</si>
  <si>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</si>
  <si>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</si>
  <si>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</si>
  <si>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</si>
  <si>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</si>
  <si>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</si>
  <si>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</si>
  <si>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</si>
  <si>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</si>
  <si>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</si>
  <si>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</si>
  <si>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</si>
  <si>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</si>
  <si>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</si>
  <si>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</si>
  <si>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</si>
  <si>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</si>
  <si>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</si>
  <si>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</si>
  <si>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</si>
  <si>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</si>
  <si>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</si>
  <si>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</si>
  <si>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</si>
  <si>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</si>
  <si>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</si>
  <si>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</si>
  <si>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</si>
  <si>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</si>
  <si>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</si>
  <si>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</si>
  <si>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</si>
  <si>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</si>
  <si>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</si>
  <si>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</si>
  <si>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</si>
  <si>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</si>
  <si>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</si>
  <si>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</si>
  <si>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</si>
  <si>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</si>
  <si>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</si>
  <si>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</si>
  <si>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</si>
  <si>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</si>
  <si>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</si>
  <si>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</si>
  <si>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</si>
  <si>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</si>
  <si>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</si>
  <si>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</si>
  <si>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</si>
  <si>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</si>
  <si>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</si>
  <si>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</si>
  <si>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</si>
  <si>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</si>
  <si>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</si>
  <si>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</si>
  <si>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</si>
  <si>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</si>
  <si>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</si>
  <si>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</si>
  <si>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</si>
  <si>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</si>
  <si>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</si>
  <si>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</si>
  <si>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</si>
  <si>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</si>
  <si>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</si>
  <si>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</si>
  <si>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</si>
  <si>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</si>
  <si>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</si>
  <si>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</si>
  <si>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</si>
  <si>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</si>
  <si>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</si>
  <si>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</si>
  <si>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</si>
  <si>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</si>
  <si>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</si>
  <si>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</si>
  <si>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</si>
  <si>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</si>
  <si>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</si>
  <si>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</si>
  <si>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</si>
  <si>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</si>
  <si>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</si>
  <si>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</si>
  <si>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</si>
  <si>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</si>
  <si>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</si>
  <si>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</si>
  <si>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</si>
  <si>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</si>
  <si>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</si>
  <si>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</si>
  <si>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</si>
  <si>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</si>
  <si>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</si>
  <si>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</si>
  <si>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</si>
  <si>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</si>
  <si>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</si>
  <si>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</si>
  <si>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</si>
  <si>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</si>
  <si>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</si>
  <si>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</si>
  <si>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</si>
  <si>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</si>
  <si>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</si>
  <si>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</si>
  <si>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</si>
  <si>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</si>
  <si>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</si>
  <si>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</si>
  <si>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</si>
  <si>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</si>
  <si>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</si>
  <si>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</si>
  <si>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</si>
  <si>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phoneticPr fontId="134" type="noConversion"/>
  </si>
  <si>
    <t>证号</t>
    <phoneticPr fontId="134" type="noConversion"/>
  </si>
  <si>
    <t>坐落</t>
    <phoneticPr fontId="134" type="noConversion"/>
  </si>
  <si>
    <t>冀（2024）怀来县不动产权第0014162号</t>
    <phoneticPr fontId="134" type="noConversion"/>
  </si>
  <si>
    <t>怀来县存瑞镇头二营村、葫芦套村环首都·存瑞云计算产业基地建设项目（三期）5幢机房楼01室</t>
    <phoneticPr fontId="134" type="noConversion"/>
  </si>
  <si>
    <t>总层数</t>
    <phoneticPr fontId="134" type="noConversion"/>
  </si>
  <si>
    <t>房屋所在层</t>
    <phoneticPr fontId="134" type="noConversion"/>
  </si>
  <si>
    <t>1-3</t>
    <phoneticPr fontId="134" type="noConversion"/>
  </si>
  <si>
    <t>宗地面积</t>
    <phoneticPr fontId="134" type="noConversion"/>
  </si>
  <si>
    <t>土地使用期限</t>
    <phoneticPr fontId="134" type="noConversion"/>
  </si>
  <si>
    <t>结构</t>
    <phoneticPr fontId="134" type="noConversion"/>
  </si>
  <si>
    <t>钢混</t>
    <phoneticPr fontId="134" type="noConversion"/>
  </si>
  <si>
    <t>建筑面积（㎡）</t>
    <phoneticPr fontId="134" type="noConversion"/>
  </si>
  <si>
    <t>冀（2024）怀来县不动产权第0014204号</t>
    <phoneticPr fontId="134" type="noConversion"/>
  </si>
  <si>
    <t>怀来县存瑞镇头二营村、葫芦套村环首都·存瑞云计算产业基地建设项目（三期）6幢机房楼01室</t>
    <phoneticPr fontId="134" type="noConversion"/>
  </si>
  <si>
    <t>冀（2024）怀来县不动产权第0014364号</t>
    <phoneticPr fontId="134" type="noConversion"/>
  </si>
  <si>
    <t>怀来县存瑞镇头二营村、葫芦套村环首都·存瑞云计算产业基地建设项目（三期）7幢机房楼01室</t>
    <phoneticPr fontId="134" type="noConversion"/>
  </si>
  <si>
    <t>冀（2024）怀来县不动产权第0014365号</t>
    <phoneticPr fontId="134" type="noConversion"/>
  </si>
  <si>
    <t>怀来县存瑞镇头二营村、葫芦套村环首都·存瑞云计算产业基地建设项目（三期）11幢共享空间01室</t>
    <phoneticPr fontId="134" type="noConversion"/>
  </si>
  <si>
    <t>1-4</t>
    <phoneticPr fontId="134" type="noConversion"/>
  </si>
  <si>
    <t>地上</t>
  </si>
  <si>
    <t>共享空间</t>
    <phoneticPr fontId="3" type="noConversion"/>
  </si>
  <si>
    <t>是</t>
  </si>
  <si>
    <t>工业用房</t>
    <phoneticPr fontId="7" type="noConversion"/>
  </si>
  <si>
    <t>郑燚</t>
  </si>
  <si>
    <t>抵押</t>
  </si>
  <si>
    <t>房地产抵押价值</t>
  </si>
  <si>
    <t>北京市</t>
  </si>
  <si>
    <t>企业</t>
  </si>
  <si>
    <t>工业项目</t>
  </si>
  <si>
    <t>通路</t>
  </si>
  <si>
    <t>通电</t>
  </si>
  <si>
    <t>通讯</t>
  </si>
  <si>
    <t>通上水</t>
  </si>
  <si>
    <t>通下水</t>
  </si>
  <si>
    <t>成新度</t>
  </si>
  <si>
    <t>施工证</t>
    <phoneticPr fontId="134" type="noConversion"/>
  </si>
  <si>
    <t>收益法</t>
  </si>
  <si>
    <t>工业用房</t>
  </si>
  <si>
    <t>押一</t>
  </si>
  <si>
    <t>钢混</t>
  </si>
  <si>
    <t>非生产用房</t>
  </si>
  <si>
    <t>未包含在土地购买价格中</t>
  </si>
  <si>
    <t>全部缴纳</t>
  </si>
  <si>
    <t>已包含在土地取得成本中</t>
  </si>
  <si>
    <t>现房</t>
  </si>
  <si>
    <t>项目全部</t>
  </si>
  <si>
    <t>成本法</t>
  </si>
  <si>
    <t>总价</t>
  </si>
  <si>
    <t>成本比率</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</si>
  <si>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</si>
  <si>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</si>
  <si>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</si>
  <si>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</si>
  <si>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</si>
  <si>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</si>
  <si>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</si>
  <si>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</si>
  <si>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</si>
  <si>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</si>
  <si>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</si>
  <si>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</si>
  <si>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</si>
  <si>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</si>
  <si>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</si>
  <si>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</si>
  <si>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</si>
  <si>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</si>
  <si>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</si>
  <si>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</si>
  <si>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</si>
  <si>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</si>
  <si>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</si>
  <si>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</si>
  <si>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</si>
  <si>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</si>
  <si>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</si>
  <si>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</si>
  <si>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</si>
  <si>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</si>
  <si>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</si>
  <si>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</si>
  <si>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</si>
  <si>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</si>
  <si>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</si>
  <si>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</si>
  <si>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</si>
  <si>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</si>
  <si>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</si>
  <si>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</si>
  <si>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</si>
  <si>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</si>
  <si>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</si>
  <si>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</si>
  <si>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</si>
  <si>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</si>
  <si>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</si>
  <si>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</si>
  <si>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</si>
  <si>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</si>
  <si>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</si>
  <si>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</si>
  <si>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</si>
  <si>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</si>
  <si>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</si>
  <si>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</si>
  <si>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</si>
  <si>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</si>
  <si>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</si>
  <si>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</si>
  <si>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</si>
  <si>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</si>
  <si>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</si>
  <si>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</si>
  <si>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</si>
  <si>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</si>
  <si>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</si>
  <si>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</si>
  <si>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</si>
  <si>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</si>
  <si>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</si>
  <si>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</si>
  <si>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</si>
  <si>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</si>
  <si>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</si>
  <si>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</si>
  <si>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</si>
  <si>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</si>
  <si>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</si>
  <si>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</si>
  <si>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</si>
  <si>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</si>
  <si>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</si>
  <si>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</si>
  <si>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</si>
  <si>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</si>
  <si>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</si>
  <si>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</si>
  <si>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</si>
  <si>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</si>
  <si>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</si>
  <si>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</si>
  <si>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</si>
  <si>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</si>
  <si>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</si>
  <si>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</si>
  <si>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</si>
  <si>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</si>
  <si>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</si>
  <si>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</si>
  <si>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</si>
  <si>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</si>
  <si>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</si>
  <si>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</si>
  <si>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</si>
  <si>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</si>
  <si>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</si>
  <si>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</si>
  <si>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</si>
  <si>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</si>
  <si>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</si>
  <si>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</si>
  <si>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</si>
  <si>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</si>
  <si>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</si>
  <si>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</si>
  <si>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</si>
  <si>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</si>
  <si>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</si>
  <si>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工业</t>
    <phoneticPr fontId="32" type="noConversion"/>
  </si>
  <si>
    <t>环首都存瑞云计算产业基地、科华数据(张家口腾致数据中心)、腾讯华北信息技术产业基地，一般</t>
    <phoneticPr fontId="40" type="noConversion"/>
  </si>
  <si>
    <t>怀来404路，较差</t>
    <phoneticPr fontId="40" type="noConversion"/>
  </si>
  <si>
    <t>较差</t>
  </si>
  <si>
    <t>较差</t>
    <phoneticPr fontId="40" type="noConversion"/>
  </si>
  <si>
    <t>五通/六通</t>
    <phoneticPr fontId="24" type="noConversion"/>
  </si>
  <si>
    <t>一般</t>
  </si>
  <si>
    <t>一般</t>
    <phoneticPr fontId="40" type="noConversion"/>
  </si>
  <si>
    <t>一致</t>
    <phoneticPr fontId="24" type="noConversion"/>
  </si>
  <si>
    <t>较好</t>
  </si>
  <si>
    <t>沙城文化公园</t>
    <phoneticPr fontId="32" type="noConversion"/>
  </si>
  <si>
    <t>六通</t>
  </si>
  <si>
    <t>七通</t>
  </si>
  <si>
    <t>单位面积地价</t>
  </si>
  <si>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502</t>
    </r>
    <r>
      <rPr>
        <sz val="11"/>
        <rFont val="宋体"/>
        <family val="3"/>
        <charset val="134"/>
      </rPr>
      <t>等</t>
    </r>
    <phoneticPr fontId="32" type="noConversion"/>
  </si>
  <si>
    <t>五通</t>
  </si>
  <si>
    <t>四通</t>
  </si>
  <si>
    <t>三通</t>
  </si>
  <si>
    <t>好</t>
  </si>
  <si>
    <t>差</t>
  </si>
  <si>
    <t>怀来方圆玻璃有限公司、怀来卓美塑胶制品有限公司</t>
    <phoneticPr fontId="32" type="noConversion"/>
  </si>
  <si>
    <t>怀来卓美塑胶制品有限公司、华美光电子有限公司、信德产业园</t>
    <phoneticPr fontId="32" type="noConversion"/>
  </si>
  <si>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403</t>
    </r>
    <r>
      <rPr>
        <sz val="11"/>
        <rFont val="宋体"/>
        <family val="3"/>
        <charset val="134"/>
      </rPr>
      <t>等</t>
    </r>
    <phoneticPr fontId="32" type="noConversion"/>
  </si>
  <si>
    <t>地价款</t>
    <phoneticPr fontId="3" type="noConversion"/>
  </si>
  <si>
    <t>契税</t>
    <phoneticPr fontId="134" type="noConversion"/>
  </si>
  <si>
    <t>土地使用税</t>
    <phoneticPr fontId="134" type="noConversion"/>
  </si>
  <si>
    <t>情况3</t>
  </si>
  <si>
    <t>正常</t>
  </si>
  <si>
    <t>自行开发建设</t>
  </si>
  <si>
    <t>非个人房产</t>
  </si>
  <si>
    <t>出让金+开发费</t>
  </si>
  <si>
    <t>企业提供（在右侧录入）</t>
  </si>
  <si>
    <t>——</t>
    <phoneticPr fontId="134" type="noConversion"/>
  </si>
  <si>
    <t>怀来县存瑞镇头二营村、葫芦套村三期</t>
    <phoneticPr fontId="6" type="noConversion"/>
  </si>
  <si>
    <t>规证</t>
    <phoneticPr fontId="134" type="noConversion"/>
  </si>
  <si>
    <t>施工证</t>
    <phoneticPr fontId="134" type="noConversion"/>
  </si>
  <si>
    <t>分套价值</t>
    <phoneticPr fontId="134" type="noConversion"/>
  </si>
  <si>
    <t>建筑价值</t>
    <phoneticPr fontId="134" type="noConversion"/>
  </si>
  <si>
    <t>土地价值</t>
    <phoneticPr fontId="134" type="noConversion"/>
  </si>
  <si>
    <t>建安单价</t>
    <phoneticPr fontId="134" type="noConversion"/>
  </si>
  <si>
    <t>合计价值</t>
    <phoneticPr fontId="134" type="noConversion"/>
  </si>
  <si>
    <t>分摊土地面积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</si>
</sst>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0" fontId="270" fillId="0" borderId="1" xfId="0" applyFont="1" applyBorder="1" applyAlignment="1">
      <alignment horizontal="left" vertical="center" wrapText="1"/>
    </xf>
    <xf numFmtId="0" fontId="270" fillId="0" borderId="0" xfId="0" applyFont="1" applyAlignment="1">
      <alignment horizontal="left" vertical="center"/>
    </xf>
    <xf numFmtId="14" fontId="270" fillId="0" borderId="0" xfId="0" applyNumberFormat="1" applyFont="1" applyAlignment="1">
      <alignment horizontal="left" vertical="center"/>
    </xf>
    <xf numFmtId="0" fontId="270" fillId="8" borderId="1" xfId="0" applyFont="1" applyFill="1" applyBorder="1" applyAlignment="1">
      <alignment horizontal="left" vertical="center"/>
    </xf>
    <xf numFmtId="49" fontId="270" fillId="8" borderId="1" xfId="0" applyNumberFormat="1"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270" fillId="5" borderId="0" xfId="0" applyFont="1" applyFill="1">
      <alignment vertical="center"/>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95" fillId="5" borderId="0" xfId="0" applyFon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77"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0" fontId="128" fillId="12" borderId="0" xfId="0" applyFont="1" applyFill="1" applyProtection="1">
      <alignment vertical="center"/>
      <protection locked="0"/>
    </xf>
    <xf numFmtId="10" fontId="270" fillId="0" borderId="0" xfId="17" applyNumberFormat="1" applyFont="1">
      <alignment vertical="center"/>
    </xf>
    <xf numFmtId="10" fontId="44" fillId="0" borderId="53" xfId="0" applyNumberFormat="1" applyFont="1" applyBorder="1" applyAlignment="1" applyProtection="1">
      <alignment horizontal="center" vertical="center"/>
      <protection locked="0"/>
    </xf>
    <xf numFmtId="49" fontId="270" fillId="0" borderId="1" xfId="0" applyNumberFormat="1" applyFont="1" applyBorder="1" applyAlignment="1">
      <alignment horizontal="left" vertical="center"/>
    </xf>
    <xf numFmtId="176" fontId="44" fillId="7" borderId="24" xfId="1" applyNumberFormat="1" applyFont="1" applyFill="1" applyBorder="1" applyAlignment="1" applyProtection="1">
      <alignment horizontal="center" vertical="center"/>
      <protection locked="0"/>
    </xf>
    <xf numFmtId="181" fontId="99" fillId="7" borderId="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0" borderId="5" xfId="0" applyFont="1" applyBorder="1" applyAlignment="1">
      <alignment horizontal="left" vertical="center"/>
    </xf>
    <xf numFmtId="0" fontId="270" fillId="0" borderId="3"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0" fillId="22" borderId="1" xfId="0" applyFont="1" applyFill="1" applyBorder="1">
      <alignment vertical="center"/>
    </xf>
    <xf numFmtId="1" fontId="270" fillId="0" borderId="0" xfId="0" applyNumberFormat="1" applyFont="1" applyAlignment="1">
      <alignment horizontal="righ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13</xdr:row>
      <xdr:rowOff>152400</xdr:rowOff>
    </xdr:from>
    <xdr:to>
      <xdr:col>2</xdr:col>
      <xdr:colOff>3116035</xdr:colOff>
      <xdr:row>22</xdr:row>
      <xdr:rowOff>56937</xdr:rowOff>
    </xdr:to>
    <xdr:pic>
      <xdr:nvPicPr>
        <xdr:cNvPr id="2" name="图片 1">
          <a:extLst>
            <a:ext uri="{FF2B5EF4-FFF2-40B4-BE49-F238E27FC236}">
              <a16:creationId xmlns:a16="http://schemas.microsoft.com/office/drawing/2014/main" id="{405826A2-E968-D1E9-3232-6E8A7873B52E}"/>
            </a:ext>
          </a:extLst>
        </xdr:cNvPr>
        <xdr:cNvPicPr>
          <a:picLocks noChangeAspect="1"/>
        </xdr:cNvPicPr>
      </xdr:nvPicPr>
      <xdr:blipFill>
        <a:blip xmlns:r="http://schemas.openxmlformats.org/officeDocument/2006/relationships" r:embed="rId1"/>
        <a:stretch>
          <a:fillRect/>
        </a:stretch>
      </xdr:blipFill>
      <xdr:spPr>
        <a:xfrm>
          <a:off x="495300" y="3552825"/>
          <a:ext cx="4361905" cy="1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北京市怀来县存瑞镇头二营村、葫芦套村三期房地产抵押价值预评估</v>
      </c>
    </row>
    <row r="3" spans="1:2">
      <c r="A3" s="1117" t="s">
        <v>523</v>
      </c>
      <c r="B3" s="1118">
        <f>'预评函-封皮'!B40</f>
        <v>0</v>
      </c>
    </row>
    <row r="4" spans="1:2">
      <c r="A4" s="1117" t="s">
        <v>524</v>
      </c>
      <c r="B4" s="1118" t="str">
        <f ca="1">'预评函-封皮'!B46</f>
        <v>郑燚（注册号：1120070131)、（注册号：0)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受贵公司委托，我公司对北京市怀来县存瑞镇头二营村、葫芦套村三期房地产抵押价值进行了预评估。</v>
      </c>
    </row>
    <row r="7" spans="1:2">
      <c r="A7" s="1117" t="s">
        <v>566</v>
      </c>
      <c r="B7" s="1118" t="str">
        <f>'预评函-1'!A7</f>
        <v>估价对象为北京市怀来县存瑞镇头二营村、葫芦套村三期房地产，为所有。根据《国有土地使用证》[]，估价对象（分摊）出让国有建设用地使用权面积为35316.97平方米，建筑面积为43685.85平方米。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怀来县存瑞镇头二营村、葫芦套村三期房地产,为开发建设的工业项目，该项目尚在开发建设中。根据《国有土地使用证》[]，估价对象（分摊）出让国有建设用地使用权面积为35316.97平方米，规划建筑面积为43685.85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怀来县存瑞镇头二营村、葫芦套村三期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2024年12月23日（评估专业人员实地查勘之日）</v>
      </c>
    </row>
    <row r="13" spans="1:2">
      <c r="A13" s="1117" t="s">
        <v>529</v>
      </c>
      <c r="B13" s="1118" t="str">
        <f>'预评函-1'!A18</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16073</v>
      </c>
    </row>
    <row r="21" spans="1:2">
      <c r="A21" s="1117" t="s">
        <v>537</v>
      </c>
      <c r="B21" s="1118">
        <f ca="1">'预评函-2'!D7</f>
        <v>3679</v>
      </c>
    </row>
    <row r="22" spans="1:2">
      <c r="A22" s="1117" t="s">
        <v>538</v>
      </c>
      <c r="B22" s="1118" t="str">
        <f ca="1">'预评函-2'!D6</f>
        <v>壹亿陆仟零柒拾叁万元整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16073</v>
      </c>
    </row>
    <row r="31" spans="1:2">
      <c r="A31" s="1117" t="s">
        <v>576</v>
      </c>
      <c r="B31" s="1118">
        <f ca="1">'预评函-2'!D15</f>
        <v>3679</v>
      </c>
    </row>
    <row r="32" spans="1:2">
      <c r="A32" s="1117" t="s">
        <v>543</v>
      </c>
      <c r="B32" s="1118" t="str">
        <f ca="1">'预评函-2'!D14</f>
        <v>壹亿陆仟零柒拾叁万元整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4.抵押净值</v>
      </c>
    </row>
    <row r="38" spans="1:2">
      <c r="A38" s="1117" t="s">
        <v>597</v>
      </c>
      <c r="B38" s="1118">
        <f ca="1">'预评函-2'!D19</f>
        <v>15223</v>
      </c>
    </row>
    <row r="39" spans="1:2">
      <c r="A39" s="1117" t="s">
        <v>545</v>
      </c>
      <c r="B39" s="1118">
        <f ca="1">'预评函-2'!D21</f>
        <v>3485</v>
      </c>
    </row>
    <row r="40" spans="1:2">
      <c r="A40" s="1117" t="s">
        <v>546</v>
      </c>
      <c r="B40" s="1118" t="str">
        <f ca="1">'预评函-2'!D20</f>
        <v>壹亿伍仟贰佰贰拾叁万元整</v>
      </c>
    </row>
    <row r="41" spans="1:2">
      <c r="A41" s="1117" t="s">
        <v>592</v>
      </c>
      <c r="B41" s="1118" t="str">
        <f>'预评函-3'!A4</f>
        <v>北京市怀来县存瑞镇头二营村、葫芦套村三期房地产</v>
      </c>
    </row>
    <row r="42" spans="1:2" ht="31.2">
      <c r="A42" s="1117" t="s">
        <v>590</v>
      </c>
      <c r="B42" s="1118" t="str">
        <f>'预评函-3'!B2</f>
        <v>建筑面积</v>
      </c>
    </row>
    <row r="43" spans="1:2">
      <c r="A43" s="1117" t="s">
        <v>591</v>
      </c>
      <c r="B43" s="1118">
        <f>'预评函-3'!B4</f>
        <v>43685.850000000006</v>
      </c>
    </row>
    <row r="44" spans="1:2" ht="31.2">
      <c r="A44" s="1117" t="s">
        <v>575</v>
      </c>
      <c r="B44" s="1118" t="str">
        <f>'预评函-3'!C2</f>
        <v>(分摊)土地面积</v>
      </c>
    </row>
    <row r="45" spans="1:2">
      <c r="A45" s="1117" t="s">
        <v>547</v>
      </c>
      <c r="B45" s="1118">
        <f>'预评函-3'!C4</f>
        <v>35316.97</v>
      </c>
    </row>
    <row r="46" spans="1:2">
      <c r="A46" s="1117" t="s">
        <v>573</v>
      </c>
      <c r="B46" s="1118" t="str">
        <f>'预评函-3'!D2</f>
        <v>出让国有建设用地使用权价值</v>
      </c>
    </row>
    <row r="47" spans="1:2">
      <c r="A47" s="1117" t="s">
        <v>548</v>
      </c>
      <c r="B47" s="1118">
        <f ca="1">'预评函-3'!D4</f>
        <v>2315</v>
      </c>
    </row>
    <row r="48" spans="1:2">
      <c r="A48" s="1117" t="s">
        <v>549</v>
      </c>
      <c r="B48" s="1118">
        <f ca="1">'预评函-3'!E4</f>
        <v>530</v>
      </c>
    </row>
    <row r="49" spans="1:2">
      <c r="A49" s="1117" t="s">
        <v>550</v>
      </c>
      <c r="B49" s="1118" t="str">
        <f ca="1">'预评函-3'!D5</f>
        <v>贰仟叁佰壹拾伍万元整</v>
      </c>
    </row>
    <row r="50" spans="1:2">
      <c r="A50" s="1117" t="s">
        <v>574</v>
      </c>
      <c r="B50" s="1118" t="str">
        <f>'预评函-3'!F2</f>
        <v>在建建筑物价值</v>
      </c>
    </row>
    <row r="51" spans="1:2">
      <c r="A51" s="1117" t="s">
        <v>551</v>
      </c>
      <c r="B51" s="1118">
        <f ca="1">'预评函-3'!F4</f>
        <v>13758</v>
      </c>
    </row>
    <row r="52" spans="1:2">
      <c r="A52" s="1117" t="s">
        <v>552</v>
      </c>
      <c r="B52" s="1118">
        <f ca="1">'预评函-3'!G4</f>
        <v>3149</v>
      </c>
    </row>
    <row r="53" spans="1:2">
      <c r="A53" s="1117" t="s">
        <v>580</v>
      </c>
      <c r="B53" s="1118" t="str">
        <f ca="1">'预评函-3'!F5</f>
        <v>壹亿叁仟柒佰伍拾捌万元整</v>
      </c>
    </row>
    <row r="54" spans="1:2">
      <c r="A54" s="1117" t="s">
        <v>598</v>
      </c>
      <c r="B54" s="1118" t="str">
        <f>'预评函-3'!A8</f>
        <v>房地产抵押价值</v>
      </c>
    </row>
    <row r="55" spans="1:2">
      <c r="A55" s="1117" t="s">
        <v>581</v>
      </c>
      <c r="B55" s="1118" t="str">
        <f>'预评函-3'!A10</f>
        <v/>
      </c>
    </row>
    <row r="56" spans="1:2">
      <c r="A56" s="1117" t="s">
        <v>582</v>
      </c>
      <c r="B56" s="1118" t="str">
        <f>'预评函-3'!A12</f>
        <v>抵押净值</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G27" sqref="G27"/>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3343</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3329</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3330</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3331</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3332</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3333</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3334</v>
      </c>
    </row>
    <row r="8" spans="1:23">
      <c r="A8" s="1439" t="s">
        <v>1026</v>
      </c>
      <c r="B8" s="1439" t="s">
        <v>1027</v>
      </c>
      <c r="C8" s="1440" t="s">
        <v>319</v>
      </c>
      <c r="F8" s="1441" t="s">
        <v>1028</v>
      </c>
      <c r="H8" s="1441" t="s">
        <v>2569</v>
      </c>
      <c r="I8" s="1441" t="s">
        <v>3335</v>
      </c>
    </row>
    <row r="9" spans="1:23">
      <c r="A9" s="1439" t="s">
        <v>1029</v>
      </c>
      <c r="B9" s="1439" t="s">
        <v>1030</v>
      </c>
      <c r="C9" s="1440" t="s">
        <v>320</v>
      </c>
      <c r="F9" s="1441" t="s">
        <v>1031</v>
      </c>
      <c r="H9" s="1441"/>
      <c r="I9" s="1443" t="s">
        <v>3336</v>
      </c>
    </row>
    <row r="10" spans="1:23">
      <c r="A10" s="1439" t="s">
        <v>1032</v>
      </c>
      <c r="B10" s="1439" t="s">
        <v>1033</v>
      </c>
      <c r="C10" s="1440" t="s">
        <v>321</v>
      </c>
      <c r="F10" s="1441" t="s">
        <v>2570</v>
      </c>
      <c r="I10" s="1443" t="s">
        <v>3337</v>
      </c>
    </row>
    <row r="11" spans="1:23">
      <c r="A11" s="1439" t="s">
        <v>1034</v>
      </c>
      <c r="B11" s="1439" t="s">
        <v>1035</v>
      </c>
      <c r="C11" s="1440" t="s">
        <v>322</v>
      </c>
      <c r="F11" s="1441" t="s">
        <v>13</v>
      </c>
      <c r="I11" s="1443" t="s">
        <v>3338</v>
      </c>
    </row>
    <row r="12" spans="1:23">
      <c r="A12" s="1439" t="s">
        <v>1036</v>
      </c>
      <c r="B12" s="1439" t="s">
        <v>1037</v>
      </c>
      <c r="C12" s="1440" t="s">
        <v>323</v>
      </c>
      <c r="I12" s="1443" t="s">
        <v>3339</v>
      </c>
    </row>
    <row r="13" spans="1:23">
      <c r="A13" s="1439" t="s">
        <v>1038</v>
      </c>
      <c r="B13" s="1439" t="s">
        <v>1039</v>
      </c>
      <c r="C13" s="1440" t="s">
        <v>324</v>
      </c>
      <c r="I13" s="1443" t="s">
        <v>3340</v>
      </c>
    </row>
    <row r="14" spans="1:23">
      <c r="A14" s="1439" t="s">
        <v>1040</v>
      </c>
      <c r="B14" s="1439" t="s">
        <v>1041</v>
      </c>
      <c r="C14" s="1441" t="s">
        <v>13</v>
      </c>
      <c r="I14" s="1443" t="s">
        <v>3341</v>
      </c>
    </row>
    <row r="15" spans="1:23">
      <c r="A15" s="1439" t="s">
        <v>1042</v>
      </c>
      <c r="B15" s="1439" t="s">
        <v>1043</v>
      </c>
      <c r="C15" s="1440"/>
      <c r="I15" s="1443" t="s">
        <v>3342</v>
      </c>
    </row>
    <row r="16" spans="1:23">
      <c r="A16" s="1439" t="s">
        <v>1044</v>
      </c>
      <c r="B16" s="1439" t="s">
        <v>312</v>
      </c>
      <c r="C16" s="1440"/>
    </row>
    <row r="17" spans="1:3">
      <c r="A17" s="1439" t="s">
        <v>1045</v>
      </c>
      <c r="B17" s="1439" t="s">
        <v>2283</v>
      </c>
      <c r="C17" s="1440"/>
    </row>
    <row r="18" spans="1:3">
      <c r="A18" s="1439" t="s">
        <v>1046</v>
      </c>
      <c r="B18" s="1439" t="s">
        <v>2425</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来县存瑞镇头二营村、葫芦套村三期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5" t="s">
        <v>385</v>
      </c>
      <c r="C54" s="1443" t="s">
        <v>583</v>
      </c>
    </row>
    <row r="55" spans="1:4">
      <c r="A55" s="3207"/>
      <c r="B55" s="1445" t="s">
        <v>386</v>
      </c>
      <c r="C55" s="1443" t="s">
        <v>584</v>
      </c>
    </row>
    <row r="56" spans="1:4">
      <c r="A56" s="3207"/>
      <c r="B56" s="1445" t="s">
        <v>387</v>
      </c>
      <c r="C56" s="1443" t="s">
        <v>588</v>
      </c>
    </row>
    <row r="57" spans="1:4">
      <c r="A57" s="320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08" t="s">
        <v>2572</v>
      </c>
      <c r="J2" s="3208"/>
      <c r="K2" s="3208"/>
      <c r="L2" s="3208"/>
      <c r="M2" s="3208"/>
      <c r="N2" s="3208"/>
      <c r="O2" s="3208"/>
      <c r="P2" s="3208"/>
      <c r="Q2" s="3208"/>
      <c r="R2" s="3208"/>
    </row>
    <row r="3" spans="1:18">
      <c r="A3" s="2758" t="s">
        <v>2493</v>
      </c>
      <c r="B3" s="2759">
        <f>项目基本情况!D3</f>
        <v>45649</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1.98</v>
      </c>
      <c r="D5" s="2763">
        <f>IF(ISERROR(ROUND(POWER(1+E5,A5-C5)*(POWER(1+E5,C5)-1)/(POWER(1+E5,A5)-1),3)),0,ROUND(POWER(1+E5,A5-C5)*(POWER(1+E5,C5)-1)/(POWER(1+E5,A5)-1),4))</f>
        <v>9.4399999999999998E-2</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11.99</v>
      </c>
      <c r="D6" s="2763">
        <f>IF(ISERROR(ROUND(POWER(1+E6,A6-C6)*(POWER(1+E6,C6)-1)/(POWER(1+E6,A6)-1),3)),0,ROUND(POWER(1+E6,A6-C6)*(POWER(1+E6,C6)-1)/(POWER(1+E6,A6)-1),4))</f>
        <v>0.43659999999999999</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32.01</v>
      </c>
      <c r="D7" s="2763">
        <f>IF(ISERROR(ROUND(POWER(1+E7,A7-C7)*(POWER(1+E7,C7)-1)/(POWER(1+E7,A7)-1),3)),0,ROUND(POWER(1+E7,A7-C7)*(POWER(1+E7,C7)-1)/(POWER(1+E7,A7)-1),4))</f>
        <v>0.7641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v>70</v>
      </c>
      <c r="C11" s="2761" t="s">
        <v>2502</v>
      </c>
      <c r="D11" s="2766">
        <v>4.4999999999999998E-2</v>
      </c>
      <c r="E11" s="2761" t="s">
        <v>2503</v>
      </c>
      <c r="F11" s="2767">
        <f>ROUND(1-(1/(POWER(1+D11,B11))),4)</f>
        <v>0.95409999999999995</v>
      </c>
    </row>
    <row r="12" spans="1:18">
      <c r="A12" s="2758" t="s">
        <v>2504</v>
      </c>
      <c r="B12" s="2766">
        <v>40</v>
      </c>
      <c r="C12" s="2761" t="s">
        <v>2505</v>
      </c>
      <c r="D12" s="2766">
        <v>4.4999999999999998E-2</v>
      </c>
      <c r="E12" s="2761" t="s">
        <v>2506</v>
      </c>
      <c r="F12" s="2767">
        <f>ROUND(1-(1/(POWER(1+D12,B12))),4)</f>
        <v>0.82809999999999995</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4339.6899999999996</v>
      </c>
      <c r="C15" s="2761">
        <f>ROUND(F12/F11,4)</f>
        <v>0.8679</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5" thickBot="1">
      <c r="A18" s="2768" t="s">
        <v>2508</v>
      </c>
      <c r="B18" s="2769">
        <f>ROUND(B17*F11/F12,2)</f>
        <v>5541.87</v>
      </c>
      <c r="C18" s="2769">
        <f>ROUND(F11/F12,4)</f>
        <v>1.1521999999999999</v>
      </c>
      <c r="D18" s="2770"/>
      <c r="E18" s="2770"/>
      <c r="F18" s="2771"/>
    </row>
    <row r="19" spans="1:13" ht="15" thickBot="1"/>
    <row r="20" spans="1:13" s="2804" customFormat="1" ht="1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30" zoomScaleNormal="100" zoomScaleSheetLayoutView="130" workbookViewId="0">
      <selection activeCell="B34" sqref="B34:F34"/>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2167</v>
      </c>
      <c r="B1" s="3216" t="str">
        <f>IF(B10="北京市","北京市",C10)&amp;F10&amp;IF(结果表!G1="在建","出让国有建设用地使用权及在建建筑物",IF(结果表!G1="土地","出让国有建设用地使用权",))&amp;B9&amp;"预评估"</f>
        <v>北京市怀来县存瑞镇头二营村、葫芦套村三期房地产抵押价值预评估</v>
      </c>
      <c r="C1" s="3217"/>
      <c r="D1" s="3217"/>
      <c r="E1" s="3217"/>
      <c r="F1" s="3217"/>
      <c r="G1" s="3217"/>
      <c r="H1" s="3217"/>
      <c r="I1" s="3218"/>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北京市怀来县存瑞镇头二营村、葫芦套村三期房地产抵押价值</v>
      </c>
      <c r="T1" s="1616"/>
      <c r="U1" s="1616"/>
      <c r="V1" s="1616"/>
      <c r="W1" s="1616"/>
      <c r="X1" s="1616"/>
      <c r="Y1" s="1616"/>
      <c r="Z1" s="1616"/>
      <c r="AA1" s="1616"/>
      <c r="AB1" s="1616"/>
    </row>
    <row r="2" spans="1:30">
      <c r="A2" s="2180" t="s">
        <v>2168</v>
      </c>
      <c r="B2" s="120"/>
      <c r="D2" s="2443"/>
      <c r="E2" s="2437"/>
      <c r="F2" s="2437"/>
      <c r="G2" s="2438"/>
      <c r="H2" s="2438"/>
      <c r="I2" s="2438"/>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北京市怀来县存瑞镇头二营村、葫芦套村三期房地产</v>
      </c>
      <c r="T2" s="1616"/>
      <c r="U2" s="1616"/>
      <c r="V2" s="1616"/>
      <c r="W2" s="1616"/>
      <c r="X2" s="1616"/>
      <c r="Y2" s="1616"/>
      <c r="Z2" s="1616"/>
      <c r="AA2" s="1616"/>
      <c r="AB2" s="1616"/>
    </row>
    <row r="3" spans="1:30">
      <c r="A3" s="292" t="s">
        <v>2169</v>
      </c>
      <c r="B3" s="2183">
        <v>45649</v>
      </c>
      <c r="C3" s="2184" t="s">
        <v>2170</v>
      </c>
      <c r="D3" s="2183">
        <f>B3</f>
        <v>45649</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8" thickBot="1">
      <c r="A4" s="1025" t="s">
        <v>2171</v>
      </c>
      <c r="B4" s="2185" t="s">
        <v>3404</v>
      </c>
      <c r="C4" s="2186">
        <f ca="1">SUMIF(注册房地产估价师,B4,估价师及机构信息!B3:B24)</f>
        <v>1120070131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郑燚（注册号：1120070131)、（注册号：0)</v>
      </c>
      <c r="L4" s="2182"/>
      <c r="M4" s="2182"/>
      <c r="N4" s="2180"/>
      <c r="O4" s="1464"/>
      <c r="P4" s="2180"/>
      <c r="Q4" s="2180"/>
      <c r="R4" s="2180"/>
      <c r="S4" s="1559"/>
      <c r="T4" s="1616"/>
      <c r="U4" s="1616"/>
      <c r="V4" s="1616"/>
      <c r="W4" s="1616"/>
      <c r="X4" s="1616"/>
      <c r="Y4" s="1616"/>
      <c r="Z4" s="1616"/>
      <c r="AA4" s="1616"/>
      <c r="AB4" s="1616"/>
    </row>
    <row r="5" spans="1:30" ht="13.8" thickTop="1">
      <c r="A5" s="2188" t="s">
        <v>2172</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2173</v>
      </c>
      <c r="B6" s="2193"/>
      <c r="C6" s="2194"/>
      <c r="D6" s="2195"/>
      <c r="E6" s="2437"/>
      <c r="F6" s="2438"/>
      <c r="G6" s="2438"/>
      <c r="H6" s="2438"/>
      <c r="I6" s="2438"/>
      <c r="J6" s="2243"/>
      <c r="K6" s="2397" t="str">
        <f>IF(COUNTIF(B6,"*上海银行*"),"上海银行","")</f>
        <v/>
      </c>
      <c r="L6" s="2395"/>
      <c r="M6" s="2395"/>
      <c r="N6" s="2243"/>
      <c r="O6" s="1668"/>
      <c r="P6" s="2243"/>
      <c r="Q6" s="2243"/>
      <c r="R6" s="2243"/>
    </row>
    <row r="7" spans="1:30">
      <c r="A7" s="2192" t="s">
        <v>2174</v>
      </c>
      <c r="B7" s="2196"/>
      <c r="C7" s="2194"/>
      <c r="D7" s="2195"/>
      <c r="E7" s="2437"/>
      <c r="F7" s="2438"/>
      <c r="G7" s="2438"/>
      <c r="H7" s="2438"/>
      <c r="I7" s="2438"/>
      <c r="J7" s="2243"/>
      <c r="K7" s="2398"/>
      <c r="L7" s="2395"/>
      <c r="M7" s="2395"/>
      <c r="N7" s="2243"/>
      <c r="O7" s="1668"/>
      <c r="P7" s="2243"/>
      <c r="Q7" s="2243"/>
      <c r="R7" s="2243"/>
    </row>
    <row r="8" spans="1:30">
      <c r="A8" s="2197" t="s">
        <v>2175</v>
      </c>
      <c r="B8" s="2198" t="s">
        <v>3405</v>
      </c>
      <c r="C8" s="2199"/>
      <c r="D8" s="3219" t="s">
        <v>2176</v>
      </c>
      <c r="E8" s="2200" t="s">
        <v>3406</v>
      </c>
      <c r="F8" s="2201"/>
      <c r="G8" s="2438"/>
      <c r="H8" s="2438"/>
      <c r="I8" s="2438"/>
      <c r="J8" s="2243"/>
      <c r="K8" s="2396"/>
      <c r="L8" s="2395"/>
      <c r="M8" s="2395"/>
      <c r="N8" s="2243"/>
      <c r="O8" s="1668"/>
      <c r="P8" s="2243"/>
      <c r="Q8" s="2243"/>
      <c r="R8" s="2243"/>
    </row>
    <row r="9" spans="1:30" ht="13.8" thickBot="1">
      <c r="A9" s="2202" t="s">
        <v>2177</v>
      </c>
      <c r="B9" s="2203" t="s">
        <v>3406</v>
      </c>
      <c r="C9" s="2204"/>
      <c r="D9" s="3220"/>
      <c r="E9" s="2203" t="s">
        <v>587</v>
      </c>
      <c r="F9" s="2205"/>
      <c r="G9" s="2439"/>
      <c r="H9" s="2439"/>
      <c r="I9" s="2439"/>
      <c r="J9" s="2243"/>
      <c r="K9" s="2398"/>
      <c r="L9" s="2395"/>
      <c r="M9" s="2395"/>
      <c r="N9" s="2243"/>
      <c r="O9" s="1668"/>
      <c r="P9" s="2243"/>
      <c r="Q9" s="2243"/>
      <c r="R9" s="2243"/>
    </row>
    <row r="10" spans="1:30" ht="13.8" thickTop="1">
      <c r="A10" s="2206" t="s">
        <v>2178</v>
      </c>
      <c r="B10" s="2207" t="s">
        <v>3407</v>
      </c>
      <c r="C10" s="2208"/>
      <c r="D10" s="2191"/>
      <c r="E10" s="2209" t="s">
        <v>2179</v>
      </c>
      <c r="F10" s="3148" t="s">
        <v>3582</v>
      </c>
      <c r="G10" s="2440"/>
      <c r="H10" s="2441"/>
      <c r="I10" s="2442"/>
      <c r="J10" s="2243"/>
      <c r="K10" s="2398"/>
      <c r="L10" s="2395"/>
      <c r="M10" s="2395"/>
      <c r="N10" s="2243"/>
      <c r="O10" s="1668"/>
      <c r="P10" s="2243"/>
      <c r="Q10" s="2243"/>
      <c r="R10" s="2243"/>
    </row>
    <row r="11" spans="1:30">
      <c r="A11" s="2210" t="s">
        <v>2180</v>
      </c>
      <c r="B11" s="2211" t="s">
        <v>3408</v>
      </c>
      <c r="C11" s="2212"/>
      <c r="D11" s="2213"/>
      <c r="E11" s="2180"/>
      <c r="F11" s="2180"/>
      <c r="G11" s="2180"/>
      <c r="H11" s="2180"/>
      <c r="I11" s="2180"/>
      <c r="J11" s="2797"/>
      <c r="K11" s="2395"/>
      <c r="L11" s="2395"/>
      <c r="M11" s="2395"/>
      <c r="N11" s="2243"/>
      <c r="O11" s="1668"/>
      <c r="P11" s="2243"/>
      <c r="Q11" s="2243"/>
      <c r="R11" s="2243"/>
    </row>
    <row r="12" spans="1:30">
      <c r="A12" s="2214" t="s">
        <v>2181</v>
      </c>
      <c r="B12" s="313" t="s">
        <v>2182</v>
      </c>
      <c r="C12" s="2215" t="s">
        <v>2183</v>
      </c>
      <c r="D12" s="2215" t="s">
        <v>2184</v>
      </c>
      <c r="E12" s="2215" t="s">
        <v>2185</v>
      </c>
      <c r="F12" s="2215" t="s">
        <v>2186</v>
      </c>
      <c r="G12" s="2215" t="s">
        <v>2187</v>
      </c>
      <c r="H12" s="2215" t="s">
        <v>2188</v>
      </c>
      <c r="I12" s="2796" t="s">
        <v>2568</v>
      </c>
      <c r="J12" s="2798"/>
      <c r="K12" s="2395"/>
      <c r="L12" s="2395"/>
      <c r="M12" s="2243"/>
      <c r="N12" s="1668"/>
      <c r="O12" s="2243"/>
      <c r="P12" s="2243"/>
      <c r="Q12" s="2243"/>
      <c r="AD12" s="1616"/>
    </row>
    <row r="13" spans="1:30">
      <c r="A13" s="3117" t="s">
        <v>3324</v>
      </c>
      <c r="B13" s="2216" t="s">
        <v>2189</v>
      </c>
      <c r="C13" s="801"/>
      <c r="D13" s="801"/>
      <c r="E13" s="801"/>
      <c r="F13" s="801"/>
      <c r="G13" s="801"/>
      <c r="H13" s="801">
        <v>62559</v>
      </c>
      <c r="I13" s="801"/>
      <c r="J13" s="2798"/>
      <c r="K13" s="2395"/>
      <c r="L13" s="2395"/>
      <c r="M13" s="2243"/>
      <c r="N13" s="1668"/>
      <c r="O13" s="2243"/>
      <c r="P13" s="2243"/>
      <c r="Q13" s="2243"/>
      <c r="AD13" s="1616"/>
    </row>
    <row r="14" spans="1:30">
      <c r="A14" s="1016"/>
      <c r="B14" s="2216" t="s">
        <v>2190</v>
      </c>
      <c r="C14" s="2217"/>
      <c r="D14" s="2217"/>
      <c r="E14" s="2217"/>
      <c r="F14" s="2217"/>
      <c r="G14" s="2217"/>
      <c r="H14" s="2217">
        <v>50</v>
      </c>
      <c r="I14" s="2217"/>
      <c r="J14" s="2799"/>
      <c r="K14" s="2395"/>
      <c r="L14" s="2395"/>
      <c r="M14" s="2243"/>
      <c r="N14" s="1668"/>
      <c r="O14" s="2243"/>
      <c r="P14" s="2243"/>
      <c r="Q14" s="2243"/>
      <c r="AD14" s="1616"/>
    </row>
    <row r="15" spans="1:30">
      <c r="A15" s="310"/>
      <c r="B15" s="2218" t="s">
        <v>2191</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46.32</v>
      </c>
      <c r="I15" s="2219" t="str">
        <f>IF(A13="出让",IF(I13="","",ROUNDDOWN(MIN((I13-$D$3)/365,I14),2)),I14)</f>
        <v/>
      </c>
      <c r="J15" s="2800"/>
      <c r="K15" s="1668"/>
      <c r="L15" s="1668"/>
      <c r="M15" s="2243"/>
      <c r="N15" s="1668"/>
      <c r="O15" s="2243"/>
      <c r="P15" s="2243"/>
      <c r="Q15" s="2243"/>
      <c r="AD15" s="1616"/>
    </row>
    <row r="16" spans="1:30">
      <c r="A16" s="2209" t="s">
        <v>2192</v>
      </c>
      <c r="B16" s="3226"/>
      <c r="C16" s="3227"/>
      <c r="D16" s="3228"/>
      <c r="E16" s="2220" t="s">
        <v>2193</v>
      </c>
      <c r="F16" s="3229"/>
      <c r="G16" s="3230"/>
      <c r="H16" s="3230"/>
      <c r="I16" s="3231"/>
      <c r="J16" s="2243"/>
      <c r="K16" s="2399"/>
      <c r="L16" s="1668"/>
      <c r="M16" s="1668"/>
      <c r="N16" s="2243"/>
      <c r="O16" s="1668"/>
      <c r="P16" s="2243"/>
      <c r="Q16" s="2243"/>
      <c r="R16" s="2243"/>
    </row>
    <row r="17" spans="1:28">
      <c r="A17" s="303" t="s">
        <v>2194</v>
      </c>
      <c r="B17" s="292" t="s">
        <v>2195</v>
      </c>
      <c r="C17" s="8">
        <f>'数据-汇总表'!E3</f>
        <v>43685.850000000006</v>
      </c>
      <c r="D17" s="1254" t="s">
        <v>2196</v>
      </c>
      <c r="E17" s="3232" t="s">
        <v>2197</v>
      </c>
      <c r="F17" s="3233"/>
      <c r="G17" s="3233"/>
      <c r="H17" s="3233"/>
      <c r="I17" s="3234"/>
      <c r="J17" s="2243"/>
      <c r="K17" s="2400"/>
      <c r="L17" s="1668"/>
      <c r="M17" s="1668"/>
      <c r="N17" s="2243"/>
      <c r="O17" s="1668"/>
      <c r="P17" s="2243"/>
      <c r="Q17" s="2243"/>
      <c r="R17" s="2243"/>
      <c r="S17" s="2243"/>
      <c r="T17" s="2243"/>
      <c r="U17" s="2243"/>
      <c r="V17" s="2243"/>
    </row>
    <row r="18" spans="1:28" ht="24.6" thickBot="1">
      <c r="A18" s="2221" t="s">
        <v>2198</v>
      </c>
      <c r="B18" s="1025" t="s">
        <v>2199</v>
      </c>
      <c r="C18" s="2222">
        <f>'数据-汇总表'!D3</f>
        <v>35316.97</v>
      </c>
      <c r="D18" s="1027" t="s">
        <v>2200</v>
      </c>
      <c r="E18" s="3235" t="s">
        <v>2201</v>
      </c>
      <c r="F18" s="3236"/>
      <c r="G18" s="3236"/>
      <c r="H18" s="3236"/>
      <c r="I18" s="3237"/>
      <c r="J18" s="2243"/>
      <c r="K18" s="2400"/>
      <c r="L18" s="1668"/>
      <c r="M18" s="1668"/>
      <c r="N18" s="2243"/>
      <c r="O18" s="1668"/>
      <c r="P18" s="2243"/>
      <c r="Q18" s="2243"/>
      <c r="R18" s="2243"/>
      <c r="S18" s="2243"/>
      <c r="T18" s="2243"/>
      <c r="U18" s="2243"/>
      <c r="V18" s="2243"/>
    </row>
    <row r="19" spans="1:28" ht="37.200000000000003" thickTop="1" thickBot="1">
      <c r="A19" s="317" t="s">
        <v>1055</v>
      </c>
      <c r="B19" s="297" t="s">
        <v>2202</v>
      </c>
      <c r="C19" s="1453"/>
      <c r="D19" s="1454" t="s">
        <v>2203</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c r="A20" s="2413" t="s">
        <v>2204</v>
      </c>
      <c r="B20" s="3222" t="s">
        <v>2205</v>
      </c>
      <c r="C20" s="3223"/>
      <c r="D20" s="3224" t="s">
        <v>2206</v>
      </c>
      <c r="E20" s="3225"/>
      <c r="F20" s="2426" t="s">
        <v>1056</v>
      </c>
      <c r="G20" s="2438"/>
      <c r="H20" s="2438"/>
      <c r="I20" s="2438"/>
      <c r="J20" s="2243"/>
      <c r="K20" s="3221"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36.6" thickBot="1">
      <c r="A21" s="2413"/>
      <c r="B21" s="2414" t="s">
        <v>2208</v>
      </c>
      <c r="C21" s="2292" t="s">
        <v>1057</v>
      </c>
      <c r="D21" s="1458" t="s">
        <v>2209</v>
      </c>
      <c r="E21" s="2415" t="s">
        <v>1057</v>
      </c>
      <c r="F21" s="2427"/>
      <c r="G21" s="2438"/>
      <c r="H21" s="2438"/>
      <c r="I21" s="2438"/>
      <c r="J21" s="2243"/>
      <c r="K21" s="322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3"/>
      <c r="B22" s="2416" t="s">
        <v>2210</v>
      </c>
      <c r="C22" s="2292" t="s">
        <v>1058</v>
      </c>
      <c r="D22" s="2438"/>
      <c r="E22" s="2438"/>
      <c r="F22" s="2438"/>
      <c r="G22" s="2438"/>
      <c r="H22" s="2438"/>
      <c r="I22" s="2438"/>
      <c r="J22" s="2243"/>
      <c r="K22" s="322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2211</v>
      </c>
      <c r="B23" s="2289" t="s">
        <v>2212</v>
      </c>
      <c r="C23" s="2418"/>
      <c r="D23" s="2419" t="s">
        <v>2212</v>
      </c>
      <c r="E23" s="2420"/>
      <c r="F23" s="2438"/>
      <c r="G23" s="2438"/>
      <c r="H23" s="2438"/>
      <c r="I23" s="2438"/>
      <c r="J23" s="2243"/>
      <c r="K23" s="2397"/>
      <c r="L23" s="119"/>
      <c r="M23" s="2395"/>
      <c r="N23" s="2243"/>
      <c r="O23" s="1668"/>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19"/>
      <c r="M24" s="2395"/>
      <c r="N24" s="2243"/>
      <c r="O24" s="1668"/>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68"/>
      <c r="P25" s="2243"/>
      <c r="Q25" s="2243"/>
      <c r="R25" s="2243"/>
      <c r="S25" s="2243"/>
      <c r="T25" s="2243"/>
      <c r="U25" s="2243"/>
      <c r="V25" s="2243"/>
    </row>
    <row r="26" spans="1:28" ht="13.8" thickBot="1">
      <c r="A26" s="2422"/>
      <c r="B26" s="2423" t="s">
        <v>1061</v>
      </c>
      <c r="C26" s="2424"/>
      <c r="D26" s="2422" t="s">
        <v>1061</v>
      </c>
      <c r="E26" s="2425"/>
      <c r="F26" s="2439"/>
      <c r="G26" s="2439"/>
      <c r="H26" s="2439"/>
      <c r="I26" s="2439"/>
      <c r="J26" s="2243"/>
      <c r="K26" s="2398"/>
      <c r="L26" s="2395"/>
      <c r="M26" s="2395"/>
      <c r="N26" s="2243"/>
      <c r="O26" s="1668"/>
      <c r="P26" s="2243"/>
      <c r="Q26" s="2243"/>
      <c r="R26" s="2243"/>
      <c r="S26" s="2243"/>
      <c r="T26" s="2243"/>
      <c r="U26" s="2243"/>
      <c r="V26" s="2243"/>
    </row>
    <row r="27" spans="1:28" ht="13.8" thickTop="1">
      <c r="A27" s="3210" t="s">
        <v>2213</v>
      </c>
      <c r="B27" s="310" t="s">
        <v>2214</v>
      </c>
      <c r="C27" s="2223" t="s">
        <v>3409</v>
      </c>
      <c r="D27" s="2224"/>
      <c r="E27" s="2438"/>
      <c r="F27" s="2438"/>
      <c r="G27" s="2438"/>
      <c r="H27" s="2438"/>
      <c r="I27" s="2438"/>
      <c r="J27" s="2243"/>
      <c r="K27" s="2399"/>
      <c r="L27" s="1668"/>
      <c r="M27" s="1668"/>
      <c r="N27" s="2243"/>
      <c r="O27" s="1668"/>
      <c r="P27" s="2243"/>
      <c r="Q27" s="2243"/>
      <c r="R27" s="2243"/>
      <c r="S27" s="2243"/>
      <c r="T27" s="2243"/>
      <c r="U27" s="2243"/>
      <c r="V27" s="2243"/>
    </row>
    <row r="28" spans="1:28">
      <c r="A28" s="3210"/>
      <c r="B28" s="292" t="s">
        <v>2215</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c r="A29" s="3210"/>
      <c r="B29" s="292" t="s">
        <v>2216</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c r="A30" s="3211"/>
      <c r="B30" s="292" t="s">
        <v>2217</v>
      </c>
      <c r="C30" s="3212"/>
      <c r="D30" s="3213"/>
      <c r="E30" s="2438"/>
      <c r="F30" s="2438"/>
      <c r="G30" s="2438"/>
      <c r="H30" s="2438"/>
      <c r="I30" s="2438"/>
      <c r="J30" s="2243"/>
      <c r="K30" s="2398"/>
      <c r="L30" s="2395"/>
      <c r="M30" s="2395"/>
      <c r="N30" s="2243"/>
      <c r="O30" s="1668"/>
      <c r="P30" s="2243"/>
      <c r="Q30" s="2243"/>
      <c r="R30" s="2243"/>
      <c r="S30" s="2243"/>
      <c r="T30" s="2243"/>
      <c r="U30" s="2243"/>
      <c r="V30" s="2243"/>
    </row>
    <row r="31" spans="1:28">
      <c r="A31" s="3214" t="s">
        <v>2218</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15"/>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15"/>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c r="A34" s="292" t="s">
        <v>2219</v>
      </c>
      <c r="B34" s="1868" t="s">
        <v>3410</v>
      </c>
      <c r="C34" s="1868" t="s">
        <v>3411</v>
      </c>
      <c r="D34" s="1868" t="s">
        <v>3412</v>
      </c>
      <c r="E34" s="1868" t="s">
        <v>3413</v>
      </c>
      <c r="F34" s="1868" t="s">
        <v>3414</v>
      </c>
      <c r="G34" s="1868"/>
      <c r="H34" s="1868"/>
      <c r="I34" s="2438"/>
      <c r="J34" s="2243"/>
      <c r="K34" s="8">
        <f>COUNTIF(B34:H34,"——")</f>
        <v>0</v>
      </c>
      <c r="L34" s="313" t="s">
        <v>2220</v>
      </c>
      <c r="M34" s="313" t="s">
        <v>2221</v>
      </c>
      <c r="N34" s="313" t="s">
        <v>2222</v>
      </c>
      <c r="O34" s="313" t="s">
        <v>2223</v>
      </c>
      <c r="P34" s="313" t="s">
        <v>2224</v>
      </c>
      <c r="Q34" s="313" t="s">
        <v>2225</v>
      </c>
      <c r="R34" s="313" t="s">
        <v>2226</v>
      </c>
      <c r="S34" s="3209" t="s">
        <v>2227</v>
      </c>
      <c r="T34" s="313" t="str">
        <f>NUMBERSTRING(7-K34,1)&amp;"通"</f>
        <v>七通</v>
      </c>
      <c r="U34" s="2243"/>
      <c r="V34" s="2243"/>
    </row>
    <row r="35" spans="1:30">
      <c r="A35" s="2234"/>
      <c r="B35" s="3209" t="s">
        <v>2228</v>
      </c>
      <c r="C35" s="3209"/>
      <c r="D35" s="3209"/>
      <c r="E35" s="3209"/>
      <c r="F35" s="8">
        <f>C10</f>
        <v>0</v>
      </c>
      <c r="G35" s="2438"/>
      <c r="H35" s="2438"/>
      <c r="I35" s="2438"/>
      <c r="J35" s="2243"/>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v>
      </c>
      <c r="R35" s="136" t="str">
        <f>B34&amp;"、"&amp;C34&amp;"、"&amp;D34&amp;"、"&amp;E34&amp;"、"&amp;F34&amp;"、"&amp;G34&amp;"、"&amp;H34</f>
        <v>通路、通电、通讯、通上水、通下水、、</v>
      </c>
      <c r="S35" s="3209"/>
      <c r="T35" s="136" t="str">
        <f>IF(T34="一通",L35,IF(T34="二通",M35,IF(T34="三通",N35,IF(T34="四通",O35,IF(T34="五通",P35,IF(T34="六通",Q35,R35))))))</f>
        <v>通路、通电、通讯、通上水、通下水、、</v>
      </c>
      <c r="U35" s="2243"/>
      <c r="V35" s="2243"/>
    </row>
    <row r="36" spans="1:30">
      <c r="A36" s="2181"/>
      <c r="B36" s="8" t="s">
        <v>2184</v>
      </c>
      <c r="C36" s="8" t="s">
        <v>2185</v>
      </c>
      <c r="D36" s="8" t="s">
        <v>2183</v>
      </c>
      <c r="E36" s="8" t="s">
        <v>2188</v>
      </c>
      <c r="F36" s="2796" t="s">
        <v>2571</v>
      </c>
      <c r="G36" s="2438"/>
      <c r="H36" s="2438"/>
      <c r="I36" s="2438"/>
      <c r="J36" s="2243"/>
      <c r="K36" s="2398"/>
      <c r="L36" s="2395"/>
      <c r="M36" s="2395"/>
      <c r="N36" s="2243"/>
      <c r="O36" s="1668"/>
      <c r="P36" s="2243"/>
      <c r="Q36" s="2243"/>
      <c r="R36" s="2243"/>
      <c r="S36" s="2243"/>
      <c r="T36" s="2243"/>
      <c r="U36" s="2243"/>
      <c r="V36" s="2243"/>
    </row>
    <row r="37" spans="1:30">
      <c r="A37" s="2411" t="s">
        <v>2229</v>
      </c>
      <c r="B37" s="2235"/>
      <c r="C37" s="2235"/>
      <c r="D37" s="2235"/>
      <c r="E37" s="2235"/>
      <c r="F37" s="2235"/>
      <c r="G37" s="2438"/>
      <c r="H37" s="2438"/>
      <c r="I37" s="2438"/>
      <c r="J37" s="2243"/>
      <c r="K37" s="2398"/>
      <c r="L37" s="2395"/>
      <c r="M37" s="2395"/>
      <c r="N37" s="2243"/>
      <c r="O37" s="1668"/>
      <c r="P37" s="2243"/>
      <c r="Q37" s="2243"/>
      <c r="R37" s="2243"/>
      <c r="S37" s="2243"/>
      <c r="T37" s="2243"/>
      <c r="U37" s="2243"/>
      <c r="V37" s="2243"/>
    </row>
    <row r="38" spans="1:30" ht="13.8" thickBot="1">
      <c r="A38" s="2412" t="s">
        <v>2230</v>
      </c>
      <c r="B38" s="2236"/>
      <c r="C38" s="2236"/>
      <c r="D38" s="2236"/>
      <c r="E38" s="2236"/>
      <c r="F38" s="2236"/>
      <c r="G38" s="2439"/>
      <c r="H38" s="2439"/>
      <c r="I38" s="2439"/>
      <c r="J38" s="2243"/>
      <c r="K38" s="2398"/>
      <c r="L38" s="2395"/>
      <c r="M38" s="2395"/>
      <c r="N38" s="2243"/>
      <c r="O38" s="1668"/>
      <c r="P38" s="2243"/>
      <c r="Q38" s="2243"/>
      <c r="R38" s="2243"/>
      <c r="S38" s="2243"/>
      <c r="T38" s="2243"/>
      <c r="U38" s="2243"/>
      <c r="V38" s="2243"/>
    </row>
    <row r="39" spans="1:30" s="2239" customFormat="1" ht="14.4" thickTop="1" thickBot="1">
      <c r="A39" s="2237" t="s">
        <v>2231</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c r="A41" s="2240" t="s">
        <v>2232</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5.2">
      <c r="A42" s="313"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3"/>
      <c r="T42" s="2243"/>
      <c r="U42" s="2243"/>
      <c r="V42" s="2243"/>
    </row>
    <row r="43" spans="1:30" s="1614" customFormat="1">
      <c r="A43" s="1460"/>
      <c r="B43" s="626"/>
      <c r="C43" s="626"/>
      <c r="D43" s="626"/>
      <c r="E43" s="626"/>
      <c r="F43" s="626"/>
      <c r="G43" s="626"/>
      <c r="H43" s="626"/>
      <c r="I43" s="626"/>
      <c r="J43" s="2241"/>
      <c r="K43" s="2242"/>
      <c r="L43" s="2242"/>
      <c r="M43" s="626"/>
      <c r="N43" s="626"/>
      <c r="O43" s="626"/>
      <c r="P43" s="626"/>
      <c r="Q43" s="626"/>
      <c r="R43" s="626"/>
      <c r="S43" s="2243"/>
      <c r="T43" s="2243"/>
      <c r="U43" s="2243"/>
      <c r="V43" s="2243"/>
    </row>
    <row r="44" spans="1:30" s="1614" customFormat="1">
      <c r="A44" s="1460"/>
      <c r="B44" s="1460"/>
      <c r="C44" s="626"/>
      <c r="D44" s="626"/>
      <c r="E44" s="626"/>
      <c r="F44" s="626"/>
      <c r="G44" s="626"/>
      <c r="H44" s="626"/>
      <c r="I44" s="626"/>
      <c r="J44" s="2241"/>
      <c r="K44" s="2242"/>
      <c r="L44" s="2242"/>
      <c r="M44" s="626"/>
      <c r="N44" s="626"/>
      <c r="O44" s="626"/>
      <c r="P44" s="626"/>
      <c r="Q44" s="626"/>
      <c r="R44" s="626"/>
      <c r="S44" s="2243"/>
      <c r="T44" s="2243"/>
      <c r="U44" s="2243"/>
      <c r="V44" s="2243"/>
    </row>
    <row r="45" spans="1:30" s="1614" customFormat="1">
      <c r="A45" s="1460"/>
      <c r="B45" s="1460"/>
      <c r="C45" s="626"/>
      <c r="D45" s="626"/>
      <c r="E45" s="626"/>
      <c r="F45" s="626"/>
      <c r="G45" s="626"/>
      <c r="H45" s="626"/>
      <c r="I45" s="626"/>
      <c r="J45" s="2241"/>
      <c r="K45" s="2242"/>
      <c r="L45" s="2242"/>
      <c r="M45" s="626"/>
      <c r="N45" s="626"/>
      <c r="O45" s="626"/>
      <c r="P45" s="626"/>
      <c r="Q45" s="626"/>
      <c r="R45" s="626"/>
      <c r="S45" s="2243"/>
      <c r="T45" s="2243"/>
      <c r="U45" s="2243"/>
      <c r="V45" s="2243"/>
    </row>
    <row r="46" spans="1:30" s="1614" customFormat="1">
      <c r="A46" s="1460"/>
      <c r="B46" s="1460"/>
      <c r="C46" s="626"/>
      <c r="D46" s="626"/>
      <c r="E46" s="626"/>
      <c r="F46" s="626"/>
      <c r="G46" s="626"/>
      <c r="H46" s="626"/>
      <c r="I46" s="626"/>
      <c r="J46" s="2241"/>
      <c r="K46" s="2242"/>
      <c r="L46" s="2242"/>
      <c r="M46" s="626"/>
      <c r="N46" s="626"/>
      <c r="O46" s="626"/>
      <c r="P46" s="626"/>
      <c r="Q46" s="626"/>
      <c r="R46" s="626"/>
      <c r="S46" s="2243"/>
      <c r="T46" s="2243"/>
      <c r="U46" s="2243"/>
      <c r="V46" s="2243"/>
    </row>
    <row r="47" spans="1:30" s="1614" customFormat="1">
      <c r="A47" s="1460"/>
      <c r="B47" s="1460"/>
      <c r="C47" s="626"/>
      <c r="D47" s="626"/>
      <c r="E47" s="626"/>
      <c r="F47" s="626"/>
      <c r="G47" s="626"/>
      <c r="H47" s="626"/>
      <c r="I47" s="626"/>
      <c r="J47" s="2241"/>
      <c r="K47" s="2242"/>
      <c r="L47" s="2242"/>
      <c r="M47" s="626"/>
      <c r="N47" s="626"/>
      <c r="O47" s="626"/>
      <c r="P47" s="626"/>
      <c r="Q47" s="626"/>
      <c r="R47" s="626"/>
      <c r="S47" s="2243"/>
      <c r="T47" s="2243"/>
      <c r="U47" s="2243"/>
      <c r="V47" s="2243"/>
    </row>
    <row r="48" spans="1:30" s="1614" customFormat="1">
      <c r="A48" s="1460"/>
      <c r="B48" s="1460"/>
      <c r="C48" s="626"/>
      <c r="D48" s="626"/>
      <c r="E48" s="626"/>
      <c r="F48" s="626"/>
      <c r="G48" s="626"/>
      <c r="H48" s="626"/>
      <c r="I48" s="626"/>
      <c r="J48" s="2241"/>
      <c r="K48" s="2242"/>
      <c r="L48" s="2242"/>
      <c r="M48" s="626"/>
      <c r="N48" s="626"/>
      <c r="O48" s="626"/>
      <c r="P48" s="626"/>
      <c r="Q48" s="626"/>
      <c r="R48" s="626"/>
      <c r="S48" s="2243"/>
      <c r="T48" s="2243"/>
      <c r="U48" s="2243"/>
      <c r="V48" s="2243"/>
    </row>
    <row r="49" spans="1:22" s="1614" customFormat="1">
      <c r="A49" s="1460"/>
      <c r="B49" s="1460"/>
      <c r="C49" s="626"/>
      <c r="D49" s="626"/>
      <c r="E49" s="626"/>
      <c r="F49" s="626"/>
      <c r="G49" s="626"/>
      <c r="H49" s="626"/>
      <c r="I49" s="626"/>
      <c r="J49" s="2241"/>
      <c r="K49" s="2242"/>
      <c r="L49" s="2242"/>
      <c r="M49" s="626"/>
      <c r="N49" s="626"/>
      <c r="O49" s="626"/>
      <c r="P49" s="626"/>
      <c r="Q49" s="626"/>
      <c r="R49" s="626"/>
      <c r="S49" s="2243"/>
      <c r="T49" s="2243"/>
      <c r="U49" s="2243"/>
      <c r="V49" s="2243"/>
    </row>
    <row r="50" spans="1:22" s="1614" customFormat="1">
      <c r="A50" s="1460"/>
      <c r="B50" s="1460"/>
      <c r="C50" s="626"/>
      <c r="D50" s="626"/>
      <c r="E50" s="626"/>
      <c r="F50" s="626"/>
      <c r="G50" s="626"/>
      <c r="H50" s="626"/>
      <c r="I50" s="626"/>
      <c r="J50" s="2241"/>
      <c r="K50" s="2242"/>
      <c r="L50" s="2242"/>
      <c r="M50" s="626"/>
      <c r="N50" s="626"/>
      <c r="O50" s="626"/>
      <c r="P50" s="626"/>
      <c r="Q50" s="626"/>
      <c r="R50" s="626"/>
      <c r="S50" s="2243"/>
      <c r="T50" s="2243"/>
      <c r="U50" s="2243"/>
      <c r="V50" s="2243"/>
    </row>
    <row r="51" spans="1:22" s="1614" customFormat="1">
      <c r="A51" s="1460"/>
      <c r="B51" s="1460"/>
      <c r="C51" s="626"/>
      <c r="D51" s="626"/>
      <c r="E51" s="626"/>
      <c r="F51" s="626"/>
      <c r="G51" s="626"/>
      <c r="H51" s="626"/>
      <c r="I51" s="626"/>
      <c r="J51" s="2241"/>
      <c r="K51" s="2242"/>
      <c r="L51" s="2242"/>
      <c r="M51" s="626"/>
      <c r="N51" s="626"/>
      <c r="O51" s="626"/>
      <c r="P51" s="626"/>
      <c r="Q51" s="626"/>
      <c r="R51" s="626"/>
    </row>
    <row r="52" spans="1:22" s="1614" customFormat="1">
      <c r="A52" s="1460"/>
      <c r="B52" s="1460"/>
      <c r="C52" s="1460"/>
      <c r="D52" s="1460"/>
      <c r="E52" s="1460"/>
      <c r="F52" s="626"/>
      <c r="G52" s="1460"/>
      <c r="H52" s="1460"/>
      <c r="I52" s="1460"/>
      <c r="J52" s="2244"/>
      <c r="K52" s="2242"/>
      <c r="L52" s="2242"/>
      <c r="M52" s="2242"/>
      <c r="N52" s="1460"/>
      <c r="O52" s="1460"/>
      <c r="P52" s="1460"/>
      <c r="Q52" s="1460"/>
      <c r="R52" s="1460"/>
    </row>
    <row r="53" spans="1:22" s="1614" customFormat="1">
      <c r="A53" s="1460"/>
      <c r="B53" s="1460"/>
      <c r="C53" s="1460"/>
      <c r="D53" s="1460"/>
      <c r="E53" s="1460"/>
      <c r="F53" s="626"/>
      <c r="G53" s="1460"/>
      <c r="H53" s="1460"/>
      <c r="I53" s="1460"/>
      <c r="J53" s="2244"/>
      <c r="K53" s="2242"/>
      <c r="L53" s="2242"/>
      <c r="M53" s="2242"/>
      <c r="N53" s="1460"/>
      <c r="O53" s="1460"/>
      <c r="P53" s="1460"/>
      <c r="Q53" s="1460"/>
      <c r="R53" s="1460"/>
    </row>
    <row r="54" spans="1:22" s="1614" customFormat="1">
      <c r="A54" s="1460"/>
      <c r="B54" s="1460"/>
      <c r="C54" s="1460"/>
      <c r="D54" s="1460"/>
      <c r="E54" s="1460"/>
      <c r="F54" s="626"/>
      <c r="G54" s="1460"/>
      <c r="H54" s="1460"/>
      <c r="I54" s="1460"/>
      <c r="J54" s="2244"/>
      <c r="K54" s="2242"/>
      <c r="L54" s="2242"/>
      <c r="M54" s="2242"/>
      <c r="N54" s="1460"/>
      <c r="O54" s="1460"/>
      <c r="P54" s="1460"/>
      <c r="Q54" s="1460"/>
      <c r="R54" s="1460"/>
    </row>
    <row r="55" spans="1:22" s="1614" customFormat="1">
      <c r="A55" s="1460"/>
      <c r="B55" s="1460"/>
      <c r="C55" s="1460"/>
      <c r="D55" s="1460"/>
      <c r="E55" s="1460"/>
      <c r="F55" s="626"/>
      <c r="G55" s="1460"/>
      <c r="H55" s="1460"/>
      <c r="I55" s="1460"/>
      <c r="J55" s="2244"/>
      <c r="K55" s="2242"/>
      <c r="L55" s="2242"/>
      <c r="M55" s="2242"/>
      <c r="N55" s="1460"/>
      <c r="O55" s="1460"/>
      <c r="P55" s="1460"/>
      <c r="Q55" s="1460"/>
      <c r="R55" s="1460"/>
    </row>
    <row r="56" spans="1:22" s="1614" customFormat="1">
      <c r="A56" s="1460"/>
      <c r="B56" s="1460"/>
      <c r="C56" s="1460"/>
      <c r="D56" s="1460"/>
      <c r="E56" s="1460"/>
      <c r="F56" s="62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25"/>
  <sheetViews>
    <sheetView tabSelected="1" topLeftCell="D1" workbookViewId="0">
      <selection activeCell="R10" sqref="R10"/>
    </sheetView>
  </sheetViews>
  <sheetFormatPr defaultColWidth="9" defaultRowHeight="16.2"/>
  <cols>
    <col min="1" max="1" width="4.33203125" style="3140" customWidth="1"/>
    <col min="2" max="2" width="18.33203125" style="3140" customWidth="1"/>
    <col min="3" max="3" width="45.44140625" style="3140" bestFit="1" customWidth="1"/>
    <col min="4" max="4" width="6.88671875" style="3140" customWidth="1"/>
    <col min="5" max="5" width="10.88671875" style="3140" customWidth="1"/>
    <col min="6" max="6" width="10.77734375" style="3140" customWidth="1"/>
    <col min="7" max="7" width="9" style="3140"/>
    <col min="8" max="8" width="14.44140625" style="3140" customWidth="1"/>
    <col min="9" max="9" width="9" style="3140"/>
    <col min="10" max="10" width="15.77734375" style="3140" customWidth="1"/>
    <col min="11" max="11" width="11.109375" style="3140" bestFit="1" customWidth="1"/>
    <col min="12" max="16384" width="9" style="3140"/>
  </cols>
  <sheetData>
    <row r="1" spans="1:21">
      <c r="B1" s="3140" t="s">
        <v>3388</v>
      </c>
      <c r="C1" s="3143">
        <v>35316.97</v>
      </c>
      <c r="E1" s="3140" t="s">
        <v>2817</v>
      </c>
    </row>
    <row r="2" spans="1:21">
      <c r="B2" s="3140" t="s">
        <v>3389</v>
      </c>
      <c r="C2" s="3144">
        <v>62559</v>
      </c>
      <c r="G2" s="3140" t="s">
        <v>3583</v>
      </c>
      <c r="H2" s="3140">
        <v>48984.32</v>
      </c>
    </row>
    <row r="3" spans="1:21">
      <c r="G3" s="3140" t="s">
        <v>3584</v>
      </c>
      <c r="H3" s="3140">
        <v>48984.32</v>
      </c>
    </row>
    <row r="6" spans="1:21">
      <c r="K6" s="3140">
        <f>'土地比较法-工业'!C42</f>
        <v>610</v>
      </c>
      <c r="N6" s="3140">
        <f ca="1">结果表!H118</f>
        <v>16073</v>
      </c>
    </row>
    <row r="7" spans="1:21">
      <c r="A7" s="3141" t="s">
        <v>3380</v>
      </c>
      <c r="B7" s="3141" t="s">
        <v>3381</v>
      </c>
      <c r="C7" s="3141" t="s">
        <v>3382</v>
      </c>
      <c r="D7" s="3141" t="s">
        <v>3390</v>
      </c>
      <c r="E7" s="3141" t="s">
        <v>3385</v>
      </c>
      <c r="F7" s="3141" t="s">
        <v>3386</v>
      </c>
      <c r="G7" s="3141" t="s">
        <v>2535</v>
      </c>
      <c r="H7" s="3141" t="s">
        <v>3392</v>
      </c>
      <c r="I7" s="3140" t="s">
        <v>3588</v>
      </c>
      <c r="J7" s="3140" t="s">
        <v>3590</v>
      </c>
      <c r="K7" s="3504" t="s">
        <v>3587</v>
      </c>
      <c r="L7" s="3504" t="s">
        <v>3586</v>
      </c>
      <c r="M7" s="3504" t="s">
        <v>3589</v>
      </c>
      <c r="N7" s="3504" t="s">
        <v>3585</v>
      </c>
    </row>
    <row r="8" spans="1:21" ht="48.6">
      <c r="A8" s="3141">
        <v>1</v>
      </c>
      <c r="B8" s="3142" t="s">
        <v>3383</v>
      </c>
      <c r="C8" s="3142" t="s">
        <v>3384</v>
      </c>
      <c r="D8" s="3141" t="s">
        <v>3391</v>
      </c>
      <c r="E8" s="3145">
        <v>4</v>
      </c>
      <c r="F8" s="3146" t="s">
        <v>3387</v>
      </c>
      <c r="G8" s="3141" t="s">
        <v>2539</v>
      </c>
      <c r="H8" s="3141">
        <v>12417.31</v>
      </c>
      <c r="I8" s="3140">
        <v>2800</v>
      </c>
      <c r="J8" s="3140">
        <f>ROUND(H8/$H$12*$C$1,2)</f>
        <v>10038.530000000001</v>
      </c>
      <c r="K8" s="3504">
        <f>ROUND(J8*$K$6/10000,0)</f>
        <v>612</v>
      </c>
      <c r="L8" s="3504">
        <f>ROUND(H8*I8/10000,0)</f>
        <v>3477</v>
      </c>
      <c r="M8" s="3504">
        <f>K8+L8</f>
        <v>4089</v>
      </c>
      <c r="N8" s="3504">
        <f ca="1">ROUND(M8/$M$12*$N$6,0)</f>
        <v>4369</v>
      </c>
      <c r="O8" s="3140">
        <f ca="1">N8*10000/H8</f>
        <v>3518.4754185890506</v>
      </c>
      <c r="T8" s="3140">
        <v>0.5</v>
      </c>
      <c r="U8" s="3140">
        <f>H8*T8</f>
        <v>6208.6549999999997</v>
      </c>
    </row>
    <row r="9" spans="1:21" ht="48.6">
      <c r="A9" s="3141">
        <v>2</v>
      </c>
      <c r="B9" s="3142" t="s">
        <v>3393</v>
      </c>
      <c r="C9" s="3142" t="s">
        <v>3394</v>
      </c>
      <c r="D9" s="3141" t="s">
        <v>3391</v>
      </c>
      <c r="E9" s="3141">
        <v>3</v>
      </c>
      <c r="F9" s="3164" t="s">
        <v>3387</v>
      </c>
      <c r="G9" s="3141" t="s">
        <v>2539</v>
      </c>
      <c r="H9" s="3141">
        <v>12347.85</v>
      </c>
      <c r="I9" s="3140">
        <f>I8</f>
        <v>2800</v>
      </c>
      <c r="J9" s="3140">
        <f t="shared" ref="J9:J11" si="0">ROUND(H9/$H$12*$C$1,2)</f>
        <v>9982.3799999999992</v>
      </c>
      <c r="K9" s="3504">
        <f t="shared" ref="K9:K11" si="1">ROUND(J9*$K$6/10000,0)</f>
        <v>609</v>
      </c>
      <c r="L9" s="3504">
        <f>ROUND(H9*I9/10000,0)</f>
        <v>3457</v>
      </c>
      <c r="M9" s="3504">
        <f t="shared" ref="M9:M11" si="2">K9+L9</f>
        <v>4066</v>
      </c>
      <c r="N9" s="3504">
        <f t="shared" ref="N9:N11" ca="1" si="3">ROUND(M9/$M$12*$N$6,0)</f>
        <v>4345</v>
      </c>
      <c r="O9" s="3140">
        <f t="shared" ref="O9:O11" ca="1" si="4">N9*10000/H9</f>
        <v>3518.8312135311003</v>
      </c>
      <c r="T9" s="3140">
        <v>0.5</v>
      </c>
      <c r="U9" s="3140">
        <f>H9*T9</f>
        <v>6173.9250000000002</v>
      </c>
    </row>
    <row r="10" spans="1:21" ht="48.6">
      <c r="A10" s="3141">
        <v>3</v>
      </c>
      <c r="B10" s="3142" t="s">
        <v>3395</v>
      </c>
      <c r="C10" s="3142" t="s">
        <v>3396</v>
      </c>
      <c r="D10" s="3141" t="s">
        <v>3391</v>
      </c>
      <c r="E10" s="3141">
        <v>3</v>
      </c>
      <c r="F10" s="3164" t="s">
        <v>3387</v>
      </c>
      <c r="G10" s="3141" t="s">
        <v>2539</v>
      </c>
      <c r="H10" s="3141">
        <v>12363.78</v>
      </c>
      <c r="I10" s="3140">
        <f>I9</f>
        <v>2800</v>
      </c>
      <c r="J10" s="3140">
        <f t="shared" si="0"/>
        <v>9995.26</v>
      </c>
      <c r="K10" s="3504">
        <f t="shared" si="1"/>
        <v>610</v>
      </c>
      <c r="L10" s="3504">
        <f>ROUND(H10*I10/10000,0)</f>
        <v>3462</v>
      </c>
      <c r="M10" s="3504">
        <f t="shared" si="2"/>
        <v>4072</v>
      </c>
      <c r="N10" s="3504">
        <f t="shared" ca="1" si="3"/>
        <v>4351</v>
      </c>
      <c r="O10" s="3140">
        <f t="shared" ca="1" si="4"/>
        <v>3519.1502922245459</v>
      </c>
      <c r="T10" s="3140">
        <v>0.5</v>
      </c>
      <c r="U10" s="3140">
        <f>H10*T10</f>
        <v>6181.89</v>
      </c>
    </row>
    <row r="11" spans="1:21" ht="48.6">
      <c r="A11" s="3141">
        <v>4</v>
      </c>
      <c r="B11" s="3142" t="s">
        <v>3397</v>
      </c>
      <c r="C11" s="3142" t="s">
        <v>3398</v>
      </c>
      <c r="D11" s="3141" t="s">
        <v>3391</v>
      </c>
      <c r="E11" s="3145">
        <v>5</v>
      </c>
      <c r="F11" s="3146" t="s">
        <v>3399</v>
      </c>
      <c r="G11" s="3141" t="s">
        <v>2539</v>
      </c>
      <c r="H11" s="3141">
        <v>6556.91</v>
      </c>
      <c r="I11" s="3140">
        <v>3800</v>
      </c>
      <c r="J11" s="3140">
        <f>C1-J8-J9-J10</f>
        <v>5300.8000000000029</v>
      </c>
      <c r="K11" s="3504">
        <f t="shared" si="1"/>
        <v>323</v>
      </c>
      <c r="L11" s="3504">
        <f>ROUND(H11*I11/10000,0)</f>
        <v>2492</v>
      </c>
      <c r="M11" s="3504">
        <f t="shared" si="2"/>
        <v>2815</v>
      </c>
      <c r="N11" s="3504">
        <f t="shared" ca="1" si="3"/>
        <v>3008</v>
      </c>
      <c r="O11" s="3140">
        <f t="shared" ca="1" si="4"/>
        <v>4587.5267465925263</v>
      </c>
      <c r="T11" s="3140">
        <v>0.8</v>
      </c>
      <c r="U11" s="3140">
        <f>H11*T11</f>
        <v>5245.5280000000002</v>
      </c>
    </row>
    <row r="12" spans="1:21">
      <c r="A12" s="3238" t="s">
        <v>2584</v>
      </c>
      <c r="B12" s="3239"/>
      <c r="C12" s="3141" t="s">
        <v>3581</v>
      </c>
      <c r="D12" s="3141" t="s">
        <v>3581</v>
      </c>
      <c r="E12" s="3141" t="s">
        <v>3581</v>
      </c>
      <c r="F12" s="3141" t="s">
        <v>3581</v>
      </c>
      <c r="G12" s="3141" t="s">
        <v>3581</v>
      </c>
      <c r="H12" s="3141">
        <f>SUM(H8:H11)</f>
        <v>43685.850000000006</v>
      </c>
      <c r="I12" s="3505">
        <f>L12/H12*10000</f>
        <v>2950.1543405931207</v>
      </c>
      <c r="J12" s="3140">
        <f>SUM(J8:J11)</f>
        <v>35316.97</v>
      </c>
      <c r="K12" s="3504">
        <f>SUM(K8:K11)</f>
        <v>2154</v>
      </c>
      <c r="L12" s="3504">
        <f>SUM(L8:L11)</f>
        <v>12888</v>
      </c>
      <c r="M12" s="3504">
        <f>SUM(M8:M11)</f>
        <v>15042</v>
      </c>
      <c r="N12" s="3504">
        <f ca="1">SUM(N8:N11)</f>
        <v>16073</v>
      </c>
      <c r="T12" s="3140">
        <f>ROUND(U12/H12,2)</f>
        <v>0.55000000000000004</v>
      </c>
      <c r="U12" s="3140">
        <f>SUM(U8:U11)</f>
        <v>23809.998</v>
      </c>
    </row>
    <row r="14" spans="1:21">
      <c r="E14" s="3140" t="s">
        <v>3416</v>
      </c>
      <c r="F14" s="3140">
        <v>12625.14</v>
      </c>
    </row>
    <row r="16" spans="1:21">
      <c r="E16" s="3140">
        <v>17640</v>
      </c>
      <c r="F16" s="3149">
        <v>13894</v>
      </c>
    </row>
    <row r="17" spans="5:7">
      <c r="E17" s="3140">
        <v>7843</v>
      </c>
    </row>
    <row r="18" spans="5:7">
      <c r="E18" s="3140">
        <f>SUM(E16:E17)</f>
        <v>25483</v>
      </c>
    </row>
    <row r="20" spans="5:7">
      <c r="E20" s="3161" t="s">
        <v>3572</v>
      </c>
      <c r="F20" s="3140">
        <v>17948850</v>
      </c>
    </row>
    <row r="21" spans="5:7">
      <c r="E21" s="3140" t="s">
        <v>3573</v>
      </c>
      <c r="F21" s="3140">
        <v>73554</v>
      </c>
    </row>
    <row r="22" spans="5:7">
      <c r="F22" s="3140">
        <v>644400</v>
      </c>
    </row>
    <row r="23" spans="5:7">
      <c r="F23" s="3140">
        <f>SUM(F21:F22)</f>
        <v>717954</v>
      </c>
      <c r="G23" s="3162">
        <f>F23/F20</f>
        <v>0.04</v>
      </c>
    </row>
    <row r="25" spans="5:7">
      <c r="E25" s="3140" t="s">
        <v>3574</v>
      </c>
      <c r="F25" s="3140">
        <v>26487.73</v>
      </c>
      <c r="G25" s="3140">
        <f>F25/C1</f>
        <v>0.75000007078749953</v>
      </c>
    </row>
  </sheetData>
  <mergeCells count="1">
    <mergeCell ref="A12:B12"/>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2" width="9.44140625" style="1461" customWidth="1"/>
    <col min="13" max="14" width="9.44140625" style="1461" hidden="1" customWidth="1"/>
    <col min="15" max="15" width="9.88671875" style="1461" hidden="1" customWidth="1"/>
    <col min="16" max="16" width="9.77734375" style="1461" hidden="1" customWidth="1"/>
    <col min="17" max="17" width="9.33203125" style="1461" hidden="1" customWidth="1"/>
    <col min="18" max="18" width="9.21875" style="1461" hidden="1" customWidth="1"/>
    <col min="19" max="19" width="10.88671875" style="1461" hidden="1" customWidth="1"/>
    <col min="20" max="21" width="10.77734375" style="1461" hidden="1" customWidth="1"/>
    <col min="22" max="22" width="10.88671875" style="1461" hidden="1" customWidth="1"/>
    <col min="23" max="27" width="10.77734375" style="1461" hidden="1" customWidth="1"/>
    <col min="28" max="28" width="10.88671875" style="1461" hidden="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f>面积!C1</f>
        <v>35316.97</v>
      </c>
      <c r="B3" s="11">
        <f>IF(C3="否",G5-AT5,G5)</f>
        <v>43685.850000000006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43685.850000000006</v>
      </c>
      <c r="H5" s="13">
        <f t="shared" ref="H5:AT5" si="0">SUM(H13:H656)</f>
        <v>43685.850000000006</v>
      </c>
      <c r="I5" s="13">
        <f t="shared" si="0"/>
        <v>43685.850000000006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43685.850000000006</v>
      </c>
      <c r="BA5" s="15">
        <f t="shared" si="1"/>
        <v>43685.850000000006</v>
      </c>
      <c r="BB5" s="15">
        <f t="shared" si="1"/>
        <v>43685.850000000006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35316.97</v>
      </c>
      <c r="F6" s="13" t="s">
        <v>0</v>
      </c>
      <c r="G6" s="13" t="s">
        <v>1</v>
      </c>
      <c r="H6" s="17">
        <f>SUMIF(I$12:AB$12,"总值",I6:AB6)</f>
        <v>35316.97</v>
      </c>
      <c r="I6" s="13">
        <f t="shared" ref="I6:AB6" si="2">ROUND($A$3*I5/$B$3,2)</f>
        <v>35316.97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35316.97</v>
      </c>
      <c r="AZ6" s="13" t="s">
        <v>2</v>
      </c>
      <c r="BA6" s="13">
        <f>ROUND($AY$6*BA5/$AZ$5,2)</f>
        <v>35316.97</v>
      </c>
      <c r="BB6" s="13">
        <f>ROUND($AY$6*BB5/$AZ$5,2)</f>
        <v>35316.97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3400</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3</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6"/>
      <c r="B13" s="626"/>
      <c r="C13" s="626">
        <v>5</v>
      </c>
      <c r="D13" s="1511" t="s">
        <v>3402</v>
      </c>
      <c r="E13" s="13">
        <f>IF($C$3="是",ROUND($A$3*G13/$B$3,2),ROUND($A$3*(G13-AT13)/$B$3,2))</f>
        <v>10038.530000000001</v>
      </c>
      <c r="F13" s="29"/>
      <c r="G13" s="30">
        <f>H13+AC13+AT13</f>
        <v>12417.31</v>
      </c>
      <c r="H13" s="17">
        <f>SUMIF(I$12:AB$12,"总值",I13:AB13)</f>
        <v>12417.31</v>
      </c>
      <c r="I13" s="1512">
        <f>面积!H8</f>
        <v>12417.31</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5</v>
      </c>
      <c r="AY13" s="1258">
        <f>ROUND($AY$6*AZ13/$AZ$5,2)</f>
        <v>10038.530000000001</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6"/>
      <c r="B14" s="626"/>
      <c r="C14" s="626">
        <v>6</v>
      </c>
      <c r="D14" s="1511" t="s">
        <v>3402</v>
      </c>
      <c r="E14" s="13">
        <f>IF($C$3="是",ROUND($A$3*G14/$B$3,2),ROUND($A$3*(G14-AT14)/$B$3,2))</f>
        <v>9982.3799999999992</v>
      </c>
      <c r="F14" s="29"/>
      <c r="G14" s="30">
        <f>H14+AC14+AT14</f>
        <v>12347.85</v>
      </c>
      <c r="H14" s="17">
        <f>SUMIF(I$12:AB$12,"总值",I14:AB14)</f>
        <v>12347.85</v>
      </c>
      <c r="I14" s="1512">
        <f>面积!H9</f>
        <v>12347.85</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6</v>
      </c>
      <c r="AY14" s="1258">
        <f>ROUND($AY$6*AZ14/$AZ$5,2)</f>
        <v>9982.3799999999992</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6"/>
      <c r="B15" s="626"/>
      <c r="C15" s="626">
        <v>7</v>
      </c>
      <c r="D15" s="1511" t="s">
        <v>3402</v>
      </c>
      <c r="E15" s="13">
        <f>IF($C$3="是",ROUND($A$3*G15/$B$3,2),ROUND($A$3*(G15-AT15)/$B$3,2))</f>
        <v>9995.26</v>
      </c>
      <c r="F15" s="29"/>
      <c r="G15" s="30">
        <f>H15+AC15+AT15</f>
        <v>12363.78</v>
      </c>
      <c r="H15" s="17">
        <f>SUMIF(I$12:AB$12,"总值",I15:AB15)</f>
        <v>12363.78</v>
      </c>
      <c r="I15" s="1512">
        <f>面积!H10</f>
        <v>12363.78</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7</v>
      </c>
      <c r="AY15" s="1258">
        <f>ROUND($AY$6*AZ15/$AZ$5,2)</f>
        <v>9995.26</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6"/>
      <c r="B16" s="626"/>
      <c r="C16" s="3147" t="s">
        <v>3401</v>
      </c>
      <c r="D16" s="1511" t="s">
        <v>3402</v>
      </c>
      <c r="E16" s="13">
        <f>IF($C$3="是",ROUND($A$3*G16/$B$3,2),ROUND($A$3*(G16-AT16)/$B$3,2))</f>
        <v>5300.81</v>
      </c>
      <c r="F16" s="29"/>
      <c r="G16" s="30">
        <f>H16+AC16+AT16</f>
        <v>6556.91</v>
      </c>
      <c r="H16" s="17">
        <f>SUMIF(I$12:AB$12,"总值",I16:AB16)</f>
        <v>6556.91</v>
      </c>
      <c r="I16" s="1512">
        <f>面积!H11</f>
        <v>6556.91</v>
      </c>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共享空间</v>
      </c>
      <c r="AY16" s="1258">
        <f>ROUND($AY$6*AZ16/$AZ$5,2)</f>
        <v>5300.81</v>
      </c>
      <c r="AZ16" s="13">
        <f>BA16+BL16</f>
        <v>6556.91</v>
      </c>
      <c r="BA16" s="13">
        <f>SUM(BB16:BK16)</f>
        <v>6556.91</v>
      </c>
      <c r="BB16" s="13">
        <f>IF($D16="是",I16-J16,0)</f>
        <v>6556.91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7" zoomScale="115" zoomScaleNormal="100" zoomScaleSheetLayoutView="115" workbookViewId="0">
      <selection activeCell="I4" sqref="I4"/>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49" t="s">
        <v>1131</v>
      </c>
      <c r="B2" s="3249"/>
      <c r="C2" s="3249"/>
      <c r="D2" s="746" t="s">
        <v>1107</v>
      </c>
      <c r="E2" s="1521" t="s">
        <v>1108</v>
      </c>
      <c r="F2" s="2435"/>
      <c r="G2" s="2428"/>
      <c r="H2" s="2429"/>
      <c r="I2" s="2144" t="s">
        <v>1132</v>
      </c>
      <c r="J2" s="2435"/>
      <c r="K2" s="2435"/>
      <c r="L2" s="2435"/>
      <c r="M2" s="2435"/>
      <c r="N2" s="2436"/>
      <c r="O2" s="2435"/>
      <c r="P2" s="2435"/>
    </row>
    <row r="3" spans="1:16" ht="15" thickBot="1">
      <c r="A3" s="3250" t="s">
        <v>1105</v>
      </c>
      <c r="B3" s="3250"/>
      <c r="C3" s="3250"/>
      <c r="D3" s="41">
        <f>'数据-基础表'!AY6</f>
        <v>35316.97</v>
      </c>
      <c r="E3" s="41">
        <f>'数据-基础表'!AZ5</f>
        <v>43685.850000000006</v>
      </c>
      <c r="F3" s="2435"/>
      <c r="G3" s="42"/>
      <c r="H3" s="43" t="s">
        <v>1106</v>
      </c>
      <c r="I3" s="800">
        <f>ROUND('数据-基础表'!B3/'数据-基础表'!A3,2)</f>
        <v>1.24</v>
      </c>
      <c r="J3" s="2435"/>
      <c r="K3" s="2435"/>
      <c r="L3" s="2435"/>
      <c r="M3" s="2435"/>
      <c r="N3" s="2436"/>
      <c r="O3" s="2435"/>
      <c r="P3" s="2435"/>
    </row>
    <row r="4" spans="1:16" ht="14.4">
      <c r="A4" s="3251"/>
      <c r="B4" s="3252"/>
      <c r="C4" s="3253"/>
      <c r="D4" s="1522" t="s">
        <v>1107</v>
      </c>
      <c r="E4" s="1523" t="s">
        <v>1108</v>
      </c>
      <c r="F4" s="2435"/>
      <c r="G4" s="2430" t="s">
        <v>1133</v>
      </c>
      <c r="H4" s="43" t="s">
        <v>1113</v>
      </c>
      <c r="I4" s="800">
        <f>ROUND(SUMIF('数据-基础表'!I9:AS9,"地上",'数据-基础表'!I5:AS5)/'数据-基础表'!A3,2)</f>
        <v>1.24</v>
      </c>
      <c r="J4" s="2435"/>
      <c r="K4" s="2435"/>
      <c r="L4" s="2435"/>
      <c r="M4" s="2435"/>
      <c r="N4" s="2436"/>
      <c r="O4" s="2435"/>
      <c r="P4" s="2435"/>
    </row>
    <row r="5" spans="1:16" ht="14.4">
      <c r="A5" s="42" t="s">
        <v>1109</v>
      </c>
      <c r="B5" s="3254" t="s">
        <v>1110</v>
      </c>
      <c r="C5" s="3254"/>
      <c r="D5" s="43">
        <f>ROUND($D$3*E5/$E$3,2)</f>
        <v>0</v>
      </c>
      <c r="E5" s="44">
        <f>SUMIF('数据-基础表'!$11:$11,"住宅",'数据-基础表'!$5:$5)</f>
        <v>0</v>
      </c>
      <c r="F5" s="2435"/>
      <c r="G5" s="42"/>
      <c r="H5" s="43" t="s">
        <v>1106</v>
      </c>
      <c r="I5" s="800">
        <f>ROUND(E31/D31,2)</f>
        <v>1.24</v>
      </c>
      <c r="J5" s="2435"/>
      <c r="K5" s="2435"/>
      <c r="L5" s="2435"/>
      <c r="M5" s="2435"/>
      <c r="N5" s="2435"/>
      <c r="O5" s="2435"/>
      <c r="P5" s="2435"/>
    </row>
    <row r="6" spans="1:16" ht="15" thickBot="1">
      <c r="A6" s="1525"/>
      <c r="B6" s="3254" t="s">
        <v>1111</v>
      </c>
      <c r="C6" s="3254"/>
      <c r="D6" s="43">
        <f>ROUND($D$3*E6/$E$3,2)</f>
        <v>35316.97</v>
      </c>
      <c r="E6" s="44">
        <f>E3-E5</f>
        <v>43685.850000000006</v>
      </c>
      <c r="F6" s="2435"/>
      <c r="G6" s="1527" t="s">
        <v>1112</v>
      </c>
      <c r="H6" s="45" t="s">
        <v>1113</v>
      </c>
      <c r="I6" s="2431">
        <f>ROUND(F31/D31,2)</f>
        <v>1.24</v>
      </c>
      <c r="J6" s="2435"/>
      <c r="K6" s="2435"/>
      <c r="L6" s="2435"/>
      <c r="M6" s="2435"/>
      <c r="N6" s="2435"/>
      <c r="O6" s="2435"/>
      <c r="P6" s="2435"/>
    </row>
    <row r="7" spans="1:16" ht="15" thickBot="1">
      <c r="A7" s="3246"/>
      <c r="B7" s="3247"/>
      <c r="C7" s="3248"/>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35316.97</v>
      </c>
      <c r="E8" s="46">
        <f>SUMIF('数据-基础表'!BB10:BK10,"地上",'数据-基础表'!BB5:BK5)</f>
        <v>43685.850000000006</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35316.97</v>
      </c>
      <c r="E16" s="48">
        <f>SUM(E8:E15)</f>
        <v>43685.850000000006</v>
      </c>
      <c r="F16" s="2435"/>
      <c r="G16" s="2435"/>
      <c r="H16" s="1529" t="s">
        <v>1135</v>
      </c>
      <c r="I16" s="1530"/>
      <c r="J16" s="1069"/>
      <c r="K16" s="3243" t="s">
        <v>1135</v>
      </c>
      <c r="L16" s="3244"/>
      <c r="M16" s="3244"/>
      <c r="N16" s="3244"/>
      <c r="O16" s="3244"/>
      <c r="P16" s="3245"/>
    </row>
    <row r="17" spans="1:19" ht="14.4">
      <c r="A17" s="1531" t="s">
        <v>1136</v>
      </c>
      <c r="B17" s="1532" t="s">
        <v>1137</v>
      </c>
      <c r="C17" s="1533" t="s">
        <v>1138</v>
      </c>
      <c r="D17" s="1534" t="s">
        <v>1126</v>
      </c>
      <c r="E17" s="1535" t="s">
        <v>1127</v>
      </c>
      <c r="F17" s="1536"/>
      <c r="G17" s="1537"/>
      <c r="H17" s="1538" t="s">
        <v>1139</v>
      </c>
      <c r="I17" s="1539" t="s">
        <v>1124</v>
      </c>
      <c r="J17" s="1069"/>
      <c r="K17" s="3240" t="s">
        <v>1140</v>
      </c>
      <c r="L17" s="3241"/>
      <c r="M17" s="3242"/>
      <c r="N17" s="3240" t="s">
        <v>1141</v>
      </c>
      <c r="O17" s="3241"/>
      <c r="P17" s="3242"/>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11" t="s">
        <v>3403</v>
      </c>
      <c r="D19" s="43">
        <f>ROUND($D$3*E19/$E$3,2)</f>
        <v>35316.97</v>
      </c>
      <c r="E19" s="51">
        <f t="shared" ref="E19:E26" si="1">SUM(F19:G19)</f>
        <v>43685.850000000006</v>
      </c>
      <c r="F19" s="2553">
        <f>'数据-基础表'!I5</f>
        <v>43685.850000000006</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35316.97</v>
      </c>
      <c r="S19" s="51">
        <f t="shared" si="5"/>
        <v>43685.850000000006</v>
      </c>
    </row>
    <row r="20" spans="1:19" ht="14.4">
      <c r="A20" s="1547"/>
      <c r="B20" s="45" t="s">
        <v>1153</v>
      </c>
      <c r="C20" s="3111"/>
      <c r="D20" s="43">
        <f t="shared" ref="D20:D26" si="6">ROUND($D$3*E20/$E$3,2)</f>
        <v>0</v>
      </c>
      <c r="E20" s="51">
        <f t="shared" si="1"/>
        <v>0</v>
      </c>
      <c r="F20" s="2553"/>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35316.97</v>
      </c>
      <c r="E27" s="1071">
        <f>IF(SUM(E19:E26)='数据-基础表'!BA5,SUM(E19:E26),IF(F27="地上面积有误","面积有误","地下面积有误"))</f>
        <v>43685.850000000006</v>
      </c>
      <c r="F27" s="1070">
        <f>IF(SUM(F19:F26)=E8,SUM(F19:F26),"地上面积有误")</f>
        <v>43685.850000000006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35316.97</v>
      </c>
      <c r="S27" s="43">
        <f>IF(SUM(S19:S26)=$E$3,SUM(S19:S26),SUM(S19:S26)&amp;"误差"&amp;ROUND(SUM(S19:S26)-E3,2))</f>
        <v>43685.850000000006</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3" t="s">
        <v>1158</v>
      </c>
      <c r="D31" s="641">
        <f>D27+D30</f>
        <v>35316.97</v>
      </c>
      <c r="E31" s="641">
        <f>E27+E30</f>
        <v>43685.850000000006</v>
      </c>
      <c r="F31" s="642">
        <f>F27+F30</f>
        <v>43685.850000000006</v>
      </c>
      <c r="G31" s="643">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0"/>
    <col min="41" max="41" width="11.6640625" style="120" customWidth="1"/>
    <col min="42" max="42" width="9.77734375" style="120" customWidth="1"/>
    <col min="43" max="67" width="13.77734375" style="120"/>
    <col min="68" max="16384" width="13.7773437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4"/>
      <c r="AO1" s="2444"/>
      <c r="AP1" s="2444"/>
      <c r="AQ1" s="2444"/>
      <c r="AR1" s="2444"/>
    </row>
    <row r="2" spans="1:67" s="1449" customFormat="1" ht="15" thickBot="1">
      <c r="A2" s="1560" t="s">
        <v>1161</v>
      </c>
      <c r="B2" s="982">
        <f>项目基本情况!D3</f>
        <v>45649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3415</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3.8">
      <c r="A6" s="1584" t="str">
        <f>'数据-汇总表'!C19</f>
        <v>工业用房</v>
      </c>
      <c r="B6" s="1585" t="str">
        <f>IF(A6=0,"","经营性")</f>
        <v>经营性</v>
      </c>
      <c r="C6" s="1586" t="s">
        <v>3</v>
      </c>
      <c r="D6" s="803">
        <f>SUMIF(项目基本情况!C$12:I$12,C6,项目基本情况!C$14:I$14)</f>
        <v>50</v>
      </c>
      <c r="E6" s="802">
        <f>IF(B6="","",SUMIF(项目基本情况!C$12:I$12,C6,项目基本情况!C$13:I$13))</f>
        <v>62559</v>
      </c>
      <c r="F6" s="61">
        <f>SUMIF(项目基本情况!C$12:I$12,C6,项目基本情况!C$15:I$15)</f>
        <v>46.32</v>
      </c>
      <c r="G6" s="62">
        <f>IF(ISERROR(ROUND(POWER(1+H6,D6-F6)*(POWER(1+H6,F6)-1)/(POWER(1+H6,D6)-1),3)),0,ROUND(POWER(1+H6,D6-F6)*(POWER(1+H6,F6)-1)/(POWER(1+H6,D6)-1),3))</f>
        <v>0.97799999999999998</v>
      </c>
      <c r="H6" s="689">
        <v>4.4999999999999998E-2</v>
      </c>
      <c r="I6" s="3166">
        <v>5.5E-2</v>
      </c>
      <c r="J6" s="63">
        <v>7.0000000000000007E-2</v>
      </c>
      <c r="K6" s="968">
        <f>SUMIF('数据-汇总表'!C$19:C$33,A6,'数据-汇总表'!E$19:E$33)</f>
        <v>43685.850000000006</v>
      </c>
      <c r="L6" s="690">
        <v>3000</v>
      </c>
      <c r="M6" s="64">
        <f t="shared" ref="M6:M14" si="0">ROUND(K6*L6/10000,0)</f>
        <v>13106</v>
      </c>
      <c r="N6" s="688">
        <v>1</v>
      </c>
      <c r="O6" s="64" t="str">
        <f>IF($N$5="成新度","——",ROUND(M6*N6,0))</f>
        <v>——</v>
      </c>
      <c r="P6" s="65" t="str">
        <f>IF($N$5="成新度","——",M6-O6)</f>
        <v>——</v>
      </c>
      <c r="Q6" s="691">
        <v>0.05</v>
      </c>
      <c r="R6" s="66">
        <f ca="1">SUMIF('数据-汇总表'!C$19:C$33,A6,'数据-汇总表'!R$19:R$27)</f>
        <v>35316.97</v>
      </c>
      <c r="S6" s="49">
        <f>IF('数据-汇总表'!$I$17="按面积比例",SUMIF('数据-汇总表'!C$19:C$33,A6,'数据-汇总表'!K$19:K$33),SUMIF('数据-汇总表'!C$19:C$33,A6,'数据-汇总表'!N$19:N$33))</f>
        <v>0</v>
      </c>
      <c r="T6" s="1090">
        <f>ROUND($L$14*S6/10000,0)</f>
        <v>0</v>
      </c>
      <c r="U6" s="3122">
        <f>面积!T12</f>
        <v>0.55000000000000004</v>
      </c>
      <c r="V6" s="67">
        <v>0.01</v>
      </c>
      <c r="W6" s="67">
        <v>0.1</v>
      </c>
      <c r="X6" s="977"/>
      <c r="Y6" s="68">
        <f>N6</f>
        <v>1</v>
      </c>
      <c r="Z6" s="69"/>
      <c r="AA6" s="63"/>
      <c r="AB6" s="63"/>
      <c r="AC6" s="977"/>
      <c r="AD6" s="70"/>
      <c r="AE6" s="978">
        <f ca="1">IF(AN6="",0,SUMIF(INDIRECT("'"&amp;AN6&amp;"'"&amp;"!E:E"),$AE$5,INDIRECT("'"&amp;AN6&amp;"'"&amp;"!F:F")))</f>
        <v>46.32</v>
      </c>
      <c r="AF6" s="74"/>
      <c r="AG6" s="128">
        <f>IF(AF6="",0,AE6-AF6)</f>
        <v>0</v>
      </c>
      <c r="AH6" s="71"/>
      <c r="AI6" s="73">
        <v>365</v>
      </c>
      <c r="AJ6" s="74"/>
      <c r="AK6" s="75">
        <v>2E-3</v>
      </c>
      <c r="AL6" s="76">
        <v>1E-3</v>
      </c>
      <c r="AM6" s="77">
        <v>5.0000000000000001E-3</v>
      </c>
      <c r="AN6" s="1587" t="s">
        <v>3417</v>
      </c>
      <c r="AO6" s="50">
        <f ca="1">SUMIF(INDIRECT("'"&amp;AN6&amp;"'"&amp;"!A:A"),"总价",INDIRECT("'"&amp;AN6&amp;"'"&amp;"!B:B"))</f>
        <v>11837</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3"/>
      <c r="V8" s="692"/>
      <c r="W8" s="692"/>
      <c r="X8" s="977"/>
      <c r="Y8" s="68"/>
      <c r="Z8" s="69"/>
      <c r="AA8" s="63"/>
      <c r="AB8" s="63"/>
      <c r="AC8" s="977"/>
      <c r="AD8" s="70"/>
      <c r="AE8" s="978">
        <f t="shared" ca="1" si="6"/>
        <v>0</v>
      </c>
      <c r="AF8" s="74"/>
      <c r="AG8" s="128">
        <f t="shared" si="7"/>
        <v>0</v>
      </c>
      <c r="AH8" s="693"/>
      <c r="AI8" s="73"/>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0.97799999999999998</v>
      </c>
      <c r="H16" s="84">
        <f>ROUND(SUMPRODUCT(H6:H13,K6:K13)/SUMPRODUCT((H6:H13&gt;0)*(K6:K13)),3)</f>
        <v>4.4999999999999998E-2</v>
      </c>
      <c r="I16" s="85"/>
      <c r="J16" s="85"/>
      <c r="K16" s="86">
        <f>SUM(K6:K15)</f>
        <v>43685.850000000006</v>
      </c>
      <c r="L16" s="87">
        <f>ROUND(M16*10000/SUM(K6:K14),0)</f>
        <v>3000</v>
      </c>
      <c r="M16" s="87">
        <f>SUM(M6:M14)</f>
        <v>13106</v>
      </c>
      <c r="N16" s="88">
        <f>ROUND(SUMPRODUCT(M6:M14,N6:N14)/M16,3)</f>
        <v>1</v>
      </c>
      <c r="O16" s="87">
        <f>SUM(O6:O14)</f>
        <v>0</v>
      </c>
      <c r="P16" s="87">
        <f>SUM(P6:P14)</f>
        <v>0</v>
      </c>
      <c r="Q16" s="89">
        <f>ROUND(SUMPRODUCT(Q6:Q13,K6:K13)/SUMPRODUCT((Q6:Q13&gt;0)*(K6:K13)),2)</f>
        <v>0.05</v>
      </c>
      <c r="R16" s="972">
        <f ca="1">SUM(R6:R13)</f>
        <v>35316.97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3165">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3165">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8">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8">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99">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0"/>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2">
        <v>35</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4">
        <f>ROUND(B28*K16/10000,0)</f>
        <v>153</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6">
        <v>150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3">
        <f>B30-B32</f>
        <v>150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7"/>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38">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5"/>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2">
        <v>150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6">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7">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5">
        <v>0.01</v>
      </c>
      <c r="C38" s="2560" t="s">
        <v>2287</v>
      </c>
      <c r="D38" s="2447"/>
      <c r="E38" s="3161" t="s">
        <v>3572</v>
      </c>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7">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2302</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8">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09">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0">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1">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09">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09">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2"/>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3163">
        <v>0.04</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09">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3">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4">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5">
        <f>SUMIF(A54:A63,B53,B54:B63)</f>
        <v>0.75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307</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6">
        <v>0.75</v>
      </c>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ColWidth="9" defaultRowHeight="13.8"/>
  <cols>
    <col min="1" max="1" width="9.44140625" style="1520" customWidth="1"/>
    <col min="2" max="3" width="24.44140625" style="506" customWidth="1"/>
    <col min="4" max="4" width="2.6640625" style="506" customWidth="1"/>
    <col min="5" max="5" width="5.88671875" style="506" customWidth="1"/>
    <col min="6" max="7" width="27" style="506"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9" customWidth="1"/>
    <col min="19" max="29" width="9" style="749"/>
    <col min="30" max="16384" width="9" style="1520"/>
  </cols>
  <sheetData>
    <row r="1" spans="1:29" s="2257" customFormat="1" ht="18" thickBot="1">
      <c r="A1" s="3255" t="s">
        <v>2276</v>
      </c>
      <c r="B1" s="3256"/>
      <c r="C1" s="3256"/>
      <c r="D1" s="3256"/>
      <c r="E1" s="3256"/>
      <c r="F1" s="3256"/>
      <c r="G1" s="325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2273</v>
      </c>
      <c r="D2" s="1593"/>
      <c r="E2" s="2258"/>
      <c r="F2" s="2261"/>
      <c r="G2" s="2260" t="s">
        <v>2274</v>
      </c>
      <c r="H2" s="749"/>
      <c r="I2" s="749"/>
      <c r="J2" s="749"/>
      <c r="K2" s="749"/>
      <c r="L2" s="749"/>
      <c r="M2" s="749"/>
      <c r="N2" s="749"/>
      <c r="O2" s="749"/>
      <c r="P2" s="749"/>
      <c r="Q2" s="749"/>
    </row>
    <row r="3" spans="1:29" ht="48">
      <c r="A3" s="2245" t="s">
        <v>2275</v>
      </c>
      <c r="B3" s="2262" t="s">
        <v>2251</v>
      </c>
      <c r="C3" s="2263"/>
      <c r="D3" s="2264"/>
      <c r="E3" s="2246" t="s">
        <v>2275</v>
      </c>
      <c r="F3" s="2265" t="s">
        <v>2252</v>
      </c>
      <c r="G3" s="3154" t="s">
        <v>3550</v>
      </c>
      <c r="H3" s="749"/>
      <c r="I3" s="749"/>
      <c r="J3" s="749"/>
      <c r="K3" s="749"/>
      <c r="L3" s="749"/>
      <c r="M3" s="749"/>
      <c r="N3" s="749"/>
      <c r="O3" s="749"/>
      <c r="P3" s="749"/>
      <c r="Q3" s="749"/>
    </row>
    <row r="4" spans="1:29">
      <c r="A4" s="2246"/>
      <c r="B4" s="313" t="s">
        <v>2253</v>
      </c>
      <c r="C4" s="2266"/>
      <c r="D4" s="2264"/>
      <c r="E4" s="2267"/>
      <c r="F4" s="1279" t="s">
        <v>2254</v>
      </c>
      <c r="G4" s="3155" t="s">
        <v>3551</v>
      </c>
      <c r="H4" s="749"/>
      <c r="I4" s="749"/>
      <c r="J4" s="749"/>
      <c r="K4" s="749"/>
      <c r="L4" s="749"/>
      <c r="M4" s="749"/>
      <c r="N4" s="749"/>
      <c r="O4" s="749"/>
      <c r="P4" s="749"/>
      <c r="Q4" s="749"/>
    </row>
    <row r="5" spans="1:29">
      <c r="A5" s="2246"/>
      <c r="B5" s="313" t="s">
        <v>2255</v>
      </c>
      <c r="C5" s="2266"/>
      <c r="D5" s="2264"/>
      <c r="E5" s="2267"/>
      <c r="F5" s="313" t="s">
        <v>2256</v>
      </c>
      <c r="G5" s="3155" t="s">
        <v>3553</v>
      </c>
      <c r="H5" s="749"/>
      <c r="I5" s="749"/>
      <c r="J5" s="749"/>
      <c r="K5" s="749"/>
      <c r="L5" s="749"/>
      <c r="M5" s="749"/>
      <c r="N5" s="749"/>
      <c r="O5" s="749"/>
      <c r="P5" s="749"/>
      <c r="Q5" s="749"/>
    </row>
    <row r="6" spans="1:29">
      <c r="A6" s="2246"/>
      <c r="B6" s="313" t="s">
        <v>2257</v>
      </c>
      <c r="C6" s="2268"/>
      <c r="D6" s="2264"/>
      <c r="E6" s="2267"/>
      <c r="F6" s="313" t="s">
        <v>2258</v>
      </c>
      <c r="G6" s="3155" t="s">
        <v>3554</v>
      </c>
      <c r="H6" s="749"/>
      <c r="I6" s="749"/>
      <c r="J6" s="749"/>
      <c r="K6" s="749"/>
      <c r="L6" s="749"/>
      <c r="M6" s="749"/>
      <c r="N6" s="749"/>
      <c r="O6" s="749"/>
      <c r="P6" s="749"/>
      <c r="Q6" s="749"/>
    </row>
    <row r="7" spans="1:29" ht="14.4" thickBot="1">
      <c r="A7" s="2246"/>
      <c r="B7" s="313" t="s">
        <v>2256</v>
      </c>
      <c r="C7" s="2268"/>
      <c r="D7" s="2243"/>
      <c r="E7" s="2269"/>
      <c r="F7" s="2270" t="s">
        <v>2259</v>
      </c>
      <c r="G7" s="3156" t="s">
        <v>3556</v>
      </c>
      <c r="H7" s="749"/>
      <c r="I7" s="749"/>
      <c r="J7" s="749"/>
      <c r="K7" s="749"/>
      <c r="L7" s="749"/>
      <c r="M7" s="749"/>
      <c r="N7" s="749"/>
      <c r="O7" s="749"/>
      <c r="P7" s="749"/>
      <c r="Q7" s="749"/>
    </row>
    <row r="8" spans="1:29">
      <c r="A8" s="2246"/>
      <c r="B8" s="313" t="s">
        <v>2258</v>
      </c>
      <c r="C8" s="2268"/>
      <c r="D8" s="2243"/>
      <c r="E8" s="2243"/>
      <c r="F8" s="119"/>
      <c r="G8" s="119"/>
      <c r="H8" s="749"/>
      <c r="I8" s="749"/>
      <c r="J8" s="749"/>
      <c r="K8" s="749"/>
      <c r="L8" s="749"/>
      <c r="M8" s="749"/>
      <c r="N8" s="749"/>
      <c r="O8" s="749"/>
      <c r="P8" s="749"/>
      <c r="Q8" s="749"/>
    </row>
    <row r="9" spans="1:29">
      <c r="A9" s="2246"/>
      <c r="B9" s="313" t="s">
        <v>2260</v>
      </c>
      <c r="C9" s="2266"/>
      <c r="D9" s="2264"/>
      <c r="E9" s="2243"/>
      <c r="F9" s="119"/>
      <c r="G9" s="119"/>
      <c r="H9" s="749"/>
      <c r="I9" s="749"/>
      <c r="J9" s="749"/>
      <c r="K9" s="749"/>
      <c r="L9" s="749"/>
      <c r="M9" s="749"/>
      <c r="N9" s="749"/>
      <c r="O9" s="749"/>
      <c r="P9" s="749"/>
      <c r="Q9" s="749"/>
    </row>
    <row r="10" spans="1:29" ht="14.4" thickBot="1">
      <c r="A10" s="2247"/>
      <c r="B10" s="2271" t="s">
        <v>2261</v>
      </c>
      <c r="C10" s="2272"/>
      <c r="D10" s="2264"/>
      <c r="E10" s="2264"/>
      <c r="F10" s="119"/>
      <c r="G10" s="119"/>
      <c r="J10" s="2274"/>
      <c r="M10" s="2274"/>
      <c r="P10" s="2274"/>
      <c r="R10" s="2273"/>
    </row>
    <row r="11" spans="1:29">
      <c r="A11" s="2275"/>
      <c r="B11" s="2243"/>
      <c r="C11" s="2264"/>
      <c r="D11" s="2264"/>
      <c r="E11" s="2264"/>
      <c r="F11" s="2243"/>
      <c r="G11" s="2243"/>
      <c r="J11" s="2274"/>
      <c r="M11" s="2274"/>
      <c r="P11" s="2274"/>
      <c r="R11" s="2273"/>
    </row>
    <row r="12" spans="1:29" s="2257" customFormat="1" ht="17.399999999999999">
      <c r="A12" s="2275"/>
      <c r="B12" s="2243"/>
      <c r="C12" s="2264"/>
      <c r="D12" s="2276"/>
      <c r="E12" s="2264"/>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 thickBot="1">
      <c r="A13" s="2280" t="s">
        <v>2277</v>
      </c>
      <c r="B13" s="2276"/>
      <c r="C13" s="2276"/>
      <c r="D13" s="2275"/>
      <c r="E13" s="2276"/>
      <c r="F13" s="2276"/>
      <c r="G13" s="2276"/>
    </row>
    <row r="14" spans="1:29" ht="14.4" thickBot="1">
      <c r="A14" s="2281"/>
      <c r="B14" s="2281"/>
      <c r="C14" s="2282" t="s">
        <v>2262</v>
      </c>
      <c r="D14" s="2264"/>
      <c r="E14" s="2283"/>
      <c r="F14" s="2283"/>
      <c r="G14" s="2260" t="s">
        <v>2263</v>
      </c>
    </row>
    <row r="15" spans="1:29" ht="52.8">
      <c r="A15" s="2248" t="s">
        <v>2264</v>
      </c>
      <c r="B15" s="2284" t="s">
        <v>2251</v>
      </c>
      <c r="C15" s="2285">
        <f>C3</f>
        <v>0</v>
      </c>
      <c r="D15" s="2264"/>
      <c r="E15" s="2249" t="s">
        <v>2265</v>
      </c>
      <c r="F15" s="2284" t="s">
        <v>2266</v>
      </c>
      <c r="G15" s="2286" t="str">
        <f>G3</f>
        <v>环首都存瑞云计算产业基地、科华数据(张家口腾致数据中心)、腾讯华北信息技术产业基地，一般</v>
      </c>
    </row>
    <row r="16" spans="1:29">
      <c r="A16" s="2250"/>
      <c r="B16" s="2287" t="s">
        <v>2253</v>
      </c>
      <c r="C16" s="2288">
        <f>C4</f>
        <v>0</v>
      </c>
      <c r="D16" s="2264"/>
      <c r="E16" s="2251"/>
      <c r="F16" s="2289" t="s">
        <v>2254</v>
      </c>
      <c r="G16" s="2290" t="str">
        <f>G4</f>
        <v>怀来404路，较差</v>
      </c>
    </row>
    <row r="17" spans="1:17">
      <c r="A17" s="2250"/>
      <c r="B17" s="2287" t="s">
        <v>2255</v>
      </c>
      <c r="C17" s="2288">
        <f>C5</f>
        <v>0</v>
      </c>
      <c r="D17" s="2243"/>
      <c r="E17" s="2251"/>
      <c r="F17" s="2289" t="s">
        <v>2267</v>
      </c>
      <c r="G17" s="3157" t="s">
        <v>3557</v>
      </c>
    </row>
    <row r="18" spans="1:17">
      <c r="A18" s="2250"/>
      <c r="B18" s="2289" t="s">
        <v>2257</v>
      </c>
      <c r="C18" s="2290">
        <f>C6</f>
        <v>0</v>
      </c>
      <c r="D18" s="2243"/>
      <c r="E18" s="2251"/>
      <c r="F18" s="2289" t="s">
        <v>2259</v>
      </c>
      <c r="G18" s="2290" t="str">
        <f>G7</f>
        <v>一般</v>
      </c>
    </row>
    <row r="19" spans="1:17">
      <c r="A19" s="2250"/>
      <c r="B19" s="2289" t="s">
        <v>2268</v>
      </c>
      <c r="C19" s="2291"/>
      <c r="D19" s="2264"/>
      <c r="E19" s="2251"/>
      <c r="F19" s="313" t="s">
        <v>2256</v>
      </c>
      <c r="G19" s="2290" t="str">
        <f>G5</f>
        <v>较差</v>
      </c>
    </row>
    <row r="20" spans="1:17">
      <c r="A20" s="2250"/>
      <c r="B20" s="2289" t="s">
        <v>2269</v>
      </c>
      <c r="C20" s="2288">
        <f>C9</f>
        <v>0</v>
      </c>
      <c r="D20" s="2243"/>
      <c r="E20" s="2251"/>
      <c r="F20" s="313" t="s">
        <v>2258</v>
      </c>
      <c r="G20" s="2290" t="str">
        <f>G6</f>
        <v>五通/六通</v>
      </c>
    </row>
    <row r="21" spans="1:17">
      <c r="A21" s="2250"/>
      <c r="B21" s="313" t="s">
        <v>2256</v>
      </c>
      <c r="C21" s="2290">
        <f>C7</f>
        <v>0</v>
      </c>
      <c r="D21" s="2264"/>
      <c r="E21" s="2251"/>
      <c r="F21" s="2289" t="s">
        <v>2270</v>
      </c>
      <c r="G21" s="2292"/>
    </row>
    <row r="22" spans="1:17" ht="13.5" customHeight="1">
      <c r="A22" s="2250"/>
      <c r="B22" s="313" t="s">
        <v>2258</v>
      </c>
      <c r="C22" s="2290">
        <f>C8</f>
        <v>0</v>
      </c>
      <c r="D22" s="2264"/>
      <c r="E22" s="2251"/>
      <c r="F22" s="2289" t="s">
        <v>2261</v>
      </c>
      <c r="G22" s="2291"/>
    </row>
    <row r="23" spans="1:17" s="749" customFormat="1" ht="14.4" thickBot="1">
      <c r="A23" s="2250"/>
      <c r="B23" s="2289" t="s">
        <v>2270</v>
      </c>
      <c r="C23" s="2292"/>
      <c r="D23" s="1612"/>
      <c r="E23" s="2252"/>
      <c r="F23" s="2293" t="s">
        <v>2271</v>
      </c>
      <c r="G23" s="2294"/>
      <c r="H23" s="2273"/>
      <c r="I23" s="2273"/>
      <c r="J23" s="2273"/>
      <c r="K23" s="2273"/>
      <c r="L23" s="2273"/>
      <c r="M23" s="2273"/>
      <c r="N23" s="2273"/>
      <c r="O23" s="2273"/>
      <c r="P23" s="2273"/>
      <c r="Q23" s="2273"/>
    </row>
    <row r="24" spans="1:17" s="749" customFormat="1" ht="14.4" thickBot="1">
      <c r="A24" s="2253"/>
      <c r="B24" s="2293" t="s">
        <v>2272</v>
      </c>
      <c r="C24" s="2295">
        <f>C10</f>
        <v>0</v>
      </c>
      <c r="D24" s="1612"/>
      <c r="E24" s="2243"/>
      <c r="F24" s="2243"/>
      <c r="G24" s="2243"/>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O19" sqref="O19"/>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43685.850000000006</v>
      </c>
      <c r="C1" s="2457"/>
      <c r="D1" s="2457"/>
      <c r="E1" s="2457"/>
      <c r="F1" s="2457"/>
      <c r="G1" s="2458"/>
      <c r="H1" s="2458"/>
      <c r="I1" s="2458"/>
      <c r="J1" s="2458"/>
      <c r="K1" s="2458"/>
    </row>
    <row r="2" spans="1:11" ht="16.2">
      <c r="A2" s="2296" t="s">
        <v>653</v>
      </c>
      <c r="B2" s="2296">
        <f>SUM(C14:C23)</f>
        <v>35316.97</v>
      </c>
      <c r="C2" s="2457"/>
      <c r="D2" s="2457"/>
      <c r="E2" s="2457"/>
      <c r="F2" s="2457"/>
      <c r="G2" s="2458"/>
      <c r="H2" s="2458"/>
      <c r="I2" s="2458"/>
      <c r="J2" s="2458"/>
      <c r="K2" s="2458"/>
    </row>
    <row r="3" spans="1:11" ht="15.6">
      <c r="A3" s="2296" t="s">
        <v>662</v>
      </c>
      <c r="B3" s="2298">
        <f>项目基本情况!D3</f>
        <v>45649</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16073</v>
      </c>
      <c r="C5" s="2296">
        <f ca="1">IF(B5=D14,结果表!H102,ROUND(B5*10000/$B$1,0))</f>
        <v>3679</v>
      </c>
      <c r="D5" s="2296">
        <f ca="1">ROUND(B5*10000/$B$2,0)</f>
        <v>4551</v>
      </c>
      <c r="E5" s="2457"/>
      <c r="F5" s="2458"/>
      <c r="G5" s="2458"/>
      <c r="H5" s="2458"/>
      <c r="I5" s="2458"/>
      <c r="J5" s="2458"/>
      <c r="K5" s="2458"/>
    </row>
    <row r="6" spans="1:11" ht="15.6">
      <c r="A6" s="2296" t="s">
        <v>656</v>
      </c>
      <c r="B6" s="2296">
        <f ca="1">SUM(G14:G23)</f>
        <v>16073</v>
      </c>
      <c r="C6" s="2296">
        <f ca="1">IF(B6=G14,结果表!H108,ROUND(B6*10000/$B$1,0))</f>
        <v>3679</v>
      </c>
      <c r="D6" s="2296">
        <f ca="1">ROUND(B6*10000/$B$2,0)</f>
        <v>4551</v>
      </c>
      <c r="E6" s="2457"/>
      <c r="F6" s="2458"/>
      <c r="G6" s="2458"/>
      <c r="H6" s="2458"/>
      <c r="I6" s="2458"/>
      <c r="J6" s="2458"/>
      <c r="K6" s="2458"/>
    </row>
    <row r="7" spans="1:11" ht="15.6">
      <c r="A7" s="2296" t="s">
        <v>664</v>
      </c>
      <c r="B7" s="2296">
        <f>SUM(H14:H23)</f>
        <v>0</v>
      </c>
      <c r="C7" s="2296" t="str">
        <f>IF(B7=H14,结果表!H110,ROUND(B7*10000/$B$1,0))</f>
        <v>——</v>
      </c>
      <c r="D7" s="2296">
        <f>ROUND(B7*10000/$B$2,0)</f>
        <v>0</v>
      </c>
      <c r="E7" s="2457"/>
      <c r="F7" s="2458"/>
      <c r="G7" s="2458"/>
      <c r="H7" s="2458"/>
      <c r="I7" s="2458"/>
      <c r="J7" s="2458"/>
      <c r="K7" s="2458"/>
    </row>
    <row r="8" spans="1:11" ht="15.6">
      <c r="A8" s="2296" t="s">
        <v>587</v>
      </c>
      <c r="B8" s="2296">
        <f ca="1">SUM(I14:I23)</f>
        <v>15223</v>
      </c>
      <c r="C8" s="2296">
        <f ca="1">IF(B8=I14,结果表!H112,ROUND(B8*10000/$B$1,0))</f>
        <v>3485</v>
      </c>
      <c r="D8" s="2296">
        <f ca="1">ROUND(B8*10000/$B$2,0)</f>
        <v>4310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3348</v>
      </c>
      <c r="D10" s="2296" t="s">
        <v>3349</v>
      </c>
      <c r="E10" s="3132"/>
      <c r="F10" s="3136" t="s">
        <v>3350</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结果表!B118</f>
        <v>43685.850000000006</v>
      </c>
      <c r="C14" s="2302">
        <f>结果表!C118</f>
        <v>35316.97</v>
      </c>
      <c r="D14" s="2302">
        <f ca="1">结果表!H118</f>
        <v>16073</v>
      </c>
      <c r="E14" s="2302">
        <f ca="1">ROUND(D14*10000/B14,0)</f>
        <v>3679</v>
      </c>
      <c r="F14" s="2302">
        <f ca="1">ROUND(D14*10000/C14,0)</f>
        <v>4551</v>
      </c>
      <c r="G14" s="2302">
        <f ca="1">D14</f>
        <v>16073</v>
      </c>
      <c r="H14" s="2302"/>
      <c r="I14" s="2302">
        <f ca="1">结果表!D126</f>
        <v>15223</v>
      </c>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12" zoomScaleNormal="100" zoomScaleSheetLayoutView="100" zoomScalePageLayoutView="80" workbookViewId="0">
      <selection activeCell="D120" sqref="D120:I123"/>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3418</v>
      </c>
      <c r="D1" s="644"/>
      <c r="E1" s="644"/>
      <c r="F1" s="1619" t="s">
        <v>1263</v>
      </c>
      <c r="G1" s="1451" t="s">
        <v>3425</v>
      </c>
      <c r="H1" s="1619" t="str">
        <f>IF(G1="现房","——","估价对象范围")</f>
        <v>——</v>
      </c>
      <c r="I1" s="1620" t="s">
        <v>3426</v>
      </c>
    </row>
    <row r="2" spans="1:12" ht="21.75" customHeight="1" thickBot="1">
      <c r="A2" s="3291" t="str">
        <f>项目基本情况!S2</f>
        <v>北京市怀来县存瑞镇头二营村、葫芦套村三期房地产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2" t="s">
        <v>1265</v>
      </c>
      <c r="B4" s="1623" t="s">
        <v>1266</v>
      </c>
      <c r="C4" s="1624" t="s">
        <v>3427</v>
      </c>
      <c r="D4" s="1624" t="s">
        <v>3417</v>
      </c>
      <c r="E4" s="3297" t="s">
        <v>1267</v>
      </c>
      <c r="F4" s="3298"/>
      <c r="G4" s="3298"/>
      <c r="H4" s="3298"/>
      <c r="I4" s="329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71" t="s">
        <v>1268</v>
      </c>
      <c r="B5" s="3258">
        <v>25</v>
      </c>
      <c r="C5" s="3274"/>
      <c r="D5" s="3294"/>
      <c r="E5" s="121" t="s">
        <v>1269</v>
      </c>
      <c r="F5" s="1625"/>
      <c r="G5" s="1625"/>
      <c r="H5" s="1625"/>
      <c r="I5" s="1279"/>
    </row>
    <row r="6" spans="1:12" ht="13.2">
      <c r="A6" s="3271"/>
      <c r="B6" s="3258"/>
      <c r="C6" s="3275"/>
      <c r="D6" s="3294"/>
      <c r="E6" s="121" t="s">
        <v>1270</v>
      </c>
      <c r="F6" s="1625"/>
      <c r="G6" s="1625"/>
      <c r="H6" s="1625"/>
      <c r="I6" s="1279"/>
    </row>
    <row r="7" spans="1:12" ht="13.2">
      <c r="A7" s="3271"/>
      <c r="B7" s="3258"/>
      <c r="C7" s="3276"/>
      <c r="D7" s="3294"/>
      <c r="E7" s="121" t="s">
        <v>1271</v>
      </c>
      <c r="F7" s="1625"/>
      <c r="G7" s="1625"/>
      <c r="H7" s="1625"/>
      <c r="I7" s="1279"/>
    </row>
    <row r="8" spans="1:12" ht="13.2">
      <c r="A8" s="3271" t="s">
        <v>1272</v>
      </c>
      <c r="B8" s="3258">
        <v>15</v>
      </c>
      <c r="C8" s="3274"/>
      <c r="D8" s="3294"/>
      <c r="E8" s="121" t="s">
        <v>1273</v>
      </c>
      <c r="F8" s="1625"/>
      <c r="G8" s="1625"/>
      <c r="H8" s="1625"/>
      <c r="I8" s="1279"/>
    </row>
    <row r="9" spans="1:12" ht="13.2">
      <c r="A9" s="3271"/>
      <c r="B9" s="3258"/>
      <c r="C9" s="3276"/>
      <c r="D9" s="3294"/>
      <c r="E9" s="121" t="s">
        <v>1274</v>
      </c>
      <c r="F9" s="1625"/>
      <c r="G9" s="1625"/>
      <c r="H9" s="1625"/>
      <c r="I9" s="1279"/>
    </row>
    <row r="10" spans="1:12" ht="13.2">
      <c r="A10" s="3271" t="s">
        <v>1275</v>
      </c>
      <c r="B10" s="3258">
        <v>15</v>
      </c>
      <c r="C10" s="3274"/>
      <c r="D10" s="3294"/>
      <c r="E10" s="121" t="s">
        <v>1276</v>
      </c>
      <c r="F10" s="1625"/>
      <c r="G10" s="1625"/>
      <c r="H10" s="1625"/>
      <c r="I10" s="1279"/>
    </row>
    <row r="11" spans="1:12" ht="13.2">
      <c r="A11" s="3271"/>
      <c r="B11" s="3258"/>
      <c r="C11" s="3276"/>
      <c r="D11" s="3294"/>
      <c r="E11" s="121" t="s">
        <v>1277</v>
      </c>
      <c r="F11" s="1625"/>
      <c r="G11" s="1625"/>
      <c r="H11" s="1625"/>
      <c r="I11" s="1279"/>
    </row>
    <row r="12" spans="1:12" ht="13.2">
      <c r="A12" s="3271" t="s">
        <v>1278</v>
      </c>
      <c r="B12" s="3258">
        <v>15</v>
      </c>
      <c r="C12" s="3274"/>
      <c r="D12" s="3294"/>
      <c r="E12" s="121" t="s">
        <v>1279</v>
      </c>
      <c r="F12" s="1625"/>
      <c r="G12" s="1625"/>
      <c r="H12" s="1625"/>
      <c r="I12" s="1279"/>
    </row>
    <row r="13" spans="1:12" ht="13.2">
      <c r="A13" s="3271"/>
      <c r="B13" s="3258"/>
      <c r="C13" s="3276"/>
      <c r="D13" s="3294"/>
      <c r="E13" s="121" t="s">
        <v>1280</v>
      </c>
      <c r="F13" s="1625"/>
      <c r="G13" s="1625"/>
      <c r="H13" s="1625"/>
      <c r="I13" s="1279"/>
    </row>
    <row r="14" spans="1:12" ht="13.2">
      <c r="A14" s="3271" t="s">
        <v>1281</v>
      </c>
      <c r="B14" s="3258">
        <v>30</v>
      </c>
      <c r="C14" s="3274">
        <v>55</v>
      </c>
      <c r="D14" s="3294">
        <v>45</v>
      </c>
      <c r="E14" s="121" t="s">
        <v>1282</v>
      </c>
      <c r="F14" s="1625"/>
      <c r="G14" s="1625"/>
      <c r="H14" s="1625"/>
      <c r="I14" s="1279"/>
    </row>
    <row r="15" spans="1:12" ht="13.2">
      <c r="A15" s="3271"/>
      <c r="B15" s="3258"/>
      <c r="C15" s="3275"/>
      <c r="D15" s="3294"/>
      <c r="E15" s="121" t="s">
        <v>1283</v>
      </c>
      <c r="F15" s="1625"/>
      <c r="G15" s="1625"/>
      <c r="H15" s="1625"/>
      <c r="I15" s="1279"/>
    </row>
    <row r="16" spans="1:12" ht="13.2">
      <c r="A16" s="3271"/>
      <c r="B16" s="3258"/>
      <c r="C16" s="3276"/>
      <c r="D16" s="3294"/>
      <c r="E16" s="121" t="s">
        <v>1284</v>
      </c>
      <c r="F16" s="1625"/>
      <c r="G16" s="1625"/>
      <c r="H16" s="1625"/>
      <c r="I16" s="1279"/>
    </row>
    <row r="17" spans="1:36" ht="14.4">
      <c r="A17" s="1626" t="s">
        <v>1285</v>
      </c>
      <c r="B17" s="54"/>
      <c r="C17" s="122">
        <f>SUM(C5:C16)</f>
        <v>55</v>
      </c>
      <c r="D17" s="122">
        <f>SUM(D5:D16)</f>
        <v>45</v>
      </c>
      <c r="E17" s="119"/>
      <c r="F17" s="119"/>
      <c r="G17" s="119"/>
      <c r="H17" s="119"/>
      <c r="I17" s="119"/>
      <c r="K17" s="292"/>
      <c r="L17" s="292" t="s">
        <v>1286</v>
      </c>
      <c r="M17" s="292" t="s">
        <v>1287</v>
      </c>
    </row>
    <row r="18" spans="1:36" ht="31.95" customHeight="1" thickBot="1">
      <c r="A18" s="1627" t="s">
        <v>1288</v>
      </c>
      <c r="B18" s="1540"/>
      <c r="C18" s="123">
        <f>ROUND(C17/SUM(C17:D17),2)</f>
        <v>0.55000000000000004</v>
      </c>
      <c r="D18" s="123">
        <f>1-C18</f>
        <v>0.44999999999999996</v>
      </c>
      <c r="E18" s="3281" t="s">
        <v>2130</v>
      </c>
      <c r="F18" s="3282"/>
      <c r="G18" s="3282"/>
      <c r="H18" s="3282"/>
      <c r="I18" s="3282"/>
      <c r="K18" s="292" t="s">
        <v>1289</v>
      </c>
      <c r="L18" s="292">
        <f>IF(C1="",'数据-汇总表'!E3,SUMIF(项目类型,C1,'数据-汇总表'!E17:E26)+SUMIF(项目类型,C1,'数据-汇总表'!I17:I26))</f>
        <v>43685.850000000006</v>
      </c>
      <c r="M18" s="292">
        <f>IF(C1="",'数据-汇总表'!E3,SUMIF(项目类型,C1,'数据-汇总表'!E17:E26))</f>
        <v>43685.850000000006</v>
      </c>
    </row>
    <row r="19" spans="1:36" ht="14.4">
      <c r="A19" s="1628" t="s">
        <v>1290</v>
      </c>
      <c r="B19" s="1629" t="s">
        <v>1291</v>
      </c>
      <c r="C19" s="124">
        <f ca="1">SUMIF(INDIRECT("'"&amp;C4&amp;"'"&amp;"!A:A"),结果表!B19,INDIRECT("'"&amp;C4&amp;"'"&amp;"!B:B"))</f>
        <v>19538</v>
      </c>
      <c r="D19" s="125">
        <f ca="1">SUMIF(INDIRECT("'"&amp;D4&amp;"'"&amp;"!A:A"),结果表!B19,INDIRECT("'"&amp;D4&amp;"'"&amp;"!B:B"))</f>
        <v>11837</v>
      </c>
      <c r="E19" s="1628" t="s">
        <v>1292</v>
      </c>
      <c r="F19" s="1629" t="s">
        <v>1291</v>
      </c>
      <c r="G19" s="126">
        <f ca="1">ROUND(C19*$C$18+D19*$D$18,0)</f>
        <v>16073</v>
      </c>
      <c r="H19" s="1630" t="s">
        <v>1293</v>
      </c>
      <c r="I19" s="119"/>
      <c r="K19" s="292" t="s">
        <v>1294</v>
      </c>
      <c r="L19" s="292">
        <f>IF(C1="",'数据-汇总表'!D3,SUMIF(项目类型,C1,'数据-汇总表'!D17:D26)+SUMIF(项目类型,C1,'数据-汇总表'!H17:H27))</f>
        <v>35316.97</v>
      </c>
      <c r="M19" s="292">
        <f>IF(C1="",'数据-汇总表'!D3,SUMIF(项目类型,C1,'数据-汇总表'!D17:D26))</f>
        <v>35316.97</v>
      </c>
    </row>
    <row r="20" spans="1:36" ht="14.4">
      <c r="A20" s="1631"/>
      <c r="B20" s="43" t="s">
        <v>1295</v>
      </c>
      <c r="C20" s="127">
        <f ca="1">SUMIF(INDIRECT("'"&amp;C4&amp;"'"&amp;"!A:A"),结果表!B20,INDIRECT("'"&amp;C4&amp;"'"&amp;"!B:B"))</f>
        <v>4472</v>
      </c>
      <c r="D20" s="128">
        <f ca="1">SUMIF(INDIRECT("'"&amp;D4&amp;"'"&amp;"!A:A"),结果表!B20,INDIRECT("'"&amp;D4&amp;"'"&amp;"!B:B"))</f>
        <v>2710</v>
      </c>
      <c r="E20" s="1631"/>
      <c r="F20" s="43" t="s">
        <v>1295</v>
      </c>
      <c r="G20" s="129">
        <f ca="1">ROUND(C20*$C$18+D20*$D$18,0)</f>
        <v>3679</v>
      </c>
      <c r="H20" s="758" t="s">
        <v>1296</v>
      </c>
      <c r="I20" s="119"/>
    </row>
    <row r="21" spans="1:36" ht="15" customHeight="1" thickBot="1">
      <c r="A21" s="447"/>
      <c r="B21" s="93" t="s">
        <v>1297</v>
      </c>
      <c r="C21" s="676">
        <f ca="1">ROUND(C19*10000/L19,0)</f>
        <v>5532</v>
      </c>
      <c r="D21" s="677">
        <f ca="1">ROUND(D19*10000/L19,0)</f>
        <v>3352</v>
      </c>
      <c r="E21" s="447"/>
      <c r="F21" s="93" t="s">
        <v>1297</v>
      </c>
      <c r="G21" s="130">
        <f ca="1">ROUND(G19*10000/L19,0)</f>
        <v>4551</v>
      </c>
      <c r="H21" s="1632" t="s">
        <v>1296</v>
      </c>
      <c r="I21" s="119"/>
    </row>
    <row r="22" spans="1:36" ht="15" thickBot="1">
      <c r="A22" s="1562" t="s">
        <v>1298</v>
      </c>
      <c r="B22" s="1633"/>
      <c r="C22" s="1634"/>
      <c r="D22" s="678">
        <f ca="1">IF(C19&lt;D19,D19/C19-1,C19/D19-1)</f>
        <v>0.65058714201233414</v>
      </c>
      <c r="E22" s="119"/>
      <c r="F22" s="119"/>
      <c r="G22" s="119"/>
      <c r="H22" s="119"/>
      <c r="I22" s="119"/>
    </row>
    <row r="23" spans="1:36" ht="13.8" thickBot="1">
      <c r="A23" s="644"/>
      <c r="B23" s="644"/>
      <c r="C23" s="644"/>
      <c r="D23" s="644"/>
      <c r="E23" s="119"/>
      <c r="F23" s="119"/>
      <c r="G23" s="119"/>
      <c r="H23" s="119"/>
      <c r="I23" s="119"/>
    </row>
    <row r="24" spans="1:36" ht="14.4">
      <c r="A24" s="3265" t="s">
        <v>1299</v>
      </c>
      <c r="B24" s="1629" t="s">
        <v>1291</v>
      </c>
      <c r="C24" s="126">
        <f>IF(B30=0,0,D30)</f>
        <v>0</v>
      </c>
      <c r="D24" s="1635"/>
      <c r="E24" s="119"/>
      <c r="F24" s="119"/>
      <c r="G24" s="119"/>
      <c r="H24" s="119"/>
      <c r="I24" s="119"/>
    </row>
    <row r="25" spans="1:36" ht="14.4">
      <c r="A25" s="3266"/>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3.8">
      <c r="A27" s="1637"/>
      <c r="B27" s="132">
        <v>0</v>
      </c>
      <c r="C27" s="132">
        <v>0</v>
      </c>
      <c r="D27" s="133">
        <f>ROUND(C27*B27/10000,0)</f>
        <v>0</v>
      </c>
      <c r="E27" s="119"/>
      <c r="F27" s="119"/>
      <c r="G27" s="119"/>
      <c r="H27" s="119"/>
      <c r="I27" s="119"/>
    </row>
    <row r="28" spans="1:36" ht="13.8">
      <c r="A28" s="1637"/>
      <c r="B28" s="132"/>
      <c r="C28" s="132"/>
      <c r="D28" s="133"/>
      <c r="E28" s="119"/>
      <c r="F28" s="119"/>
      <c r="G28" s="119"/>
      <c r="H28" s="119"/>
      <c r="I28" s="119"/>
    </row>
    <row r="29" spans="1:36" ht="13.8">
      <c r="A29" s="1637"/>
      <c r="B29" s="132"/>
      <c r="C29" s="132"/>
      <c r="D29" s="133"/>
      <c r="E29" s="119"/>
      <c r="F29" s="119"/>
      <c r="G29" s="119"/>
      <c r="H29" s="119"/>
      <c r="I29" s="119"/>
    </row>
    <row r="30" spans="1:36" ht="15" thickBot="1">
      <c r="A30" s="132" t="s">
        <v>1304</v>
      </c>
      <c r="B30" s="132"/>
      <c r="C30" s="132"/>
      <c r="D30" s="132"/>
      <c r="E30" s="2125" t="s">
        <v>2131</v>
      </c>
      <c r="F30" s="119"/>
      <c r="G30" s="119"/>
      <c r="H30" s="119"/>
      <c r="I30" s="119"/>
    </row>
    <row r="31" spans="1:36" s="2131" customFormat="1" ht="26.4" customHeight="1" thickTop="1" thickBot="1">
      <c r="A31" s="2126"/>
      <c r="B31" s="2127"/>
      <c r="C31" s="2127"/>
      <c r="D31" s="2127"/>
      <c r="E31" s="2127"/>
      <c r="F31" s="2127"/>
      <c r="G31" s="2127"/>
      <c r="H31" s="2127"/>
      <c r="I31" s="2128" t="s">
        <v>2132</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4">
        <f ca="1">IF(D32="总价",G19-C24,G20-C25)</f>
        <v>16073</v>
      </c>
      <c r="D32" s="1639" t="s">
        <v>3428</v>
      </c>
      <c r="E32" s="119"/>
      <c r="F32" s="119"/>
      <c r="G32" s="119"/>
      <c r="H32" s="119"/>
      <c r="I32" s="119"/>
    </row>
    <row r="33" spans="1:15" ht="14.4">
      <c r="A33" s="738" t="s">
        <v>1306</v>
      </c>
      <c r="B33" s="121"/>
      <c r="C33" s="1640" t="s">
        <v>3429</v>
      </c>
      <c r="D33" s="1641" t="s">
        <v>3427</v>
      </c>
      <c r="E33" s="1642" t="s">
        <v>1307</v>
      </c>
      <c r="F33" s="1643" t="str">
        <f>IF(D32="楼面单价","取值（单价）","取值（总价）")</f>
        <v>取值（总价）</v>
      </c>
      <c r="G33" s="119"/>
      <c r="H33" s="119"/>
      <c r="I33" s="119"/>
    </row>
    <row r="34" spans="1:15" ht="14.4">
      <c r="A34" s="1644"/>
      <c r="B34" s="1645" t="s">
        <v>1308</v>
      </c>
      <c r="C34" s="138">
        <f ca="1">IF(C33="自定义",F34,C32-C35)</f>
        <v>2315</v>
      </c>
      <c r="D34" s="806">
        <f ca="1">IF(C33="自定义",ROUND(C34/C32,3),IF(C33="收益比率",SUMIF(INDIRECT("'"&amp;D33&amp;"'"&amp;"!b:b"),"土地收益比率",INDIRECT("'"&amp;D33&amp;"'"&amp;"!c:c")),SUMIF(INDIRECT("'"&amp;D33&amp;"'"&amp;"!b:b"),"土地成本比率",INDIRECT("'"&amp;D33&amp;"'"&amp;"!c:c"))))</f>
        <v>0.14400000000000002</v>
      </c>
      <c r="E34" s="1646" t="s">
        <v>1309</v>
      </c>
      <c r="F34" s="1241"/>
      <c r="G34" s="119"/>
      <c r="H34" s="119"/>
      <c r="I34" s="119"/>
    </row>
    <row r="35" spans="1:15" ht="15" thickBot="1">
      <c r="A35" s="1647"/>
      <c r="B35" s="1648" t="s">
        <v>1310</v>
      </c>
      <c r="C35" s="1088">
        <f ca="1">IF(C33="自定义",F35,ROUND(C32*D35,0))</f>
        <v>13758</v>
      </c>
      <c r="D35" s="1089">
        <f ca="1">IF(C33="自定义",ROUND(C35/C32,3),IF(C33="收益比率",SUMIF(INDIRECT("'"&amp;D33&amp;"'"&amp;"!b:b"),"建筑物收益比率",INDIRECT("'"&amp;D33&amp;"'"&amp;"!c:c")),SUMIF(INDIRECT("'"&amp;D33&amp;"'"&amp;"!b:b"),"建筑物成本比率",INDIRECT("'"&amp;D33&amp;"'"&amp;"!c:c"))))</f>
        <v>0.85599999999999998</v>
      </c>
      <c r="E35" s="1649" t="s">
        <v>1311</v>
      </c>
      <c r="F35" s="144"/>
      <c r="G35" s="119"/>
      <c r="H35" s="119"/>
      <c r="I35" s="119"/>
    </row>
    <row r="36" spans="1:15" ht="15" thickBot="1">
      <c r="A36" s="3285" t="s">
        <v>1312</v>
      </c>
      <c r="B36" s="1650" t="s">
        <v>1313</v>
      </c>
      <c r="C36" s="135"/>
      <c r="D36" s="1651"/>
      <c r="E36" s="1565"/>
      <c r="F36" s="1652"/>
      <c r="G36" s="119"/>
      <c r="H36" s="119"/>
      <c r="I36" s="119"/>
    </row>
    <row r="37" spans="1:15" ht="15" thickBot="1">
      <c r="A37" s="3286"/>
      <c r="B37" s="1553" t="s">
        <v>1314</v>
      </c>
      <c r="C37" s="137"/>
      <c r="D37" s="1069"/>
      <c r="E37" s="1069"/>
      <c r="F37" s="1652"/>
      <c r="G37" s="119"/>
      <c r="H37" s="119"/>
      <c r="I37" s="119"/>
    </row>
    <row r="38" spans="1:15" ht="15" thickBot="1">
      <c r="A38" s="3287"/>
      <c r="B38" s="1653" t="s">
        <v>1315</v>
      </c>
      <c r="C38" s="639"/>
      <c r="D38" s="1654" t="s">
        <v>1316</v>
      </c>
      <c r="E38" s="1069"/>
      <c r="F38" s="1652"/>
      <c r="G38" s="119"/>
      <c r="H38" s="119"/>
      <c r="I38" s="119"/>
    </row>
    <row r="39" spans="1:15" ht="14.4">
      <c r="A39" s="1631" t="s">
        <v>1317</v>
      </c>
      <c r="B39" s="1655" t="s">
        <v>1318</v>
      </c>
      <c r="C39" s="1656" t="s">
        <v>1319</v>
      </c>
      <c r="D39" s="1656" t="s">
        <v>1320</v>
      </c>
      <c r="E39" s="1657" t="s">
        <v>1321</v>
      </c>
      <c r="F39" s="1652"/>
      <c r="G39" s="119"/>
      <c r="H39" s="119"/>
      <c r="I39" s="119"/>
    </row>
    <row r="40" spans="1:15" ht="13.8">
      <c r="A40" s="1658" t="s">
        <v>1322</v>
      </c>
      <c r="B40" s="139"/>
      <c r="C40" s="140"/>
      <c r="D40" s="140"/>
      <c r="E40" s="141"/>
      <c r="F40" s="1652"/>
      <c r="G40" s="119"/>
      <c r="H40" s="119"/>
      <c r="I40" s="119"/>
    </row>
    <row r="41" spans="1:15" ht="13.8">
      <c r="A41" s="1658" t="s">
        <v>1323</v>
      </c>
      <c r="B41" s="139"/>
      <c r="C41" s="140"/>
      <c r="D41" s="140"/>
      <c r="E41" s="141"/>
      <c r="F41" s="1652"/>
      <c r="G41" s="119"/>
      <c r="H41" s="119"/>
      <c r="I41" s="119"/>
    </row>
    <row r="42" spans="1:15" ht="14.4" thickBot="1">
      <c r="A42" s="1659"/>
      <c r="B42" s="142"/>
      <c r="C42" s="143"/>
      <c r="D42" s="143"/>
      <c r="E42" s="144"/>
      <c r="F42" s="1652"/>
      <c r="G42" s="119"/>
      <c r="H42" s="119"/>
      <c r="I42" s="119"/>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62" t="s">
        <v>1326</v>
      </c>
      <c r="B45" s="3263"/>
      <c r="C45" s="3264"/>
      <c r="D45" s="145">
        <f ca="1">ROUND(H101*F45,0)</f>
        <v>16073</v>
      </c>
      <c r="E45" s="146" t="s">
        <v>1327</v>
      </c>
      <c r="F45" s="147">
        <v>1</v>
      </c>
      <c r="G45" s="148" t="s">
        <v>1328</v>
      </c>
      <c r="H45" s="119"/>
      <c r="I45" s="119"/>
      <c r="J45" s="3340" t="s">
        <v>1329</v>
      </c>
      <c r="K45" s="3340"/>
      <c r="L45" s="3340"/>
      <c r="M45" s="3340"/>
      <c r="N45" s="3340"/>
      <c r="O45" s="3340"/>
    </row>
    <row r="46" spans="1:15" ht="14.25" customHeight="1">
      <c r="A46" s="3259" t="s">
        <v>1330</v>
      </c>
      <c r="B46" s="3260"/>
      <c r="C46" s="3260"/>
      <c r="D46" s="3260"/>
      <c r="E46" s="3260"/>
      <c r="F46" s="3260"/>
      <c r="G46" s="3261"/>
      <c r="H46" s="1666"/>
      <c r="I46" s="149"/>
      <c r="J46" s="2306">
        <v>1</v>
      </c>
      <c r="K46" s="3321" t="s">
        <v>1331</v>
      </c>
      <c r="L46" s="3321"/>
      <c r="M46" s="3341"/>
      <c r="N46" s="3341"/>
      <c r="O46" s="3341"/>
    </row>
    <row r="47" spans="1:15" ht="12" customHeight="1">
      <c r="A47" s="150" t="s">
        <v>1332</v>
      </c>
      <c r="B47" s="151"/>
      <c r="C47" s="152"/>
      <c r="D47" s="1022" t="s">
        <v>1333</v>
      </c>
      <c r="E47" s="292" t="s">
        <v>1334</v>
      </c>
      <c r="F47" s="153" t="s">
        <v>1335</v>
      </c>
      <c r="G47" s="2329" t="s">
        <v>1336</v>
      </c>
      <c r="H47" s="2330"/>
      <c r="I47" s="149"/>
      <c r="J47" s="2306">
        <v>2</v>
      </c>
      <c r="K47" s="3321" t="s">
        <v>1337</v>
      </c>
      <c r="L47" s="3321"/>
      <c r="M47" s="3342">
        <f>'数据-取费表'!B2</f>
        <v>45649</v>
      </c>
      <c r="N47" s="3342"/>
      <c r="O47" s="3342"/>
    </row>
    <row r="48" spans="1:15" ht="26.4">
      <c r="A48" s="3290" t="s">
        <v>1338</v>
      </c>
      <c r="B48" s="3273"/>
      <c r="C48" s="3273"/>
      <c r="D48" s="12">
        <f ca="1">IF(H48="情况1",0,IF(H48="情况2",D52,IF(H48="情况3",D53,IF(H48="情况4",D54))))</f>
        <v>842</v>
      </c>
      <c r="E48" s="1254" t="str">
        <f>IF(H48="情况4","(销售额-原购置价)×税（费）率","销售额×税（费）率")</f>
        <v>销售额×税（费）率</v>
      </c>
      <c r="F48" s="2331">
        <f>IF(H48="情况1","免征",'数据-取费表'!B41)</f>
        <v>5.5000000000000007E-2</v>
      </c>
      <c r="G48" s="2332" t="s">
        <v>1339</v>
      </c>
      <c r="H48" s="2333" t="s">
        <v>3575</v>
      </c>
      <c r="I48" s="1666"/>
      <c r="J48" s="2306">
        <v>3</v>
      </c>
      <c r="K48" s="3321" t="s">
        <v>1340</v>
      </c>
      <c r="L48" s="3321"/>
      <c r="M48" s="3343">
        <f ca="1">H101</f>
        <v>16073</v>
      </c>
      <c r="N48" s="3343"/>
      <c r="O48" s="3343"/>
    </row>
    <row r="49" spans="1:35" ht="25.5" customHeight="1">
      <c r="A49" s="2150" t="s">
        <v>1341</v>
      </c>
      <c r="B49" s="3257" t="s">
        <v>1342</v>
      </c>
      <c r="C49" s="3257"/>
      <c r="D49" s="1476">
        <v>0</v>
      </c>
      <c r="E49" s="314" t="s">
        <v>1343</v>
      </c>
      <c r="F49" s="2231" t="s">
        <v>28</v>
      </c>
      <c r="G49" s="3327"/>
      <c r="H49" s="2132" t="s">
        <v>2133</v>
      </c>
      <c r="I49" s="2133"/>
      <c r="J49" s="2306">
        <v>4</v>
      </c>
      <c r="K49" s="3321" t="str">
        <f>IF(项目基本情况!E8="房地产抵押价值","房地产抵押价值","抵押担保权已注销时的房地产抵押价值")</f>
        <v>房地产抵押价值</v>
      </c>
      <c r="L49" s="3321"/>
      <c r="M49" s="3343">
        <f ca="1">IF(项目基本情况!E8="房地产抵押价值",H107,H109)</f>
        <v>16073</v>
      </c>
      <c r="N49" s="3343"/>
      <c r="O49" s="3343"/>
    </row>
    <row r="50" spans="1:35" ht="25.5" customHeight="1">
      <c r="A50" s="2334"/>
      <c r="B50" s="3257" t="s">
        <v>1344</v>
      </c>
      <c r="C50" s="3257"/>
      <c r="D50" s="2187"/>
      <c r="E50" s="321"/>
      <c r="F50" s="2231"/>
      <c r="G50" s="3328"/>
      <c r="H50" s="2134" t="s">
        <v>2134</v>
      </c>
      <c r="I50" s="2133"/>
      <c r="J50" s="3340" t="s">
        <v>1345</v>
      </c>
      <c r="K50" s="3340"/>
      <c r="L50" s="3340"/>
      <c r="M50" s="3340"/>
      <c r="N50" s="3340"/>
      <c r="O50" s="3340"/>
    </row>
    <row r="51" spans="1:35" ht="20.399999999999999" customHeight="1">
      <c r="A51" s="2335"/>
      <c r="B51" s="3257" t="s">
        <v>1346</v>
      </c>
      <c r="C51" s="3257"/>
      <c r="D51" s="1022"/>
      <c r="E51" s="317"/>
      <c r="F51" s="2231"/>
      <c r="G51" s="3329"/>
      <c r="H51" s="2134" t="s">
        <v>2135</v>
      </c>
      <c r="I51" s="2133"/>
      <c r="J51" s="2307" t="s">
        <v>1347</v>
      </c>
      <c r="K51" s="3321" t="s">
        <v>1348</v>
      </c>
      <c r="L51" s="3321"/>
      <c r="M51" s="2307" t="s">
        <v>1349</v>
      </c>
      <c r="N51" s="2307" t="s">
        <v>1350</v>
      </c>
      <c r="O51" s="2307" t="s">
        <v>1351</v>
      </c>
    </row>
    <row r="52" spans="1:35" ht="24" customHeight="1">
      <c r="A52" s="2151" t="s">
        <v>1352</v>
      </c>
      <c r="B52" s="3257" t="s">
        <v>1353</v>
      </c>
      <c r="C52" s="3257"/>
      <c r="D52" s="1022">
        <f ca="1">ROUND(D45*'数据-取费表'!B41/(1+'数据-取费表'!C42),0)</f>
        <v>842</v>
      </c>
      <c r="E52" s="1254" t="s">
        <v>1354</v>
      </c>
      <c r="F52" s="2336">
        <f>'数据-取费表'!B41</f>
        <v>5.5000000000000007E-2</v>
      </c>
      <c r="G52" s="2337"/>
      <c r="H52" s="2327"/>
      <c r="I52" s="1667"/>
      <c r="J52" s="2306">
        <v>1</v>
      </c>
      <c r="K52" s="3322" t="s">
        <v>1355</v>
      </c>
      <c r="L52" s="3322"/>
      <c r="M52" s="2308">
        <f ca="1">D48</f>
        <v>842</v>
      </c>
      <c r="N52" s="2306" t="str">
        <f>E48</f>
        <v>销售额×税（费）率</v>
      </c>
      <c r="O52" s="2309">
        <f>F48</f>
        <v>5.5000000000000007E-2</v>
      </c>
    </row>
    <row r="53" spans="1:35" ht="12" customHeight="1">
      <c r="A53" s="2151" t="s">
        <v>1356</v>
      </c>
      <c r="B53" s="3283" t="s">
        <v>2281</v>
      </c>
      <c r="C53" s="3284"/>
      <c r="D53" s="1022">
        <f ca="1">ROUND(D45*'数据-取费表'!B41/(1+'数据-取费表'!C42),0)</f>
        <v>842</v>
      </c>
      <c r="E53" s="1254" t="s">
        <v>1354</v>
      </c>
      <c r="F53" s="2336">
        <f>'数据-取费表'!B41</f>
        <v>5.5000000000000007E-2</v>
      </c>
      <c r="G53" s="2337"/>
      <c r="H53" s="2327"/>
      <c r="I53" s="1667"/>
      <c r="J53" s="2306">
        <v>2</v>
      </c>
      <c r="K53" s="3322" t="s">
        <v>1357</v>
      </c>
      <c r="L53" s="3322"/>
      <c r="M53" s="2308">
        <f t="shared" ref="M53:O54" ca="1" si="0">D55</f>
        <v>8</v>
      </c>
      <c r="N53" s="2306" t="str">
        <f t="shared" si="0"/>
        <v>销售额×税（费）率</v>
      </c>
      <c r="O53" s="2309">
        <f t="shared" si="0"/>
        <v>5.0000000000000001E-4</v>
      </c>
    </row>
    <row r="54" spans="1:35" ht="12" customHeight="1">
      <c r="A54" s="2151" t="s">
        <v>1358</v>
      </c>
      <c r="B54" s="3283" t="s">
        <v>2282</v>
      </c>
      <c r="C54" s="3284"/>
      <c r="D54" s="1022">
        <f ca="1">C68</f>
        <v>842</v>
      </c>
      <c r="E54" s="317" t="s">
        <v>1359</v>
      </c>
      <c r="F54" s="2336">
        <f>'数据-取费表'!B41</f>
        <v>5.5000000000000007E-2</v>
      </c>
      <c r="G54" s="2337"/>
      <c r="H54" s="2338"/>
      <c r="I54" s="1667"/>
      <c r="J54" s="2306">
        <v>3</v>
      </c>
      <c r="K54" s="3322" t="s">
        <v>1360</v>
      </c>
      <c r="L54" s="3322"/>
      <c r="M54" s="2308">
        <f t="shared" ca="1" si="0"/>
        <v>0</v>
      </c>
      <c r="N54" s="2306" t="str">
        <f t="shared" si="0"/>
        <v>增值额×税（费）率</v>
      </c>
      <c r="O54" s="2310" t="str">
        <f t="shared" si="0"/>
        <v>——</v>
      </c>
    </row>
    <row r="55" spans="1:35" ht="24" customHeight="1">
      <c r="A55" s="3272" t="s">
        <v>1361</v>
      </c>
      <c r="B55" s="3273"/>
      <c r="C55" s="3273"/>
      <c r="D55" s="12">
        <f ca="1">IF(H55="个人住宅",0,ROUND(D45*I55,0))</f>
        <v>8</v>
      </c>
      <c r="E55" s="1254" t="s">
        <v>1362</v>
      </c>
      <c r="F55" s="2336">
        <f>IF(H55="正常",I55,"免征")</f>
        <v>5.0000000000000001E-4</v>
      </c>
      <c r="G55" s="2337"/>
      <c r="H55" s="2333" t="s">
        <v>3576</v>
      </c>
      <c r="I55" s="155">
        <f>'数据-取费表'!B49</f>
        <v>5.0000000000000001E-4</v>
      </c>
      <c r="J55" s="2306" t="str">
        <f>IF(H59="非个人房产","",4)</f>
        <v/>
      </c>
      <c r="K55" s="3322" t="str">
        <f>IF(H59="非个人房产","——","个人所得税")</f>
        <v>——</v>
      </c>
      <c r="L55" s="3322"/>
      <c r="M55" s="2311" t="str">
        <f>D59</f>
        <v>——</v>
      </c>
      <c r="N55" s="1881" t="str">
        <f>E59</f>
        <v>——</v>
      </c>
      <c r="O55" s="2312" t="str">
        <f>F59</f>
        <v>——</v>
      </c>
    </row>
    <row r="56" spans="1:35" ht="25.2">
      <c r="A56" s="3272" t="s">
        <v>1363</v>
      </c>
      <c r="B56" s="3273"/>
      <c r="C56" s="3273"/>
      <c r="D56" s="12">
        <f ca="1">IF(H56="个人住宅",D57,D58)</f>
        <v>0</v>
      </c>
      <c r="E56" s="1254" t="s">
        <v>1364</v>
      </c>
      <c r="F56" s="2336" t="str">
        <f>IF(H56="正常",F58,"免征")</f>
        <v>——</v>
      </c>
      <c r="G56" s="2339" t="s">
        <v>1365</v>
      </c>
      <c r="H56" s="2340" t="s">
        <v>3576</v>
      </c>
      <c r="I56" s="1668"/>
      <c r="J56" s="2306" t="str">
        <f>IF(项目基本情况!K6="上海银行",IF(J55="",4,J55+1),"")</f>
        <v/>
      </c>
      <c r="K56" s="3345" t="str">
        <f>IF(项目基本情况!K6="上海银行","其他处置费用","")</f>
        <v/>
      </c>
      <c r="L56" s="3346"/>
      <c r="M56" s="2308" t="str">
        <f>IF(项目基本情况!K6="上海银行",M69,"")</f>
        <v/>
      </c>
      <c r="N56" s="3345" t="str">
        <f>IF(项目基本情况!K6="上海银行","包含处置中涉及的律师、诉讼、拍卖、评估等费用","")</f>
        <v/>
      </c>
      <c r="O56" s="3348"/>
    </row>
    <row r="57" spans="1:35" ht="13.2">
      <c r="A57" s="2151" t="s">
        <v>1341</v>
      </c>
      <c r="B57" s="3283" t="s">
        <v>1366</v>
      </c>
      <c r="C57" s="3284"/>
      <c r="D57" s="1476">
        <v>0</v>
      </c>
      <c r="E57" s="314" t="s">
        <v>1343</v>
      </c>
      <c r="F57" s="292"/>
      <c r="G57" s="2337"/>
      <c r="H57" s="2341"/>
      <c r="I57" s="1668"/>
      <c r="J57" s="3322">
        <f>IF(AND(J55="",J56=""),4,IF(项目基本情况!K6="上海银行",结果表!J56+1,结果表!J55+1))</f>
        <v>4</v>
      </c>
      <c r="K57" s="3322" t="s">
        <v>1367</v>
      </c>
      <c r="L57" s="2313" t="s">
        <v>1368</v>
      </c>
      <c r="M57" s="2314"/>
      <c r="N57" s="2315">
        <f ca="1">SUMIF(M52:M56,"&lt;9e307")</f>
        <v>850</v>
      </c>
      <c r="O57" s="2316"/>
      <c r="P57" s="2460">
        <f ca="1">N57/M49</f>
        <v>5.2883718036458659E-2</v>
      </c>
    </row>
    <row r="58" spans="1:35" ht="25.2">
      <c r="A58" s="2151" t="s">
        <v>1352</v>
      </c>
      <c r="B58" s="3283" t="s">
        <v>1369</v>
      </c>
      <c r="C58" s="3257"/>
      <c r="D58" s="12">
        <f ca="1">IF(H58="转让取得",C81,C97)</f>
        <v>0</v>
      </c>
      <c r="E58" s="1254" t="s">
        <v>1364</v>
      </c>
      <c r="F58" s="292" t="s">
        <v>28</v>
      </c>
      <c r="G58" s="2337"/>
      <c r="H58" s="2340" t="s">
        <v>3577</v>
      </c>
      <c r="I58" s="1668"/>
      <c r="J58" s="3322"/>
      <c r="K58" s="3322"/>
      <c r="L58" s="2313" t="s">
        <v>1370</v>
      </c>
      <c r="M58" s="2317"/>
      <c r="N58" s="2318" t="str">
        <f ca="1">NUMBERSTRING(INT(N57*10000),2)&amp;"元整"</f>
        <v>捌佰伍拾万元整</v>
      </c>
      <c r="O58" s="2319"/>
    </row>
    <row r="59" spans="1:35" ht="24.6" thickBot="1">
      <c r="A59" s="3325" t="s">
        <v>1371</v>
      </c>
      <c r="B59" s="3326"/>
      <c r="C59" s="3326"/>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3578</v>
      </c>
      <c r="I59" s="2135" t="s">
        <v>2136</v>
      </c>
      <c r="J59" s="3323">
        <f>J57+1</f>
        <v>5</v>
      </c>
      <c r="K59" s="3322" t="s">
        <v>1372</v>
      </c>
      <c r="L59" s="2306" t="s">
        <v>1368</v>
      </c>
      <c r="M59" s="2320"/>
      <c r="N59" s="2321">
        <f ca="1">M49-N57</f>
        <v>15223</v>
      </c>
      <c r="O59" s="2322"/>
    </row>
    <row r="60" spans="1:35" ht="12" customHeight="1">
      <c r="A60" s="1669"/>
      <c r="B60" s="644"/>
      <c r="C60" s="644"/>
      <c r="D60" s="644"/>
      <c r="E60" s="1464"/>
      <c r="F60" s="1668"/>
      <c r="G60" s="1668"/>
      <c r="H60" s="149"/>
      <c r="I60" s="119"/>
      <c r="J60" s="3324"/>
      <c r="K60" s="3322"/>
      <c r="L60" s="2313" t="s">
        <v>1370</v>
      </c>
      <c r="M60" s="2317"/>
      <c r="N60" s="2318" t="str">
        <f ca="1">NUMBERSTRING(INT(N59*10000),2)&amp;"元整"</f>
        <v>壹亿伍仟贰佰贰拾叁万元整</v>
      </c>
      <c r="O60" s="2319"/>
    </row>
    <row r="61" spans="1:35" ht="13.8" thickBot="1">
      <c r="A61" s="3270" t="s">
        <v>1373</v>
      </c>
      <c r="B61" s="3270"/>
      <c r="C61" s="3270"/>
      <c r="D61" s="3270"/>
      <c r="E61" s="3270"/>
      <c r="F61" s="1668"/>
      <c r="G61" s="1668"/>
      <c r="H61" s="149"/>
      <c r="I61" s="119"/>
      <c r="J61" s="2306">
        <f>J59+1</f>
        <v>6</v>
      </c>
      <c r="K61" s="3322" t="s">
        <v>1374</v>
      </c>
      <c r="L61" s="3322"/>
      <c r="M61" s="2323"/>
      <c r="N61" s="2324">
        <f ca="1">ROUND(N59*10000/'数据-汇总表'!E3,0)</f>
        <v>3485</v>
      </c>
      <c r="O61" s="2325"/>
    </row>
    <row r="62" spans="1:35" ht="13.2">
      <c r="A62" s="3288" t="s">
        <v>1375</v>
      </c>
      <c r="B62" s="3289"/>
      <c r="C62" s="1863"/>
      <c r="D62" s="1863" t="s">
        <v>1376</v>
      </c>
      <c r="E62" s="156" t="s">
        <v>1377</v>
      </c>
      <c r="F62" s="1668"/>
      <c r="G62" s="1668"/>
      <c r="H62" s="149"/>
      <c r="I62" s="119"/>
    </row>
    <row r="63" spans="1:35" ht="13.2">
      <c r="A63" s="163" t="s">
        <v>330</v>
      </c>
      <c r="B63" s="157" t="s">
        <v>1378</v>
      </c>
      <c r="C63" s="2346">
        <f ca="1">ROUND((C64+C65)/(1+'数据-取费表'!C42),0)</f>
        <v>15308</v>
      </c>
      <c r="D63" s="157"/>
      <c r="E63" s="158"/>
      <c r="F63" s="1668"/>
      <c r="G63" s="1668"/>
      <c r="H63" s="149"/>
      <c r="I63" s="119"/>
      <c r="J63" s="3347" t="s">
        <v>1379</v>
      </c>
      <c r="K63" s="1243" t="s">
        <v>1380</v>
      </c>
      <c r="L63" s="1243">
        <f ca="1">IF(M49&gt;10000,M49*0.5%,IF(AND(M49&gt;1000,M49&lt;=10000),M49*1%,IF(AND(M49&gt;100,M49&lt;=1000),M49*3%,IF(AND(M49&gt;10,M49&lt;=100),M49*5%,M49*8%))))</f>
        <v>80.364999999999995</v>
      </c>
      <c r="M63" s="292">
        <f ca="1">ROUND(L63,1)</f>
        <v>80.400000000000006</v>
      </c>
      <c r="N63" s="2326"/>
      <c r="Z63" s="1621"/>
      <c r="AI63" s="1559"/>
    </row>
    <row r="64" spans="1:35" ht="14.25" customHeight="1">
      <c r="A64" s="159" t="s">
        <v>325</v>
      </c>
      <c r="B64" s="160" t="s">
        <v>1381</v>
      </c>
      <c r="C64" s="2347">
        <f ca="1">D45</f>
        <v>16073</v>
      </c>
      <c r="D64" s="160" t="s">
        <v>26</v>
      </c>
      <c r="E64" s="162"/>
      <c r="F64" s="1668"/>
      <c r="G64" s="1668"/>
      <c r="H64" s="149"/>
      <c r="I64" s="119"/>
      <c r="J64" s="3347"/>
      <c r="K64" s="1243" t="s">
        <v>1382</v>
      </c>
      <c r="L64" s="1243">
        <f ca="1">IF(M49&gt;2000,M49*0.5%,IF(AND(M49&gt;1000,M49&lt;=2000),M49*0.6%,IF(AND(M49&gt;500,M49&lt;=1000),M49*0.7%,IF(AND(M49&gt;200,M49&lt;=500),M49*0.8%,IF(AND(M49&gt;100,M49&lt;=200),M49*0.9%,IF(AND(M49&gt;50,M49&lt;=100),M49*1%,IF(AND(M49&gt;20,M49&lt;=50),M49*1.5%,IF(AND(M49&gt;10,M49&lt;=20),M49*2%,IF(AND(M49&gt;1,M49&lt;=10),M49*2.5%)))))))))</f>
        <v>80.364999999999995</v>
      </c>
      <c r="M64" s="292">
        <f t="shared" ref="M64:M65" ca="1" si="1">ROUND(L64,1)</f>
        <v>80.400000000000006</v>
      </c>
      <c r="N64" s="2327" t="s">
        <v>1383</v>
      </c>
      <c r="Z64" s="1621"/>
      <c r="AI64" s="1559"/>
    </row>
    <row r="65" spans="1:35" ht="14.25" customHeight="1">
      <c r="A65" s="159" t="s">
        <v>326</v>
      </c>
      <c r="B65" s="160" t="s">
        <v>1384</v>
      </c>
      <c r="C65" s="2348"/>
      <c r="D65" s="160"/>
      <c r="E65" s="162"/>
      <c r="F65" s="1668"/>
      <c r="G65" s="1668"/>
      <c r="H65" s="149"/>
      <c r="I65" s="119"/>
      <c r="J65" s="3347"/>
      <c r="K65" s="1243" t="s">
        <v>1385</v>
      </c>
      <c r="L65" s="1243">
        <f ca="1">IF(M49&gt;1000,M49*0.1%,IF(AND(M49&gt;500,M49&lt;=1000),M49*0.5%,IF(AND(M49&gt;50,M49&lt;=500),M49*1%,IF(AND(M49&gt;1,M49&lt;=50),M49*1.5%))))</f>
        <v>16.073</v>
      </c>
      <c r="M65" s="292">
        <f t="shared" ca="1" si="1"/>
        <v>16.100000000000001</v>
      </c>
      <c r="N65" s="2327" t="s">
        <v>1383</v>
      </c>
      <c r="Z65" s="1621"/>
      <c r="AI65" s="1559"/>
    </row>
    <row r="66" spans="1:35" ht="14.25" customHeight="1">
      <c r="A66" s="163" t="s">
        <v>327</v>
      </c>
      <c r="B66" s="164" t="s">
        <v>1386</v>
      </c>
      <c r="C66" s="2349"/>
      <c r="D66" s="164" t="s">
        <v>26</v>
      </c>
      <c r="E66" s="1249" t="s">
        <v>671</v>
      </c>
      <c r="F66" s="1668"/>
      <c r="G66" s="1668"/>
      <c r="H66" s="149"/>
      <c r="I66" s="119"/>
      <c r="J66" s="3347"/>
      <c r="K66" s="1243" t="s">
        <v>1387</v>
      </c>
      <c r="L66" s="1243">
        <f ca="1">M49*0.5%</f>
        <v>80.364999999999995</v>
      </c>
      <c r="M66" s="292">
        <f ca="1">IF(L66&gt;0.5,0.5,ROUND(L66,0))</f>
        <v>0.5</v>
      </c>
      <c r="N66" s="2327" t="s">
        <v>1388</v>
      </c>
      <c r="Z66" s="1621"/>
      <c r="AI66" s="1559"/>
    </row>
    <row r="67" spans="1:35" ht="14.25" customHeight="1">
      <c r="A67" s="163" t="s">
        <v>328</v>
      </c>
      <c r="B67" s="164" t="s">
        <v>1389</v>
      </c>
      <c r="C67" s="2350">
        <f ca="1">C63-C66</f>
        <v>15308</v>
      </c>
      <c r="D67" s="160" t="s">
        <v>26</v>
      </c>
      <c r="E67" s="162"/>
      <c r="F67" s="1668"/>
      <c r="G67" s="1668"/>
      <c r="H67" s="149"/>
      <c r="I67" s="119"/>
      <c r="J67" s="3347"/>
      <c r="K67" s="1243" t="s">
        <v>1390</v>
      </c>
      <c r="L67" s="1243">
        <f ca="1">IF(M49&gt;=10000,(8.25+(M49-10000)*0.01%),IF(AND(M49&gt;=8000,M49&lt;10000),(7.85+(M49-8000)*0.02%),IF(AND(M49&gt;=5000,M49&lt;8000),(6.65+(M49-5000)*0.04%),IF(AND(M49&gt;=2000,M49&lt;5000),(4.25+(PM49-2000)*0.08%),IF(AND(M49&gt;=1000,M49&lt;2000),(2.75+(M49-1000)*0.15%),IF(AND(M49&gt;=100,M49&lt;1000),(0.5+(M49-100)*0.25%),IF(AND(M49&gt;0,M49&lt;100),M49*0.5%)))))))</f>
        <v>8.8573000000000004</v>
      </c>
      <c r="M67" s="292">
        <f ca="1">ROUND(L67*0.9,1)</f>
        <v>8</v>
      </c>
      <c r="N67" s="2326"/>
      <c r="Z67" s="1621"/>
      <c r="AI67" s="1559"/>
    </row>
    <row r="68" spans="1:35" ht="14.25" customHeight="1" thickBot="1">
      <c r="A68" s="166" t="s">
        <v>329</v>
      </c>
      <c r="B68" s="167" t="s">
        <v>1391</v>
      </c>
      <c r="C68" s="2351">
        <f ca="1">IF(C67&lt;=0,0,ROUND(C67*D68,0))</f>
        <v>842</v>
      </c>
      <c r="D68" s="2352">
        <f>'数据-取费表'!B41</f>
        <v>5.5000000000000007E-2</v>
      </c>
      <c r="E68" s="168"/>
      <c r="F68" s="1668"/>
      <c r="G68" s="1668"/>
      <c r="H68" s="149"/>
      <c r="I68" s="119"/>
      <c r="J68" s="3347"/>
      <c r="K68" s="1243" t="s">
        <v>1392</v>
      </c>
      <c r="L68" s="1243">
        <f ca="1">IF(M49&gt;10000,M49*0.5%,IF(AND(M49&gt;5000,M49&lt;=10000),M49*1%,IF(AND(M49&gt;1000,M49&lt;=5000),M49*2%,IF(AND(M49&gt;200,M49&lt;=1000),M49*3%,M49*5%))))</f>
        <v>80.364999999999995</v>
      </c>
      <c r="M68" s="292">
        <f ca="1">ROUND(L68,1)</f>
        <v>80.400000000000006</v>
      </c>
      <c r="N68" s="2326"/>
      <c r="Z68" s="1621"/>
      <c r="AI68" s="1559"/>
    </row>
    <row r="69" spans="1:35" ht="16.5" customHeight="1">
      <c r="A69" s="1670"/>
      <c r="B69" s="1671"/>
      <c r="C69" s="1672"/>
      <c r="D69" s="1673"/>
      <c r="E69" s="1674"/>
      <c r="F69" s="1464"/>
      <c r="G69" s="1464"/>
      <c r="H69" s="1465"/>
      <c r="I69" s="644"/>
      <c r="J69" s="3347"/>
      <c r="K69" s="1243" t="s">
        <v>1393</v>
      </c>
      <c r="L69" s="1243"/>
      <c r="M69" s="292">
        <f ca="1">ROUND(SUM(M63:M68),0)</f>
        <v>266</v>
      </c>
      <c r="N69" s="2328">
        <f ca="1">M69/M49</f>
        <v>1.654949293846824E-2</v>
      </c>
      <c r="Z69" s="1621"/>
      <c r="AI69" s="1559"/>
    </row>
    <row r="70" spans="1:35" s="640" customFormat="1" ht="14.4" thickBot="1">
      <c r="A70" s="3309" t="s">
        <v>1394</v>
      </c>
      <c r="B70" s="3310"/>
      <c r="C70" s="3310"/>
      <c r="D70" s="3310"/>
      <c r="E70" s="3310"/>
      <c r="F70" s="3310"/>
      <c r="G70" s="3310"/>
      <c r="H70" s="3310"/>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288" t="s">
        <v>1375</v>
      </c>
      <c r="B71" s="3289"/>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3" t="s">
        <v>330</v>
      </c>
      <c r="B72" s="164" t="s">
        <v>1395</v>
      </c>
      <c r="C72" s="2350">
        <f ca="1">ROUND(D45/(1+'数据-取费表'!C42),0)</f>
        <v>15308</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3" t="s">
        <v>327</v>
      </c>
      <c r="B73" s="153" t="s">
        <v>1396</v>
      </c>
      <c r="C73" s="2350">
        <f ca="1">C74+C78</f>
        <v>77</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59" t="s">
        <v>331</v>
      </c>
      <c r="B75" s="160" t="s">
        <v>1398</v>
      </c>
      <c r="C75" s="2353"/>
      <c r="D75" s="160" t="s">
        <v>26</v>
      </c>
      <c r="E75" s="174" t="s">
        <v>1399</v>
      </c>
      <c r="F75" s="2354"/>
      <c r="G75" s="174"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283" t="s">
        <v>1402</v>
      </c>
      <c r="F76" s="3257"/>
      <c r="G76" s="3257"/>
      <c r="H76" s="330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4.0500000000000001E-2</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77</v>
      </c>
      <c r="D78" s="2359">
        <f>'数据-取费表'!B43</f>
        <v>5.000000000000001E-3</v>
      </c>
      <c r="E78" s="3267" t="s">
        <v>1406</v>
      </c>
      <c r="F78" s="3268"/>
      <c r="G78" s="3268"/>
      <c r="H78" s="327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3" t="s">
        <v>334</v>
      </c>
      <c r="B79" s="164" t="s">
        <v>1407</v>
      </c>
      <c r="C79" s="2350">
        <f ca="1">C72-C73</f>
        <v>15231</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197.80519480519482</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6" t="s">
        <v>336</v>
      </c>
      <c r="B81" s="167" t="s">
        <v>1409</v>
      </c>
      <c r="C81" s="2361">
        <f ca="1">ROUND(IF(C79&lt;=0,0,IF(C80&gt;=200%,C79*60%-C73*35%,IF(C80&gt;=100%,C79*50%-C73*15%,IF(C80&gt;=50%,C79*40%-C73*5%,IF(C80&lt;50%,C79*30%,0))))),0)</f>
        <v>9112</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09" t="s">
        <v>1410</v>
      </c>
      <c r="B83" s="3310"/>
      <c r="C83" s="3310"/>
      <c r="D83" s="3310"/>
      <c r="E83" s="3310"/>
      <c r="F83" s="3310"/>
      <c r="G83" s="3310"/>
      <c r="H83" s="331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288" t="s">
        <v>1375</v>
      </c>
      <c r="B84" s="3289"/>
      <c r="C84" s="1863"/>
      <c r="D84" s="1863"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3" t="s">
        <v>330</v>
      </c>
      <c r="B85" s="164" t="s">
        <v>1395</v>
      </c>
      <c r="C85" s="2350">
        <f ca="1">ROUND(D45/(1+'数据-取费表'!C42),0)</f>
        <v>15308</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3" t="s">
        <v>327</v>
      </c>
      <c r="B86" s="153" t="s">
        <v>1396</v>
      </c>
      <c r="C86" s="2350">
        <f ca="1">IF(H88="仅含出让金",C87+C90+C91+C92+C93+C94,C87+C91+C92+C93+C94)</f>
        <v>17415</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59" t="s">
        <v>325</v>
      </c>
      <c r="B87" s="160" t="s">
        <v>1411</v>
      </c>
      <c r="C87" s="2358">
        <f>C88+C89</f>
        <v>1868</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26.4">
      <c r="A88" s="159" t="s">
        <v>331</v>
      </c>
      <c r="B88" s="160" t="s">
        <v>1412</v>
      </c>
      <c r="C88" s="2364">
        <f>ROUND(面积!F20/10000,0)</f>
        <v>1795</v>
      </c>
      <c r="D88" s="2359"/>
      <c r="E88" s="183" t="s">
        <v>1413</v>
      </c>
      <c r="F88" s="2146"/>
      <c r="G88" s="184" t="s">
        <v>1414</v>
      </c>
      <c r="H88" s="1682" t="s">
        <v>3579</v>
      </c>
      <c r="I88" s="1679"/>
      <c r="J88" s="2304"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59" t="s">
        <v>332</v>
      </c>
      <c r="B89" s="160" t="s">
        <v>1403</v>
      </c>
      <c r="C89" s="2358">
        <f>ROUND(C88*D89,0)</f>
        <v>73</v>
      </c>
      <c r="D89" s="2359">
        <f>'数据-取费表'!B48+'数据-取费表'!B49</f>
        <v>4.0500000000000001E-2</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59" t="s">
        <v>326</v>
      </c>
      <c r="B90" s="160" t="s">
        <v>1416</v>
      </c>
      <c r="C90" s="2364"/>
      <c r="D90" s="2359"/>
      <c r="E90" s="183" t="str">
        <f>IF(H88="-","土地取得成本中已包含该笔费用"," ")</f>
        <v xml:space="preserve"> </v>
      </c>
      <c r="F90" s="2146"/>
      <c r="G90" s="3349" t="s">
        <v>2128</v>
      </c>
      <c r="H90" s="3350"/>
      <c r="I90" s="1679"/>
      <c r="J90" s="2304"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13894</v>
      </c>
      <c r="D91" s="2359"/>
      <c r="E91" s="3267" t="s">
        <v>1419</v>
      </c>
      <c r="F91" s="3268"/>
      <c r="G91" s="3268"/>
      <c r="H91" s="1683" t="s">
        <v>3580</v>
      </c>
      <c r="I91" s="1684">
        <f>面积!F16</f>
        <v>13894</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1576</v>
      </c>
      <c r="D92" s="2365">
        <v>0.1</v>
      </c>
      <c r="E92" s="3267" t="s">
        <v>1422</v>
      </c>
      <c r="F92" s="3268"/>
      <c r="G92" s="3268"/>
      <c r="H92" s="3277"/>
      <c r="I92" s="1679"/>
      <c r="J92" s="2305"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77</v>
      </c>
      <c r="D93" s="2359">
        <f>'数据-取费表'!B43</f>
        <v>5.000000000000001E-3</v>
      </c>
      <c r="E93" s="3267" t="s">
        <v>1406</v>
      </c>
      <c r="F93" s="3268"/>
      <c r="G93" s="3268"/>
      <c r="H93" s="327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c r="D94" s="2359">
        <v>0.2</v>
      </c>
      <c r="E94" s="3278" t="s">
        <v>1426</v>
      </c>
      <c r="F94" s="3279"/>
      <c r="G94" s="3279"/>
      <c r="H94" s="328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3" t="s">
        <v>334</v>
      </c>
      <c r="B95" s="164" t="s">
        <v>1407</v>
      </c>
      <c r="C95" s="2350">
        <f ca="1">ROUND(C85-C86,0)</f>
        <v>-2107</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0</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6" t="s">
        <v>336</v>
      </c>
      <c r="B97" s="167" t="s">
        <v>1409</v>
      </c>
      <c r="C97" s="2361">
        <f ca="1">ROUND(IF(C95&lt;=0,0,IF(C96&gt;=200%,C95*60%-C86*35%,IF(C96&gt;=100%,C95*50%-C86*15%,IF(C96&gt;=50%,C95*40%-C86*5%,IF(C96&lt;50%,C95*30%,0))))),0)</f>
        <v>0</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51" t="s">
        <v>1428</v>
      </c>
      <c r="B100" s="3252"/>
      <c r="C100" s="3252"/>
      <c r="D100" s="3269"/>
      <c r="E100" s="3252" t="s">
        <v>1429</v>
      </c>
      <c r="F100" s="3252"/>
      <c r="G100" s="3252"/>
      <c r="H100" s="3269"/>
      <c r="I100" s="119"/>
    </row>
    <row r="101" spans="1:35" ht="18.75" customHeight="1">
      <c r="A101" s="3330" t="s">
        <v>1430</v>
      </c>
      <c r="B101" s="3331"/>
      <c r="C101" s="2367" t="str">
        <f>C4</f>
        <v>成本法</v>
      </c>
      <c r="D101" s="2368" t="str">
        <f>D4</f>
        <v>收益法</v>
      </c>
      <c r="E101" s="3344" t="s">
        <v>1431</v>
      </c>
      <c r="F101" s="3301"/>
      <c r="G101" s="1685" t="s">
        <v>1432</v>
      </c>
      <c r="H101" s="2377">
        <f ca="1">H118</f>
        <v>16073</v>
      </c>
      <c r="I101" s="119"/>
    </row>
    <row r="102" spans="1:35" ht="18.75" customHeight="1">
      <c r="A102" s="3303" t="s">
        <v>1433</v>
      </c>
      <c r="B102" s="2366" t="s">
        <v>1432</v>
      </c>
      <c r="C102" s="2367">
        <f ca="1">IF(D32="楼面单价",ROUND(C19,0),C19)</f>
        <v>19538</v>
      </c>
      <c r="D102" s="2368">
        <f ca="1">IF(D32="楼面单价",ROUND(D19,0),D19)</f>
        <v>11837</v>
      </c>
      <c r="E102" s="3344"/>
      <c r="F102" s="3301"/>
      <c r="G102" s="1685" t="s">
        <v>1434</v>
      </c>
      <c r="H102" s="2337">
        <f ca="1">I118</f>
        <v>3679</v>
      </c>
      <c r="I102" s="119"/>
    </row>
    <row r="103" spans="1:35" ht="42.75" customHeight="1">
      <c r="A103" s="3303"/>
      <c r="B103" s="2366" t="s">
        <v>1434</v>
      </c>
      <c r="C103" s="2369">
        <f ca="1">C20</f>
        <v>4472</v>
      </c>
      <c r="D103" s="2370">
        <f ca="1">D20</f>
        <v>2710</v>
      </c>
      <c r="E103" s="3338" t="s">
        <v>1435</v>
      </c>
      <c r="F103" s="3339"/>
      <c r="G103" s="1686" t="s">
        <v>1436</v>
      </c>
      <c r="H103" s="2377">
        <f>IF(D36="正常操作",H104+H105+H106,H105+H106)</f>
        <v>0</v>
      </c>
      <c r="I103" s="119"/>
    </row>
    <row r="104" spans="1:35" ht="18.75" customHeight="1">
      <c r="A104" s="3303" t="s">
        <v>1437</v>
      </c>
      <c r="B104" s="2371" t="s">
        <v>1432</v>
      </c>
      <c r="C104" s="2372">
        <f ca="1">H118</f>
        <v>16073</v>
      </c>
      <c r="D104" s="2373"/>
      <c r="E104" s="1553" t="s">
        <v>1438</v>
      </c>
      <c r="F104" s="1546"/>
      <c r="G104" s="1686" t="s">
        <v>1436</v>
      </c>
      <c r="H104" s="2378">
        <f>IF(D36="同一抵押权人同一抵押物续贷",C36&amp;"（续贷，未扣减，详见特别提示）",C36)</f>
        <v>0</v>
      </c>
      <c r="I104" s="119"/>
    </row>
    <row r="105" spans="1:35" ht="18.75" customHeight="1" thickBot="1">
      <c r="A105" s="3304"/>
      <c r="B105" s="2374" t="s">
        <v>1434</v>
      </c>
      <c r="C105" s="2375">
        <f ca="1">I118</f>
        <v>3679</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300" t="str">
        <f>IF(项目基本情况!E8="已注销","——","3.房地产抵押价值")</f>
        <v>3.房地产抵押价值</v>
      </c>
      <c r="F107" s="3301"/>
      <c r="G107" s="1685" t="s">
        <v>1432</v>
      </c>
      <c r="H107" s="2377">
        <f ca="1">IF(E107="——","——",H101-H103)</f>
        <v>16073</v>
      </c>
      <c r="I107" s="119"/>
    </row>
    <row r="108" spans="1:35" ht="18.75" customHeight="1">
      <c r="A108" s="119"/>
      <c r="B108" s="119"/>
      <c r="C108" s="119"/>
      <c r="D108" s="119"/>
      <c r="E108" s="3300"/>
      <c r="F108" s="3301"/>
      <c r="G108" s="1685" t="s">
        <v>1434</v>
      </c>
      <c r="H108" s="2337">
        <f ca="1">IF(H107=H101,H102,ROUND(H107*10000/'数据-汇总表'!E3,0))</f>
        <v>3679</v>
      </c>
      <c r="I108" s="119"/>
    </row>
    <row r="109" spans="1:35" ht="18.75" customHeight="1">
      <c r="A109" s="119"/>
      <c r="B109" s="119"/>
      <c r="C109" s="119"/>
      <c r="D109" s="119"/>
      <c r="E109" s="3300" t="str">
        <f>IF(项目基本情况!E8="已注销及未注销","4.抵押担保权已注销时的房地产抵押价值",IF(项目基本情况!E8="已注销","3.抵押担保权已注销时的房地产抵押价值","——"))</f>
        <v>——</v>
      </c>
      <c r="F109" s="3301"/>
      <c r="G109" s="1685" t="s">
        <v>1432</v>
      </c>
      <c r="H109" s="2380" t="str">
        <f>IF(E109="——","——",H101-H105-H106)</f>
        <v>——</v>
      </c>
      <c r="I109" s="119"/>
    </row>
    <row r="110" spans="1:35" ht="18.75" customHeight="1">
      <c r="A110" s="119"/>
      <c r="B110" s="119"/>
      <c r="C110" s="119"/>
      <c r="D110" s="119"/>
      <c r="E110" s="3300"/>
      <c r="F110" s="3301"/>
      <c r="G110" s="1685" t="s">
        <v>1434</v>
      </c>
      <c r="H110" s="2337" t="str">
        <f>IF(H109="——","——",ROUND(H109*10000/'数据-汇总表'!E3,0))</f>
        <v>——</v>
      </c>
      <c r="I110" s="119"/>
    </row>
    <row r="111" spans="1:35" ht="18.75" customHeight="1">
      <c r="A111" s="119"/>
      <c r="B111" s="119"/>
      <c r="C111" s="119"/>
      <c r="D111" s="119"/>
      <c r="E111" s="3332" t="str">
        <f>IF(项目基本情况!E9="抵押净值",IF(OR(项目基本情况!E8="已注销",项目基本情况!E8="房地产抵押价值"),"4.抵押净值","5.抵押净值"),"——")</f>
        <v>4.抵押净值</v>
      </c>
      <c r="F111" s="3302"/>
      <c r="G111" s="1685" t="s">
        <v>1432</v>
      </c>
      <c r="H111" s="2377">
        <f ca="1">IF(E111="——","——",N59)</f>
        <v>15223</v>
      </c>
      <c r="I111" s="119"/>
    </row>
    <row r="112" spans="1:35" ht="18.75" customHeight="1" thickBot="1">
      <c r="A112" s="119"/>
      <c r="B112" s="119"/>
      <c r="C112" s="119"/>
      <c r="D112" s="119"/>
      <c r="E112" s="3333"/>
      <c r="F112" s="3334"/>
      <c r="G112" s="1688" t="s">
        <v>1434</v>
      </c>
      <c r="H112" s="2381">
        <f ca="1">IF(E111="——","——",N61)</f>
        <v>3485</v>
      </c>
      <c r="I112" s="119"/>
    </row>
    <row r="113" spans="1:27" ht="18.75" customHeight="1">
      <c r="A113" s="119"/>
      <c r="B113" s="119"/>
      <c r="C113" s="119"/>
      <c r="D113" s="119"/>
      <c r="E113" s="3305" t="s">
        <v>1440</v>
      </c>
      <c r="F113" s="3305"/>
      <c r="G113" s="3305"/>
      <c r="H113" s="3305"/>
      <c r="I113" s="119"/>
    </row>
    <row r="114" spans="1:27" ht="3.75" customHeight="1">
      <c r="A114" s="644"/>
      <c r="B114" s="644"/>
      <c r="C114" s="644"/>
      <c r="D114" s="644"/>
      <c r="E114" s="1669"/>
      <c r="F114" s="1669"/>
      <c r="G114" s="1669"/>
      <c r="H114" s="1669"/>
      <c r="I114" s="644"/>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48" t="s">
        <v>1449</v>
      </c>
      <c r="E117" s="2148" t="s">
        <v>1450</v>
      </c>
      <c r="F117" s="2148" t="s">
        <v>1449</v>
      </c>
      <c r="G117" s="2148" t="s">
        <v>1451</v>
      </c>
      <c r="H117" s="2148" t="s">
        <v>1449</v>
      </c>
      <c r="I117" s="2148" t="s">
        <v>1451</v>
      </c>
    </row>
    <row r="118" spans="1:27" ht="24.75" customHeight="1">
      <c r="A118" s="2382" t="str">
        <f>项目基本情况!S2</f>
        <v>北京市怀来县存瑞镇头二营村、葫芦套村三期房地产</v>
      </c>
      <c r="B118" s="2148">
        <f>M18</f>
        <v>43685.850000000006</v>
      </c>
      <c r="C118" s="2148">
        <f>M19</f>
        <v>35316.97</v>
      </c>
      <c r="D118" s="2148">
        <f ca="1">ROUND(IF(D32="总价",C34,E118*B118/10000),0)</f>
        <v>2315</v>
      </c>
      <c r="E118" s="2148">
        <f ca="1">ROUND(IF(C33="自定义",IF(D32="楼面单价",C34,D118*10000/B118),I118-G118),0)</f>
        <v>530</v>
      </c>
      <c r="F118" s="2148">
        <f ca="1">ROUND(IF(D32="总价",C35,G118*B118/10000),0)</f>
        <v>13758</v>
      </c>
      <c r="G118" s="2148">
        <f ca="1">ROUND(IF(D32="楼面单价",C35,F118*10000/B118),0)</f>
        <v>3149</v>
      </c>
      <c r="H118" s="2148">
        <f ca="1">ROUND(IF(D32="总价",C32,I118*B118/10000),0)</f>
        <v>16073</v>
      </c>
      <c r="I118" s="2148">
        <f ca="1">ROUND(IF(D32="楼面单价",C32,H118*10000/B118),0)</f>
        <v>3679</v>
      </c>
    </row>
    <row r="119" spans="1:27" ht="18.75" customHeight="1">
      <c r="A119" s="3271" t="s">
        <v>1452</v>
      </c>
      <c r="B119" s="3271"/>
      <c r="C119" s="3271"/>
      <c r="D119" s="3311" t="str">
        <f ca="1">NUMBERSTRING(INT(D118*10000),2)&amp;"元整"</f>
        <v>贰仟叁佰壹拾伍万元整</v>
      </c>
      <c r="E119" s="3313"/>
      <c r="F119" s="3311" t="str">
        <f ca="1">NUMBERSTRING(INT(F118*10000),2)&amp;"元整"</f>
        <v>壹亿叁仟柒佰伍拾捌万元整</v>
      </c>
      <c r="G119" s="3313"/>
      <c r="H119" s="3311" t="str">
        <f ca="1">NUMBERSTRING(INT(H118*10000),2)&amp;"元整"</f>
        <v>壹亿陆仟零柒拾叁万元整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1" t="s">
        <v>1452</v>
      </c>
      <c r="B121" s="3312"/>
      <c r="C121" s="3313"/>
      <c r="D121" s="3311" t="str">
        <f>IF(D120=0,"零元整",NUMBERSTRING(INT(D120*10000),2)&amp;"元整")</f>
        <v>零元整</v>
      </c>
      <c r="E121" s="3312"/>
      <c r="F121" s="3312"/>
      <c r="G121" s="3312"/>
      <c r="H121" s="3312"/>
      <c r="I121" s="3313"/>
      <c r="AA121" s="682"/>
    </row>
    <row r="122" spans="1:27" ht="18.75" customHeight="1">
      <c r="A122" s="3302" t="str">
        <f>IF(项目基本情况!B9="房地产市场价值","",MID(E107,3,LEN(E107)-2))</f>
        <v>房地产抵押价值</v>
      </c>
      <c r="B122" s="3302"/>
      <c r="C122" s="3302"/>
      <c r="D122" s="3335">
        <f ca="1">H107</f>
        <v>16073</v>
      </c>
      <c r="E122" s="3336"/>
      <c r="F122" s="3336"/>
      <c r="G122" s="3336"/>
      <c r="H122" s="3336"/>
      <c r="I122" s="3337"/>
      <c r="AA122" s="682"/>
    </row>
    <row r="123" spans="1:27" ht="18.75" customHeight="1">
      <c r="A123" s="3271" t="s">
        <v>1452</v>
      </c>
      <c r="B123" s="3271"/>
      <c r="C123" s="3271"/>
      <c r="D123" s="3311" t="str">
        <f ca="1">NUMBERSTRING(INT(D122*10000),2)&amp;"元整"</f>
        <v>壹亿陆仟零柒拾叁万元整</v>
      </c>
      <c r="E123" s="3312"/>
      <c r="F123" s="3312"/>
      <c r="G123" s="3312"/>
      <c r="H123" s="3312"/>
      <c r="I123" s="3313"/>
      <c r="AA123" s="682"/>
    </row>
    <row r="124" spans="1:27" ht="18.75" customHeight="1">
      <c r="A124" s="3302" t="str">
        <f>IF(项目基本情况!B9="房地产市场价值","",MID(E109,3,LEN(E109)-2))</f>
        <v/>
      </c>
      <c r="B124" s="3302"/>
      <c r="C124" s="3302"/>
      <c r="D124" s="3335" t="str">
        <f>H109</f>
        <v>——</v>
      </c>
      <c r="E124" s="3336"/>
      <c r="F124" s="3336"/>
      <c r="G124" s="3336"/>
      <c r="H124" s="3336"/>
      <c r="I124" s="3337"/>
      <c r="AA124" s="682"/>
    </row>
    <row r="125" spans="1:27" ht="18.75" customHeight="1">
      <c r="A125" s="3271" t="s">
        <v>1452</v>
      </c>
      <c r="B125" s="3271"/>
      <c r="C125" s="3271"/>
      <c r="D125" s="3311" t="e">
        <f>NUMBERSTRING(INT(D124*10000),2)&amp;"元整"</f>
        <v>#VALUE!</v>
      </c>
      <c r="E125" s="3312"/>
      <c r="F125" s="3312"/>
      <c r="G125" s="3312"/>
      <c r="H125" s="3312"/>
      <c r="I125" s="3313"/>
      <c r="AA125" s="682"/>
    </row>
    <row r="126" spans="1:27" ht="18.75" customHeight="1">
      <c r="A126" s="3302" t="str">
        <f>IF(项目基本情况!B9="房地产市场价值","",MID(E111,3,LEN(E111)-2))</f>
        <v>抵押净值</v>
      </c>
      <c r="B126" s="3302"/>
      <c r="C126" s="3302"/>
      <c r="D126" s="3335">
        <f ca="1">H111</f>
        <v>15223</v>
      </c>
      <c r="E126" s="3336"/>
      <c r="F126" s="3336"/>
      <c r="G126" s="3336"/>
      <c r="H126" s="3336"/>
      <c r="I126" s="3337"/>
      <c r="AA126" s="682"/>
    </row>
    <row r="127" spans="1:27" ht="18.75" customHeight="1">
      <c r="A127" s="3271" t="s">
        <v>1452</v>
      </c>
      <c r="B127" s="3271"/>
      <c r="C127" s="3271"/>
      <c r="D127" s="3311" t="str">
        <f ca="1">NUMBERSTRING(INT(D126*10000),2)&amp;"元整"</f>
        <v>壹亿伍仟贰佰贰拾叁万元整</v>
      </c>
      <c r="E127" s="3312"/>
      <c r="F127" s="3312"/>
      <c r="G127" s="3312"/>
      <c r="H127" s="3312"/>
      <c r="I127" s="3313"/>
      <c r="AA127" s="682"/>
    </row>
    <row r="128" spans="1:27" ht="21.75" customHeight="1">
      <c r="A128" s="3318" t="s">
        <v>1453</v>
      </c>
      <c r="B128" s="3318"/>
      <c r="C128" s="3318"/>
      <c r="D128" s="3318"/>
      <c r="E128" s="3318"/>
      <c r="F128" s="3318"/>
      <c r="G128" s="3318"/>
      <c r="H128" s="3318"/>
      <c r="I128" s="3318"/>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67" t="str">
        <f>项目基本情况!B1</f>
        <v>北京市怀来县存瑞镇头二营村、葫芦套村三期房地产抵押价值预评估</v>
      </c>
      <c r="C37" s="3167"/>
      <c r="D37" s="3167"/>
      <c r="E37" s="3167"/>
      <c r="F37" s="3167"/>
      <c r="G37" s="3167"/>
      <c r="H37" s="3167"/>
      <c r="I37" s="3167"/>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 ca="1">项目基本情况!K4</f>
        <v>郑燚（注册号：1120070131)、（注册号：0)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E123"/>
  <sheetViews>
    <sheetView view="pageBreakPreview" topLeftCell="A26" zoomScaleNormal="60" zoomScaleSheetLayoutView="100" workbookViewId="0">
      <selection activeCell="I35" sqref="I35"/>
    </sheetView>
  </sheetViews>
  <sheetFormatPr defaultColWidth="9" defaultRowHeight="13.8"/>
  <cols>
    <col min="1" max="1" width="14.33203125" style="345" customWidth="1"/>
    <col min="2" max="2" width="15.77734375" style="345" customWidth="1"/>
    <col min="3" max="3" width="22.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F61</f>
        <v>2154</v>
      </c>
      <c r="C2" s="853"/>
      <c r="D2" s="853"/>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493</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ht="60" customHeight="1">
      <c r="A5" s="346"/>
      <c r="B5" s="347"/>
      <c r="C5" s="3361" t="s">
        <v>1673</v>
      </c>
      <c r="D5" s="3362"/>
      <c r="E5" s="3386" t="str">
        <f>土地案例!A3</f>
        <v>怀来县土木镇太平沟村、二台子村</v>
      </c>
      <c r="F5" s="3387"/>
      <c r="G5" s="3361" t="str">
        <f>土地案例!A8</f>
        <v>怀来县沙城镇八街村、土木镇古家窑村</v>
      </c>
      <c r="H5" s="3362"/>
      <c r="I5" s="3361" t="str">
        <f>土地案例!A18</f>
        <v>怀来县土木镇太平沟村</v>
      </c>
      <c r="J5" s="3362"/>
      <c r="K5" s="535"/>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363" t="s">
        <v>1919</v>
      </c>
      <c r="D6" s="3364"/>
      <c r="E6" s="3366" t="s">
        <v>1919</v>
      </c>
      <c r="F6" s="3367"/>
      <c r="G6" s="3363" t="s">
        <v>1919</v>
      </c>
      <c r="H6" s="3364"/>
      <c r="I6" s="3363" t="s">
        <v>1919</v>
      </c>
      <c r="J6" s="3364"/>
      <c r="K6" s="535" t="s">
        <v>1678</v>
      </c>
      <c r="L6" s="2482"/>
      <c r="M6" s="2483"/>
      <c r="N6" s="2483"/>
      <c r="O6" s="2483"/>
      <c r="P6" s="3384"/>
      <c r="Q6" s="3385"/>
      <c r="R6" s="3359"/>
      <c r="S6" s="3360"/>
      <c r="T6" s="3368"/>
      <c r="U6" s="3369"/>
      <c r="V6" s="3370"/>
      <c r="W6" s="3370"/>
      <c r="X6" s="1263"/>
      <c r="Y6" s="3368"/>
      <c r="Z6" s="3369"/>
      <c r="AA6" s="3376"/>
      <c r="AB6" s="3376"/>
      <c r="AC6" s="3376"/>
    </row>
    <row r="7" spans="1:29" s="101" customFormat="1" ht="15" thickBot="1">
      <c r="A7" s="350" t="s">
        <v>1679</v>
      </c>
      <c r="B7" s="351"/>
      <c r="C7" s="352">
        <f>'数据-取费表'!B2</f>
        <v>45649</v>
      </c>
      <c r="D7" s="353">
        <v>100</v>
      </c>
      <c r="E7" s="354" t="str">
        <f>土地案例!L3</f>
        <v>2024-06-21</v>
      </c>
      <c r="F7" s="355">
        <f>SUMIF(65:65,YEAR(E7)&amp;"-"&amp;INT((MONTH(E7)+2)/3),66:66)</f>
        <v>100</v>
      </c>
      <c r="G7" s="1820" t="str">
        <f>土地案例!L8</f>
        <v>2023-11-17</v>
      </c>
      <c r="H7" s="353">
        <f>SUMIF(65:65,YEAR(G7)&amp;"-"&amp;INT((MONTH(G7)+2)/3),66:66)</f>
        <v>100</v>
      </c>
      <c r="I7" s="1820" t="str">
        <f>土地案例!L18</f>
        <v>2023-03-31</v>
      </c>
      <c r="J7" s="353">
        <f>SUMIF(65:65,YEAR(I7)&amp;"-"&amp;INT((MONTH(I7)+2)/3),66:66)</f>
        <v>100</v>
      </c>
      <c r="K7" s="38"/>
      <c r="L7" s="2484"/>
      <c r="M7" s="2436"/>
      <c r="N7" s="2436"/>
      <c r="O7" s="2436"/>
      <c r="P7" s="3355" t="s">
        <v>1680</v>
      </c>
      <c r="Q7" s="3365"/>
      <c r="R7" s="662" t="s">
        <v>14</v>
      </c>
      <c r="S7" s="663">
        <f t="shared" ref="S7:S15" si="0">F7</f>
        <v>100</v>
      </c>
      <c r="T7" s="662" t="s">
        <v>14</v>
      </c>
      <c r="U7" s="663">
        <f t="shared" ref="U7:U15" si="1">H7</f>
        <v>100</v>
      </c>
      <c r="V7" s="662" t="s">
        <v>14</v>
      </c>
      <c r="W7" s="663">
        <f t="shared" ref="W7:W15" si="2">J7</f>
        <v>100</v>
      </c>
      <c r="X7" s="664"/>
      <c r="Y7" s="3355" t="s">
        <v>1680</v>
      </c>
      <c r="Z7" s="3356"/>
      <c r="AA7" s="50">
        <f>D7/F7</f>
        <v>1</v>
      </c>
      <c r="AB7" s="50">
        <f>D7/H7</f>
        <v>1</v>
      </c>
      <c r="AC7" s="50">
        <f>D7/J7</f>
        <v>1</v>
      </c>
    </row>
    <row r="8" spans="1:29" s="101" customFormat="1" ht="15" thickBot="1">
      <c r="A8" s="350" t="s">
        <v>1681</v>
      </c>
      <c r="B8" s="351"/>
      <c r="C8" s="356" t="s">
        <v>1682</v>
      </c>
      <c r="D8" s="353">
        <v>100</v>
      </c>
      <c r="E8" s="356" t="s">
        <v>1682</v>
      </c>
      <c r="F8" s="355">
        <f>SUMIF(68:68,E8,69:69)-SUMIF(68:68,C8,69:69)+100</f>
        <v>100</v>
      </c>
      <c r="G8" s="356" t="s">
        <v>1682</v>
      </c>
      <c r="H8" s="353">
        <f>SUMIF(68:68,G8,69:69)-SUMIF(68:68,C8,69:69)+100</f>
        <v>100</v>
      </c>
      <c r="I8" s="356" t="s">
        <v>1682</v>
      </c>
      <c r="J8" s="353">
        <f>SUMIF(68:68,I8,69:69)-SUMIF(68:68,C8,69:69)+100</f>
        <v>100</v>
      </c>
      <c r="K8" s="38"/>
      <c r="L8" s="2484"/>
      <c r="M8" s="2436"/>
      <c r="N8" s="2436"/>
      <c r="O8" s="2436"/>
      <c r="P8" s="3355" t="s">
        <v>1683</v>
      </c>
      <c r="Q8" s="3356"/>
      <c r="R8" s="662" t="s">
        <v>14</v>
      </c>
      <c r="S8" s="663">
        <f t="shared" si="0"/>
        <v>100</v>
      </c>
      <c r="T8" s="662" t="s">
        <v>14</v>
      </c>
      <c r="U8" s="663">
        <f t="shared" si="1"/>
        <v>100</v>
      </c>
      <c r="V8" s="662" t="s">
        <v>14</v>
      </c>
      <c r="W8" s="663">
        <f t="shared" si="2"/>
        <v>100</v>
      </c>
      <c r="X8" s="664"/>
      <c r="Y8" s="3355" t="s">
        <v>1683</v>
      </c>
      <c r="Z8" s="3356"/>
      <c r="AA8" s="50">
        <f t="shared" ref="AA8:AA40" si="3">D8/F8</f>
        <v>1</v>
      </c>
      <c r="AB8" s="50">
        <f t="shared" ref="AB8:AB40" si="4">D8/H8</f>
        <v>1</v>
      </c>
      <c r="AC8" s="50">
        <f t="shared" ref="AC8:AC40" si="5">D8/J8</f>
        <v>1</v>
      </c>
    </row>
    <row r="9" spans="1:29" s="101" customFormat="1" ht="14.4">
      <c r="A9" s="357" t="s">
        <v>1684</v>
      </c>
      <c r="B9" s="60" t="s">
        <v>1685</v>
      </c>
      <c r="C9" s="1823" t="s">
        <v>3</v>
      </c>
      <c r="D9" s="59">
        <v>100</v>
      </c>
      <c r="E9" s="1823" t="s">
        <v>3</v>
      </c>
      <c r="F9" s="59">
        <f>SUMIF(70:70,E9,71:71)-SUMIF(70:70,C9,71:71)+100</f>
        <v>100</v>
      </c>
      <c r="G9" s="1823" t="s">
        <v>3</v>
      </c>
      <c r="H9" s="59">
        <f>SUMIF(70:70,G9,71:71)-SUMIF(70:70,C9,71:71)+100</f>
        <v>100</v>
      </c>
      <c r="I9" s="1823" t="s">
        <v>3</v>
      </c>
      <c r="J9" s="59">
        <f>SUMIF(70:70,I9,71:71)-SUMIF(70:70,C9,71:71)+100</f>
        <v>100</v>
      </c>
      <c r="K9" s="38"/>
      <c r="L9" s="2484"/>
      <c r="M9" s="2436"/>
      <c r="N9" s="2436"/>
      <c r="O9" s="2536"/>
      <c r="P9" s="3354"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102</v>
      </c>
      <c r="G10" s="369"/>
      <c r="H10" s="117">
        <f>ROUND(100/'数据-取费表'!G16,0)</f>
        <v>102</v>
      </c>
      <c r="I10" s="369"/>
      <c r="J10" s="117">
        <f>ROUND(100/'数据-取费表'!G16,0)</f>
        <v>102</v>
      </c>
      <c r="K10" s="590"/>
      <c r="L10" s="2485"/>
      <c r="M10" s="2486"/>
      <c r="N10" s="2486"/>
      <c r="O10" s="2537"/>
      <c r="P10" s="3354"/>
      <c r="Q10" s="528" t="str">
        <f t="shared" si="6"/>
        <v>土地使用年限（年）</v>
      </c>
      <c r="R10" s="662" t="s">
        <v>14</v>
      </c>
      <c r="S10" s="663">
        <f t="shared" si="0"/>
        <v>102</v>
      </c>
      <c r="T10" s="662" t="s">
        <v>14</v>
      </c>
      <c r="U10" s="663">
        <f t="shared" si="1"/>
        <v>102</v>
      </c>
      <c r="V10" s="662" t="s">
        <v>14</v>
      </c>
      <c r="W10" s="663">
        <f t="shared" si="2"/>
        <v>102</v>
      </c>
      <c r="X10" s="664"/>
      <c r="Y10" s="3258"/>
      <c r="Z10" s="50" t="str">
        <f t="shared" si="7"/>
        <v>土地使用年限（年）</v>
      </c>
      <c r="AA10" s="50">
        <f t="shared" si="3"/>
        <v>0.98039215686274506</v>
      </c>
      <c r="AB10" s="50">
        <f t="shared" si="4"/>
        <v>0.98039215686274506</v>
      </c>
      <c r="AC10" s="50">
        <f t="shared" si="5"/>
        <v>0.98039215686274506</v>
      </c>
    </row>
    <row r="11" spans="1:29" ht="15">
      <c r="A11" s="365"/>
      <c r="B11" s="362" t="s">
        <v>1689</v>
      </c>
      <c r="C11" s="366">
        <f>'数据-汇总表'!I4</f>
        <v>1.24</v>
      </c>
      <c r="D11" s="117">
        <v>100</v>
      </c>
      <c r="E11" s="366">
        <v>1</v>
      </c>
      <c r="F11" s="117">
        <f>LOOKUP(E11,75:75,76:76)-LOOKUP(C11,75:75,76:76)+100</f>
        <v>99</v>
      </c>
      <c r="G11" s="367">
        <v>1</v>
      </c>
      <c r="H11" s="117">
        <f>LOOKUP(G11,75:75,76:76)-LOOKUP(C11,75:75,76:76)+100</f>
        <v>99</v>
      </c>
      <c r="I11" s="366">
        <v>1</v>
      </c>
      <c r="J11" s="117">
        <f>LOOKUP(I11,75:75,76:76)-LOOKUP(C11,75:75,76:76)+100</f>
        <v>99</v>
      </c>
      <c r="K11" s="591">
        <v>1</v>
      </c>
      <c r="L11" s="2487"/>
      <c r="M11" s="2483"/>
      <c r="N11" s="2483"/>
      <c r="O11" s="2538"/>
      <c r="P11" s="3354"/>
      <c r="Q11" s="528" t="str">
        <f t="shared" si="6"/>
        <v>容积率</v>
      </c>
      <c r="R11" s="662" t="s">
        <v>14</v>
      </c>
      <c r="S11" s="663">
        <f t="shared" si="0"/>
        <v>99</v>
      </c>
      <c r="T11" s="662" t="s">
        <v>14</v>
      </c>
      <c r="U11" s="663">
        <f t="shared" si="1"/>
        <v>99</v>
      </c>
      <c r="V11" s="662" t="s">
        <v>14</v>
      </c>
      <c r="W11" s="663">
        <f t="shared" si="2"/>
        <v>99</v>
      </c>
      <c r="X11" s="664"/>
      <c r="Y11" s="3258"/>
      <c r="Z11" s="50" t="str">
        <f t="shared" si="7"/>
        <v>容积率</v>
      </c>
      <c r="AA11" s="50">
        <f t="shared" si="3"/>
        <v>1.0101010101010102</v>
      </c>
      <c r="AB11" s="50">
        <f t="shared" si="4"/>
        <v>1.0101010101010102</v>
      </c>
      <c r="AC11" s="50">
        <f t="shared" si="5"/>
        <v>1.0101010101010102</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4"/>
      <c r="M12" s="2436"/>
      <c r="N12" s="2436"/>
      <c r="O12" s="2536"/>
      <c r="P12" s="3354"/>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8"/>
      <c r="M13" s="2483"/>
      <c r="N13" s="2483"/>
      <c r="O13" s="2538"/>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8"/>
      <c r="M14" s="2483"/>
      <c r="N14" s="2483"/>
      <c r="O14" s="2538"/>
      <c r="P14" s="3354"/>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50">
        <f t="shared" si="5"/>
        <v>1</v>
      </c>
    </row>
    <row r="15" spans="1:29" ht="72">
      <c r="A15" s="377" t="s">
        <v>1690</v>
      </c>
      <c r="B15" s="552" t="s">
        <v>1920</v>
      </c>
      <c r="C15" s="1817" t="str">
        <f>估价对象房地状况!G15</f>
        <v>环首都存瑞云计算产业基地、科华数据(张家口腾致数据中心)、腾讯华北信息技术产业基地，一般</v>
      </c>
      <c r="D15" s="378">
        <v>100</v>
      </c>
      <c r="E15" s="3158" t="s">
        <v>3569</v>
      </c>
      <c r="F15" s="378">
        <f>SUMIF(83:83,E16,84:84)-SUMIF(83:83,C16,84:84)+100</f>
        <v>100</v>
      </c>
      <c r="G15" s="3158" t="s">
        <v>3570</v>
      </c>
      <c r="H15" s="378">
        <f>SUMIF(83:83,G16,84:84)-SUMIF(83:83,C16,84:84)+100</f>
        <v>103</v>
      </c>
      <c r="I15" s="3158" t="s">
        <v>3569</v>
      </c>
      <c r="J15" s="378">
        <f>SUMIF(83:83,I16,84:84)-SUMIF(83:83,C16,84:84)+100</f>
        <v>100</v>
      </c>
      <c r="K15" s="591">
        <v>3</v>
      </c>
      <c r="L15" s="2488"/>
      <c r="M15" s="2483"/>
      <c r="N15" s="2483"/>
      <c r="O15" s="2538"/>
      <c r="P15" s="3371" t="s">
        <v>1691</v>
      </c>
      <c r="Q15" s="1261" t="str">
        <f t="shared" si="6"/>
        <v>产业集聚程度</v>
      </c>
      <c r="R15" s="665" t="s">
        <v>14</v>
      </c>
      <c r="S15" s="666">
        <f t="shared" si="0"/>
        <v>100</v>
      </c>
      <c r="T15" s="665" t="s">
        <v>14</v>
      </c>
      <c r="U15" s="666">
        <f t="shared" si="1"/>
        <v>103</v>
      </c>
      <c r="V15" s="665" t="s">
        <v>14</v>
      </c>
      <c r="W15" s="666">
        <f t="shared" si="2"/>
        <v>100</v>
      </c>
      <c r="X15" s="1263"/>
      <c r="Y15" s="3371" t="s">
        <v>1691</v>
      </c>
      <c r="Z15" s="1262" t="str">
        <f t="shared" si="7"/>
        <v>产业集聚程度</v>
      </c>
      <c r="AA15" s="1262">
        <f t="shared" si="3"/>
        <v>1</v>
      </c>
      <c r="AB15" s="1262">
        <f t="shared" si="4"/>
        <v>0.970873786407767</v>
      </c>
      <c r="AC15" s="1262">
        <f t="shared" si="5"/>
        <v>1</v>
      </c>
    </row>
    <row r="16" spans="1:29" ht="15">
      <c r="A16" s="365"/>
      <c r="B16" s="553"/>
      <c r="C16" s="384" t="s">
        <v>3555</v>
      </c>
      <c r="D16" s="385"/>
      <c r="E16" s="1756" t="s">
        <v>3555</v>
      </c>
      <c r="F16" s="385"/>
      <c r="G16" s="1756" t="s">
        <v>3558</v>
      </c>
      <c r="H16" s="387"/>
      <c r="I16" s="1756" t="s">
        <v>3555</v>
      </c>
      <c r="J16" s="385"/>
      <c r="K16" s="590"/>
      <c r="L16" s="2488"/>
      <c r="M16" s="2483"/>
      <c r="N16" s="2483"/>
      <c r="O16" s="2538"/>
      <c r="P16" s="3372"/>
      <c r="Q16" s="1261"/>
      <c r="R16" s="665"/>
      <c r="S16" s="666"/>
      <c r="T16" s="665"/>
      <c r="U16" s="666"/>
      <c r="V16" s="665"/>
      <c r="W16" s="666"/>
      <c r="X16" s="1263"/>
      <c r="Y16" s="3372"/>
      <c r="Z16" s="1262"/>
      <c r="AA16" s="1262">
        <v>1</v>
      </c>
      <c r="AB16" s="1262">
        <v>1</v>
      </c>
      <c r="AC16" s="1262">
        <v>1</v>
      </c>
    </row>
    <row r="17" spans="1:29" ht="28.8">
      <c r="A17" s="365"/>
      <c r="B17" s="554" t="s">
        <v>1833</v>
      </c>
      <c r="C17" s="1752" t="str">
        <f>估价对象房地状况!G16</f>
        <v>怀来404路，较差</v>
      </c>
      <c r="D17" s="387">
        <v>100</v>
      </c>
      <c r="E17" s="3160" t="s">
        <v>3563</v>
      </c>
      <c r="F17" s="392">
        <f>SUMIF(85:85,E18,86:86)-SUMIF(85:85,C18,86:86)+100</f>
        <v>103</v>
      </c>
      <c r="G17" s="3160" t="s">
        <v>3571</v>
      </c>
      <c r="H17" s="392">
        <f>SUMIF(85:85,G18,86:86)-SUMIF(85:85,C18,86:86)+100</f>
        <v>103</v>
      </c>
      <c r="I17" s="3160" t="s">
        <v>3563</v>
      </c>
      <c r="J17" s="387">
        <f>SUMIF(85:85,I18,86:86)-SUMIF(85:85,C18,86:86)+100</f>
        <v>103</v>
      </c>
      <c r="K17" s="591">
        <v>3</v>
      </c>
      <c r="L17" s="2488"/>
      <c r="M17" s="2483"/>
      <c r="N17" s="2483"/>
      <c r="O17" s="2538"/>
      <c r="P17" s="3372"/>
      <c r="Q17" s="1261" t="str">
        <f>B17</f>
        <v>交通便捷度</v>
      </c>
      <c r="R17" s="665" t="s">
        <v>14</v>
      </c>
      <c r="S17" s="666">
        <f>F17</f>
        <v>103</v>
      </c>
      <c r="T17" s="665" t="s">
        <v>14</v>
      </c>
      <c r="U17" s="666">
        <f>H17</f>
        <v>103</v>
      </c>
      <c r="V17" s="665" t="s">
        <v>14</v>
      </c>
      <c r="W17" s="666">
        <f>J17</f>
        <v>103</v>
      </c>
      <c r="X17" s="1263"/>
      <c r="Y17" s="3372"/>
      <c r="Z17" s="1262" t="str">
        <f>Q17</f>
        <v>交通便捷度</v>
      </c>
      <c r="AA17" s="1262">
        <f t="shared" si="3"/>
        <v>0.970873786407767</v>
      </c>
      <c r="AB17" s="1262">
        <f t="shared" si="4"/>
        <v>0.970873786407767</v>
      </c>
      <c r="AC17" s="1262">
        <f t="shared" si="5"/>
        <v>0.970873786407767</v>
      </c>
    </row>
    <row r="18" spans="1:29" ht="15">
      <c r="A18" s="365"/>
      <c r="B18" s="399"/>
      <c r="C18" s="384" t="s">
        <v>3552</v>
      </c>
      <c r="D18" s="385"/>
      <c r="E18" s="1750" t="s">
        <v>3555</v>
      </c>
      <c r="F18" s="385"/>
      <c r="G18" s="1750" t="s">
        <v>3555</v>
      </c>
      <c r="H18" s="385"/>
      <c r="I18" s="1750" t="s">
        <v>3555</v>
      </c>
      <c r="J18" s="385"/>
      <c r="K18" s="590"/>
      <c r="L18" s="2488"/>
      <c r="M18" s="2483"/>
      <c r="N18" s="2483"/>
      <c r="O18" s="2538"/>
      <c r="P18" s="3372"/>
      <c r="Q18" s="1261"/>
      <c r="R18" s="665"/>
      <c r="S18" s="666"/>
      <c r="T18" s="665"/>
      <c r="U18" s="666"/>
      <c r="V18" s="665"/>
      <c r="W18" s="666"/>
      <c r="X18" s="1263"/>
      <c r="Y18" s="3372"/>
      <c r="Z18" s="1262"/>
      <c r="AA18" s="1262">
        <v>1</v>
      </c>
      <c r="AB18" s="1262">
        <v>1</v>
      </c>
      <c r="AC18" s="1262">
        <v>1</v>
      </c>
    </row>
    <row r="19" spans="1:29" ht="28.8">
      <c r="A19" s="365"/>
      <c r="B19" s="554" t="s">
        <v>1871</v>
      </c>
      <c r="C19" s="1752" t="str">
        <f>估价对象房地状况!G17</f>
        <v>一致</v>
      </c>
      <c r="D19" s="387">
        <v>100</v>
      </c>
      <c r="E19" s="389"/>
      <c r="F19" s="392">
        <f>SUMIF(87:87,E20,88:88)-SUMIF(87:87,C20,88:88)+100</f>
        <v>100</v>
      </c>
      <c r="G19" s="389"/>
      <c r="H19" s="392">
        <f>SUMIF(87:87,G20,88:88)-SUMIF(87:87,C20,88:88)+100</f>
        <v>100</v>
      </c>
      <c r="I19" s="389"/>
      <c r="J19" s="392">
        <f>SUMIF(87:87,I20,88:88)-SUMIF(87:87,C20,88:88)+100</f>
        <v>100</v>
      </c>
      <c r="K19" s="591">
        <v>2</v>
      </c>
      <c r="L19" s="2488"/>
      <c r="M19" s="2483"/>
      <c r="N19" s="2483"/>
      <c r="O19" s="2538"/>
      <c r="P19" s="3372"/>
      <c r="Q19" s="1261" t="str">
        <f t="shared" ref="Q19:Q33" si="8">B19</f>
        <v>区域土地利用方向</v>
      </c>
      <c r="R19" s="665" t="s">
        <v>14</v>
      </c>
      <c r="S19" s="666">
        <f>F19</f>
        <v>100</v>
      </c>
      <c r="T19" s="665" t="s">
        <v>14</v>
      </c>
      <c r="U19" s="666">
        <f>H19</f>
        <v>100</v>
      </c>
      <c r="V19" s="665" t="s">
        <v>14</v>
      </c>
      <c r="W19" s="666">
        <f>J19</f>
        <v>100</v>
      </c>
      <c r="X19" s="1263"/>
      <c r="Y19" s="3372"/>
      <c r="Z19" s="1262" t="str">
        <f>Q19</f>
        <v>区域土地利用方向</v>
      </c>
      <c r="AA19" s="1262">
        <f t="shared" si="3"/>
        <v>1</v>
      </c>
      <c r="AB19" s="1262">
        <f t="shared" si="4"/>
        <v>1</v>
      </c>
      <c r="AC19" s="1262">
        <f t="shared" si="5"/>
        <v>1</v>
      </c>
    </row>
    <row r="20" spans="1:29" ht="15">
      <c r="A20" s="346"/>
      <c r="B20" s="399"/>
      <c r="C20" s="384" t="s">
        <v>3555</v>
      </c>
      <c r="D20" s="385"/>
      <c r="E20" s="384" t="s">
        <v>3555</v>
      </c>
      <c r="F20" s="385"/>
      <c r="G20" s="384" t="s">
        <v>3555</v>
      </c>
      <c r="H20" s="385"/>
      <c r="I20" s="384" t="s">
        <v>3555</v>
      </c>
      <c r="J20" s="385"/>
      <c r="K20" s="696"/>
      <c r="L20" s="2488"/>
      <c r="M20" s="2483"/>
      <c r="N20" s="2483"/>
      <c r="O20" s="2538"/>
      <c r="P20" s="3372"/>
      <c r="Q20" s="1261"/>
      <c r="R20" s="665"/>
      <c r="S20" s="666"/>
      <c r="T20" s="665"/>
      <c r="U20" s="666"/>
      <c r="V20" s="665"/>
      <c r="W20" s="666"/>
      <c r="X20" s="1263"/>
      <c r="Y20" s="3372"/>
      <c r="Z20" s="1262"/>
      <c r="AA20" s="1262"/>
      <c r="AB20" s="1262"/>
      <c r="AC20" s="1262"/>
    </row>
    <row r="21" spans="1:29" ht="15">
      <c r="A21" s="346"/>
      <c r="B21" s="554" t="s">
        <v>1921</v>
      </c>
      <c r="C21" s="1752" t="str">
        <f>估价对象房地状况!G18</f>
        <v>一般</v>
      </c>
      <c r="D21" s="387">
        <v>100</v>
      </c>
      <c r="E21" s="3159" t="s">
        <v>3559</v>
      </c>
      <c r="F21" s="387">
        <f>SUMIF(89:89,E22,90:90)-SUMIF(89:89,C22,90:90)+100</f>
        <v>103</v>
      </c>
      <c r="G21" s="3159" t="s">
        <v>3559</v>
      </c>
      <c r="H21" s="387">
        <f>SUMIF(89:89,G22,90:90)-SUMIF(89:89,C22,90:90)+100</f>
        <v>103</v>
      </c>
      <c r="I21" s="3159" t="s">
        <v>3559</v>
      </c>
      <c r="J21" s="387">
        <f>SUMIF(89:89,I22,90:90)-SUMIF(89:89,C22,90:90)+100</f>
        <v>103</v>
      </c>
      <c r="K21" s="591">
        <v>3</v>
      </c>
      <c r="L21" s="2488"/>
      <c r="M21" s="2483"/>
      <c r="N21" s="2483"/>
      <c r="O21" s="2538"/>
      <c r="P21" s="3372"/>
      <c r="Q21" s="1261" t="str">
        <f t="shared" si="8"/>
        <v>环境状况</v>
      </c>
      <c r="R21" s="665" t="s">
        <v>14</v>
      </c>
      <c r="S21" s="666">
        <f>F21</f>
        <v>103</v>
      </c>
      <c r="T21" s="665" t="s">
        <v>14</v>
      </c>
      <c r="U21" s="666">
        <f>H21</f>
        <v>103</v>
      </c>
      <c r="V21" s="665" t="s">
        <v>14</v>
      </c>
      <c r="W21" s="666">
        <f>J21</f>
        <v>103</v>
      </c>
      <c r="X21" s="1263"/>
      <c r="Y21" s="3372"/>
      <c r="Z21" s="1262" t="str">
        <f>Q21</f>
        <v>环境状况</v>
      </c>
      <c r="AA21" s="1262">
        <f t="shared" si="3"/>
        <v>0.970873786407767</v>
      </c>
      <c r="AB21" s="1262">
        <f t="shared" si="4"/>
        <v>0.970873786407767</v>
      </c>
      <c r="AC21" s="1262">
        <f t="shared" si="5"/>
        <v>0.970873786407767</v>
      </c>
    </row>
    <row r="22" spans="1:29" ht="15">
      <c r="A22" s="346"/>
      <c r="B22" s="399"/>
      <c r="C22" s="384" t="s">
        <v>3555</v>
      </c>
      <c r="D22" s="385"/>
      <c r="E22" s="1756" t="s">
        <v>3558</v>
      </c>
      <c r="F22" s="385"/>
      <c r="G22" s="1756" t="s">
        <v>3558</v>
      </c>
      <c r="H22" s="385"/>
      <c r="I22" s="1756" t="s">
        <v>3558</v>
      </c>
      <c r="J22" s="385"/>
      <c r="K22" s="590"/>
      <c r="L22" s="2488"/>
      <c r="M22" s="2483"/>
      <c r="N22" s="2483"/>
      <c r="O22" s="2538"/>
      <c r="P22" s="3372"/>
      <c r="Q22" s="1261"/>
      <c r="R22" s="665"/>
      <c r="S22" s="666"/>
      <c r="T22" s="665"/>
      <c r="U22" s="666"/>
      <c r="V22" s="665"/>
      <c r="W22" s="666"/>
      <c r="X22" s="1263"/>
      <c r="Y22" s="3372"/>
      <c r="Z22" s="1262"/>
      <c r="AA22" s="1262">
        <v>1</v>
      </c>
      <c r="AB22" s="1262">
        <v>1</v>
      </c>
      <c r="AC22" s="1262">
        <v>1</v>
      </c>
    </row>
    <row r="23" spans="1:29" s="101" customFormat="1" ht="15">
      <c r="A23" s="441"/>
      <c r="B23" s="555" t="s">
        <v>1778</v>
      </c>
      <c r="C23" s="1752" t="str">
        <f>估价对象房地状况!G19</f>
        <v>较差</v>
      </c>
      <c r="D23" s="387">
        <v>100</v>
      </c>
      <c r="E23" s="389"/>
      <c r="F23" s="387">
        <f>SUMIF(91:91,E24,92:92)-SUMIF(91:91,C24,92:92)+100</f>
        <v>103</v>
      </c>
      <c r="G23" s="389"/>
      <c r="H23" s="387">
        <f>SUMIF(91:91,G24,92:92)-SUMIF(91:91,C24,92:92)+100</f>
        <v>106</v>
      </c>
      <c r="I23" s="389"/>
      <c r="J23" s="387">
        <f>SUMIF(91:91,I24,92:92)-SUMIF(91:91,C24,92:92)+100</f>
        <v>103</v>
      </c>
      <c r="K23" s="591">
        <v>3</v>
      </c>
      <c r="L23" s="2484"/>
      <c r="M23" s="2436"/>
      <c r="N23" s="2436"/>
      <c r="O23" s="2536"/>
      <c r="P23" s="3372"/>
      <c r="Q23" s="528" t="str">
        <f t="shared" si="8"/>
        <v>公共配套设施</v>
      </c>
      <c r="R23" s="662" t="s">
        <v>14</v>
      </c>
      <c r="S23" s="663">
        <f>F23</f>
        <v>103</v>
      </c>
      <c r="T23" s="662" t="s">
        <v>14</v>
      </c>
      <c r="U23" s="663">
        <f>H23</f>
        <v>106</v>
      </c>
      <c r="V23" s="662" t="s">
        <v>14</v>
      </c>
      <c r="W23" s="663">
        <f>J23</f>
        <v>103</v>
      </c>
      <c r="X23" s="664"/>
      <c r="Y23" s="3372"/>
      <c r="Z23" s="50" t="str">
        <f>Q23</f>
        <v>公共配套设施</v>
      </c>
      <c r="AA23" s="1262">
        <f>D23/F23</f>
        <v>0.970873786407767</v>
      </c>
      <c r="AB23" s="1262">
        <f>D23/H23</f>
        <v>0.94339622641509435</v>
      </c>
      <c r="AC23" s="1262">
        <f>D23/J23</f>
        <v>0.970873786407767</v>
      </c>
    </row>
    <row r="24" spans="1:29" s="101" customFormat="1" ht="15">
      <c r="A24" s="441"/>
      <c r="B24" s="399"/>
      <c r="C24" s="1824" t="s">
        <v>3552</v>
      </c>
      <c r="D24" s="385"/>
      <c r="E24" s="1756" t="s">
        <v>3555</v>
      </c>
      <c r="F24" s="385"/>
      <c r="G24" s="1756" t="s">
        <v>3558</v>
      </c>
      <c r="H24" s="385"/>
      <c r="I24" s="1756" t="s">
        <v>3555</v>
      </c>
      <c r="J24" s="385"/>
      <c r="K24" s="590"/>
      <c r="L24" s="2484"/>
      <c r="M24" s="2436"/>
      <c r="N24" s="2436"/>
      <c r="O24" s="2536"/>
      <c r="P24" s="3372"/>
      <c r="Q24" s="528"/>
      <c r="R24" s="662"/>
      <c r="S24" s="663"/>
      <c r="T24" s="662"/>
      <c r="U24" s="663"/>
      <c r="V24" s="662"/>
      <c r="W24" s="663"/>
      <c r="X24" s="664"/>
      <c r="Y24" s="3372"/>
      <c r="Z24" s="50"/>
      <c r="AA24" s="50">
        <v>1</v>
      </c>
      <c r="AB24" s="50">
        <v>1</v>
      </c>
      <c r="AC24" s="50">
        <v>1</v>
      </c>
    </row>
    <row r="25" spans="1:29" s="101" customFormat="1" ht="15">
      <c r="A25" s="441"/>
      <c r="B25" s="555" t="s">
        <v>1779</v>
      </c>
      <c r="C25" s="1752" t="str">
        <f>估价对象房地状况!G20</f>
        <v>五通/六通</v>
      </c>
      <c r="D25" s="387">
        <v>100</v>
      </c>
      <c r="E25" s="389"/>
      <c r="F25" s="387">
        <f>SUMIF(93:93,E26,94:94)-SUMIF(93:93,C26,94:94)+100</f>
        <v>100</v>
      </c>
      <c r="G25" s="389"/>
      <c r="H25" s="387">
        <f>SUMIF(93:93,G26,94:94)-SUMIF(93:93,C26,94:94)+100</f>
        <v>100</v>
      </c>
      <c r="I25" s="389"/>
      <c r="J25" s="387">
        <f>SUMIF(93:93,I26,94:94)-SUMIF(93:93,C26,94:94)+100</f>
        <v>100</v>
      </c>
      <c r="K25" s="591">
        <v>1</v>
      </c>
      <c r="L25" s="2484"/>
      <c r="M25" s="2436"/>
      <c r="N25" s="2436"/>
      <c r="O25" s="2536"/>
      <c r="P25" s="3372"/>
      <c r="Q25" s="528" t="str">
        <f t="shared" ref="Q25" si="9">B25</f>
        <v>基础设施水平</v>
      </c>
      <c r="R25" s="662" t="s">
        <v>14</v>
      </c>
      <c r="S25" s="663">
        <f>F25</f>
        <v>100</v>
      </c>
      <c r="T25" s="662" t="s">
        <v>14</v>
      </c>
      <c r="U25" s="663">
        <f>H25</f>
        <v>100</v>
      </c>
      <c r="V25" s="662" t="s">
        <v>14</v>
      </c>
      <c r="W25" s="663">
        <f>J25</f>
        <v>100</v>
      </c>
      <c r="X25" s="664"/>
      <c r="Y25" s="3372"/>
      <c r="Z25" s="50" t="str">
        <f>Q25</f>
        <v>基础设施水平</v>
      </c>
      <c r="AA25" s="1262">
        <f>D25/F25</f>
        <v>1</v>
      </c>
      <c r="AB25" s="1262">
        <f>D25/H25</f>
        <v>1</v>
      </c>
      <c r="AC25" s="1262">
        <f>D25/J25</f>
        <v>1</v>
      </c>
    </row>
    <row r="26" spans="1:29" s="101" customFormat="1" ht="15">
      <c r="A26" s="441"/>
      <c r="B26" s="399"/>
      <c r="C26" s="1824" t="s">
        <v>3561</v>
      </c>
      <c r="D26" s="385"/>
      <c r="E26" s="1824" t="s">
        <v>3561</v>
      </c>
      <c r="F26" s="385"/>
      <c r="G26" s="1824" t="s">
        <v>3561</v>
      </c>
      <c r="H26" s="385"/>
      <c r="I26" s="1824" t="s">
        <v>3561</v>
      </c>
      <c r="J26" s="385"/>
      <c r="K26" s="590"/>
      <c r="L26" s="2484"/>
      <c r="M26" s="2436"/>
      <c r="N26" s="2436"/>
      <c r="O26" s="2536"/>
      <c r="P26" s="3372"/>
      <c r="Q26" s="528"/>
      <c r="R26" s="662"/>
      <c r="S26" s="663"/>
      <c r="T26" s="662"/>
      <c r="U26" s="663"/>
      <c r="V26" s="662"/>
      <c r="W26" s="663"/>
      <c r="X26" s="664"/>
      <c r="Y26" s="3372"/>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8"/>
      <c r="M27" s="2483"/>
      <c r="N27" s="2483"/>
      <c r="O27" s="2538"/>
      <c r="P27" s="3372"/>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72"/>
      <c r="Z27" s="1262" t="str">
        <f t="shared" ref="Z27:Z40" si="13">Q27</f>
        <v>临街状况</v>
      </c>
      <c r="AA27" s="1262">
        <f t="shared" si="3"/>
        <v>1</v>
      </c>
      <c r="AB27" s="1262">
        <f t="shared" si="4"/>
        <v>1</v>
      </c>
      <c r="AC27" s="1262">
        <f t="shared" si="5"/>
        <v>1</v>
      </c>
    </row>
    <row r="28" spans="1:29" ht="28.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8"/>
      <c r="M28" s="2483"/>
      <c r="N28" s="2483"/>
      <c r="O28" s="2538"/>
      <c r="P28" s="3372"/>
      <c r="Q28" s="1261" t="str">
        <f t="shared" si="8"/>
        <v>毗邻道路的类型与等级</v>
      </c>
      <c r="R28" s="665" t="s">
        <v>14</v>
      </c>
      <c r="S28" s="666">
        <f t="shared" si="10"/>
        <v>100</v>
      </c>
      <c r="T28" s="665" t="s">
        <v>14</v>
      </c>
      <c r="U28" s="666">
        <f t="shared" si="11"/>
        <v>100</v>
      </c>
      <c r="V28" s="665" t="s">
        <v>14</v>
      </c>
      <c r="W28" s="666">
        <f t="shared" si="12"/>
        <v>100</v>
      </c>
      <c r="X28" s="1263"/>
      <c r="Y28" s="3372"/>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8"/>
      <c r="M29" s="2483"/>
      <c r="N29" s="2483"/>
      <c r="O29" s="2538"/>
      <c r="P29" s="3372"/>
      <c r="Q29" s="1261"/>
      <c r="R29" s="665"/>
      <c r="S29" s="666"/>
      <c r="T29" s="665"/>
      <c r="U29" s="666"/>
      <c r="V29" s="665"/>
      <c r="W29" s="666"/>
      <c r="X29" s="1263"/>
      <c r="Y29" s="3372"/>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8"/>
      <c r="M30" s="2483"/>
      <c r="N30" s="2483"/>
      <c r="O30" s="2538"/>
      <c r="P30" s="3372"/>
      <c r="Q30" s="1261" t="str">
        <f t="shared" si="8"/>
        <v>土地级别</v>
      </c>
      <c r="R30" s="665" t="s">
        <v>14</v>
      </c>
      <c r="S30" s="666">
        <f t="shared" si="10"/>
        <v>100</v>
      </c>
      <c r="T30" s="665" t="s">
        <v>14</v>
      </c>
      <c r="U30" s="666">
        <f t="shared" si="11"/>
        <v>100</v>
      </c>
      <c r="V30" s="665" t="s">
        <v>14</v>
      </c>
      <c r="W30" s="666">
        <f t="shared" si="12"/>
        <v>100</v>
      </c>
      <c r="X30" s="1263"/>
      <c r="Y30" s="3372"/>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8"/>
      <c r="M31" s="2483"/>
      <c r="N31" s="2483"/>
      <c r="O31" s="2538"/>
      <c r="P31" s="3372"/>
      <c r="Q31" s="1261">
        <f t="shared" si="8"/>
        <v>111</v>
      </c>
      <c r="R31" s="665" t="s">
        <v>14</v>
      </c>
      <c r="S31" s="666">
        <f t="shared" si="10"/>
        <v>100</v>
      </c>
      <c r="T31" s="665" t="s">
        <v>14</v>
      </c>
      <c r="U31" s="666">
        <f t="shared" si="11"/>
        <v>100</v>
      </c>
      <c r="V31" s="665" t="s">
        <v>14</v>
      </c>
      <c r="W31" s="666">
        <f t="shared" si="12"/>
        <v>100</v>
      </c>
      <c r="X31" s="1263"/>
      <c r="Y31" s="3372"/>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8"/>
      <c r="M32" s="2483"/>
      <c r="N32" s="2483"/>
      <c r="O32" s="2538"/>
      <c r="P32" s="3388" t="s">
        <v>1696</v>
      </c>
      <c r="Q32" s="1261">
        <f t="shared" si="8"/>
        <v>111</v>
      </c>
      <c r="R32" s="665" t="s">
        <v>14</v>
      </c>
      <c r="S32" s="666">
        <f t="shared" si="10"/>
        <v>100</v>
      </c>
      <c r="T32" s="665" t="s">
        <v>14</v>
      </c>
      <c r="U32" s="666">
        <f t="shared" si="11"/>
        <v>100</v>
      </c>
      <c r="V32" s="665" t="s">
        <v>14</v>
      </c>
      <c r="W32" s="666">
        <f t="shared" si="12"/>
        <v>100</v>
      </c>
      <c r="X32" s="1263"/>
      <c r="Y32" s="3373" t="s">
        <v>1696</v>
      </c>
      <c r="Z32" s="1262">
        <f t="shared" si="13"/>
        <v>111</v>
      </c>
      <c r="AA32" s="1262">
        <f t="shared" si="3"/>
        <v>1</v>
      </c>
      <c r="AB32" s="1262">
        <f t="shared" si="4"/>
        <v>1</v>
      </c>
      <c r="AC32" s="1262">
        <f t="shared" si="5"/>
        <v>1</v>
      </c>
    </row>
    <row r="33" spans="1:31" s="406" customFormat="1" ht="15.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7"/>
      <c r="M33" s="2489"/>
      <c r="N33" s="2489"/>
      <c r="O33" s="2539"/>
      <c r="P33" s="3373"/>
      <c r="Q33" s="1261">
        <f t="shared" si="8"/>
        <v>111</v>
      </c>
      <c r="R33" s="667" t="s">
        <v>14</v>
      </c>
      <c r="S33" s="668">
        <f t="shared" si="10"/>
        <v>100</v>
      </c>
      <c r="T33" s="667" t="s">
        <v>14</v>
      </c>
      <c r="U33" s="668">
        <f t="shared" si="11"/>
        <v>100</v>
      </c>
      <c r="V33" s="667" t="s">
        <v>14</v>
      </c>
      <c r="W33" s="668">
        <f t="shared" si="12"/>
        <v>100</v>
      </c>
      <c r="X33" s="669"/>
      <c r="Y33" s="3373"/>
      <c r="Z33" s="670">
        <f t="shared" si="13"/>
        <v>111</v>
      </c>
      <c r="AA33" s="1262">
        <f t="shared" si="3"/>
        <v>1</v>
      </c>
      <c r="AB33" s="1262">
        <f t="shared" si="4"/>
        <v>1</v>
      </c>
      <c r="AC33" s="1262">
        <f t="shared" si="5"/>
        <v>1</v>
      </c>
    </row>
    <row r="34" spans="1:31" ht="15">
      <c r="A34" s="377" t="s">
        <v>1694</v>
      </c>
      <c r="B34" s="393" t="s">
        <v>1874</v>
      </c>
      <c r="C34" s="597">
        <f>'数据-汇总表'!D3</f>
        <v>35316.97</v>
      </c>
      <c r="D34" s="403">
        <v>100</v>
      </c>
      <c r="E34" s="597">
        <f>土地案例!E3</f>
        <v>73529.919999999998</v>
      </c>
      <c r="F34" s="403">
        <f>LOOKUP(E34,108:108,109:109)-LOOKUP(C34,108:108,109:109)+100</f>
        <v>102</v>
      </c>
      <c r="G34" s="597">
        <f>土地案例!E8</f>
        <v>10280.040000000001</v>
      </c>
      <c r="H34" s="403">
        <f>LOOKUP(G34,108:108,109:109)-LOOKUP(C34,108:108,109:109)+100</f>
        <v>98</v>
      </c>
      <c r="I34" s="460">
        <f>土地案例!E18</f>
        <v>72487.740000000005</v>
      </c>
      <c r="J34" s="403">
        <f>LOOKUP(I34,108:108,109:109)-LOOKUP(C34,108:108,109:109)+100</f>
        <v>102</v>
      </c>
      <c r="K34" s="537"/>
      <c r="L34" s="2488"/>
      <c r="M34" s="2483"/>
      <c r="N34" s="2483"/>
      <c r="O34" s="2538"/>
      <c r="P34" s="3373"/>
      <c r="Q34" s="1261" t="str">
        <f>B34</f>
        <v>宗地面积</v>
      </c>
      <c r="R34" s="665" t="s">
        <v>14</v>
      </c>
      <c r="S34" s="666">
        <f t="shared" si="10"/>
        <v>102</v>
      </c>
      <c r="T34" s="665" t="s">
        <v>14</v>
      </c>
      <c r="U34" s="666">
        <f t="shared" si="11"/>
        <v>98</v>
      </c>
      <c r="V34" s="665" t="s">
        <v>14</v>
      </c>
      <c r="W34" s="666">
        <f t="shared" si="12"/>
        <v>102</v>
      </c>
      <c r="X34" s="1263"/>
      <c r="Y34" s="3373"/>
      <c r="Z34" s="1262" t="str">
        <f t="shared" si="13"/>
        <v>宗地面积</v>
      </c>
      <c r="AA34" s="1262">
        <f t="shared" si="3"/>
        <v>0.98039215686274506</v>
      </c>
      <c r="AB34" s="1262">
        <f t="shared" si="4"/>
        <v>1.0204081632653061</v>
      </c>
      <c r="AC34" s="1262">
        <f t="shared" si="5"/>
        <v>0.98039215686274506</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8"/>
      <c r="M35" s="2483"/>
      <c r="N35" s="2483"/>
      <c r="O35" s="2538"/>
      <c r="P35" s="3373"/>
      <c r="Q35" s="1261" t="str">
        <f t="shared" ref="Q35:Q40" si="14">B35</f>
        <v>宗地形状</v>
      </c>
      <c r="R35" s="665" t="s">
        <v>14</v>
      </c>
      <c r="S35" s="666">
        <f t="shared" si="10"/>
        <v>100</v>
      </c>
      <c r="T35" s="665" t="s">
        <v>14</v>
      </c>
      <c r="U35" s="666">
        <f t="shared" si="11"/>
        <v>100</v>
      </c>
      <c r="V35" s="665" t="s">
        <v>14</v>
      </c>
      <c r="W35" s="666">
        <f t="shared" si="12"/>
        <v>100</v>
      </c>
      <c r="X35" s="1263"/>
      <c r="Y35" s="3373"/>
      <c r="Z35" s="1262" t="str">
        <f t="shared" si="13"/>
        <v>宗地形状</v>
      </c>
      <c r="AA35" s="1262">
        <f t="shared" si="3"/>
        <v>1</v>
      </c>
      <c r="AB35" s="1262">
        <f t="shared" si="4"/>
        <v>1</v>
      </c>
      <c r="AC35" s="1262">
        <f t="shared" si="5"/>
        <v>1</v>
      </c>
    </row>
    <row r="36" spans="1:31" s="101" customFormat="1" ht="15">
      <c r="A36" s="408"/>
      <c r="B36" s="362" t="s">
        <v>1877</v>
      </c>
      <c r="C36" s="1826" t="s">
        <v>3564</v>
      </c>
      <c r="D36" s="117">
        <v>100</v>
      </c>
      <c r="E36" s="1826" t="s">
        <v>3566</v>
      </c>
      <c r="F36" s="372">
        <f>SUMIF(112:112,E36,113:113)-SUMIF(112:112,C36,113:113)+100</f>
        <v>99</v>
      </c>
      <c r="G36" s="1826" t="s">
        <v>3566</v>
      </c>
      <c r="H36" s="372">
        <f>SUMIF(112:112,G36,113:113)-SUMIF(112:112,C36,113:113)+100</f>
        <v>99</v>
      </c>
      <c r="I36" s="1826" t="s">
        <v>3566</v>
      </c>
      <c r="J36" s="372">
        <f>SUMIF(112:112,I36,113:113)-SUMIF(112:112,C36,113:113)+100</f>
        <v>99</v>
      </c>
      <c r="K36" s="536">
        <v>0.5</v>
      </c>
      <c r="L36" s="2484"/>
      <c r="M36" s="2436"/>
      <c r="N36" s="2436"/>
      <c r="O36" s="2536"/>
      <c r="P36" s="3373"/>
      <c r="Q36" s="1261" t="str">
        <f t="shared" si="14"/>
        <v>宗地开发程度</v>
      </c>
      <c r="R36" s="662" t="s">
        <v>14</v>
      </c>
      <c r="S36" s="663">
        <f t="shared" si="10"/>
        <v>99</v>
      </c>
      <c r="T36" s="662" t="s">
        <v>14</v>
      </c>
      <c r="U36" s="663">
        <f t="shared" si="11"/>
        <v>99</v>
      </c>
      <c r="V36" s="662" t="s">
        <v>14</v>
      </c>
      <c r="W36" s="663">
        <f t="shared" si="12"/>
        <v>99</v>
      </c>
      <c r="X36" s="664"/>
      <c r="Y36" s="3373"/>
      <c r="Z36" s="50" t="str">
        <f t="shared" si="13"/>
        <v>宗地开发程度</v>
      </c>
      <c r="AA36" s="50">
        <f t="shared" si="3"/>
        <v>1.0101010101010102</v>
      </c>
      <c r="AB36" s="50">
        <f t="shared" si="4"/>
        <v>1.0101010101010102</v>
      </c>
      <c r="AC36" s="50">
        <f t="shared" si="5"/>
        <v>1.0101010101010102</v>
      </c>
    </row>
    <row r="37" spans="1:31" ht="15">
      <c r="A37" s="407"/>
      <c r="B37" s="362" t="s">
        <v>1878</v>
      </c>
      <c r="C37" s="1758" t="s">
        <v>3555</v>
      </c>
      <c r="D37" s="372">
        <v>100</v>
      </c>
      <c r="E37" s="1758" t="s">
        <v>3555</v>
      </c>
      <c r="F37" s="372">
        <f>SUMIF(114:114,E37,115:115)-SUMIF(114:114,C37,115:115)+100</f>
        <v>100</v>
      </c>
      <c r="G37" s="1758" t="s">
        <v>3555</v>
      </c>
      <c r="H37" s="372">
        <f>SUMIF(114:114,G37,115:115)-SUMIF(114:114,C37,115:115)+100</f>
        <v>100</v>
      </c>
      <c r="I37" s="1758" t="s">
        <v>3555</v>
      </c>
      <c r="J37" s="372">
        <f>SUMIF(114:114,I37,115:115)-SUMIF(114:114,C37,115:115)+100</f>
        <v>100</v>
      </c>
      <c r="K37" s="536"/>
      <c r="L37" s="2488"/>
      <c r="M37" s="2483"/>
      <c r="N37" s="2483"/>
      <c r="O37" s="2538"/>
      <c r="P37" s="3373" t="s">
        <v>1696</v>
      </c>
      <c r="Q37" s="1261" t="str">
        <f t="shared" si="14"/>
        <v>工程地质条件</v>
      </c>
      <c r="R37" s="665" t="s">
        <v>14</v>
      </c>
      <c r="S37" s="666">
        <f t="shared" si="10"/>
        <v>100</v>
      </c>
      <c r="T37" s="665" t="s">
        <v>14</v>
      </c>
      <c r="U37" s="666">
        <f t="shared" si="11"/>
        <v>100</v>
      </c>
      <c r="V37" s="665" t="s">
        <v>14</v>
      </c>
      <c r="W37" s="666">
        <f t="shared" si="12"/>
        <v>100</v>
      </c>
      <c r="X37" s="1263"/>
      <c r="Y37" s="3373"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8"/>
      <c r="M38" s="2483"/>
      <c r="N38" s="2483"/>
      <c r="O38" s="2538"/>
      <c r="P38" s="3373"/>
      <c r="Q38" s="1261">
        <f t="shared" si="14"/>
        <v>111</v>
      </c>
      <c r="R38" s="665" t="s">
        <v>14</v>
      </c>
      <c r="S38" s="666">
        <f t="shared" si="10"/>
        <v>100</v>
      </c>
      <c r="T38" s="665" t="s">
        <v>14</v>
      </c>
      <c r="U38" s="666">
        <f t="shared" si="11"/>
        <v>100</v>
      </c>
      <c r="V38" s="665" t="s">
        <v>14</v>
      </c>
      <c r="W38" s="666">
        <f t="shared" si="12"/>
        <v>100</v>
      </c>
      <c r="X38" s="1263"/>
      <c r="Y38" s="3373"/>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8"/>
      <c r="M39" s="2483"/>
      <c r="N39" s="2483"/>
      <c r="O39" s="2538"/>
      <c r="P39" s="3373"/>
      <c r="Q39" s="1261">
        <f t="shared" si="14"/>
        <v>111</v>
      </c>
      <c r="R39" s="665" t="s">
        <v>14</v>
      </c>
      <c r="S39" s="666">
        <f t="shared" si="10"/>
        <v>100</v>
      </c>
      <c r="T39" s="665" t="s">
        <v>14</v>
      </c>
      <c r="U39" s="666">
        <f t="shared" si="11"/>
        <v>100</v>
      </c>
      <c r="V39" s="665" t="s">
        <v>14</v>
      </c>
      <c r="W39" s="666">
        <f t="shared" si="12"/>
        <v>100</v>
      </c>
      <c r="X39" s="1263"/>
      <c r="Y39" s="3373"/>
      <c r="Z39" s="1262">
        <f t="shared" si="13"/>
        <v>111</v>
      </c>
      <c r="AA39" s="1262">
        <f t="shared" si="3"/>
        <v>1</v>
      </c>
      <c r="AB39" s="1262">
        <f t="shared" si="4"/>
        <v>1</v>
      </c>
      <c r="AC39" s="1262">
        <f t="shared" si="5"/>
        <v>1</v>
      </c>
    </row>
    <row r="40" spans="1:31" s="406" customFormat="1" ht="15.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7"/>
      <c r="M40" s="2489"/>
      <c r="N40" s="2489"/>
      <c r="O40" s="2539"/>
      <c r="P40" s="3373"/>
      <c r="Q40" s="1261">
        <f t="shared" si="14"/>
        <v>111</v>
      </c>
      <c r="R40" s="667" t="s">
        <v>14</v>
      </c>
      <c r="S40" s="668">
        <f t="shared" si="10"/>
        <v>100</v>
      </c>
      <c r="T40" s="667" t="s">
        <v>14</v>
      </c>
      <c r="U40" s="668">
        <f t="shared" si="11"/>
        <v>100</v>
      </c>
      <c r="V40" s="667" t="s">
        <v>14</v>
      </c>
      <c r="W40" s="668">
        <f t="shared" si="12"/>
        <v>100</v>
      </c>
      <c r="X40" s="669"/>
      <c r="Y40" s="3373"/>
      <c r="Z40" s="670">
        <f t="shared" si="13"/>
        <v>111</v>
      </c>
      <c r="AA40" s="1262">
        <f t="shared" si="3"/>
        <v>1</v>
      </c>
      <c r="AB40" s="1262">
        <f t="shared" si="4"/>
        <v>1</v>
      </c>
      <c r="AC40" s="1262">
        <f t="shared" si="5"/>
        <v>1</v>
      </c>
    </row>
    <row r="41" spans="1:31" ht="14.4">
      <c r="A41" s="414" t="s">
        <v>1844</v>
      </c>
      <c r="B41" s="1828" t="s">
        <v>3562</v>
      </c>
      <c r="C41" s="600" t="s">
        <v>0</v>
      </c>
      <c r="D41" s="416"/>
      <c r="E41" s="417">
        <f>ROUND(土地案例!R3,0)</f>
        <v>675</v>
      </c>
      <c r="F41" s="418"/>
      <c r="G41" s="417">
        <f>ROUND(土地案例!R8,0)</f>
        <v>689</v>
      </c>
      <c r="H41" s="420"/>
      <c r="I41" s="417">
        <f>ROUND(土地案例!R18,0)</f>
        <v>686</v>
      </c>
      <c r="J41" s="420"/>
      <c r="K41" s="672"/>
      <c r="L41" s="2490"/>
      <c r="M41" s="2483"/>
      <c r="N41" s="2483"/>
      <c r="O41" s="2483"/>
      <c r="P41" s="3354" t="str">
        <f>A41</f>
        <v>成交单价</v>
      </c>
      <c r="Q41" s="3354"/>
      <c r="R41" s="3370">
        <f>E41</f>
        <v>675</v>
      </c>
      <c r="S41" s="3370"/>
      <c r="T41" s="3370">
        <f>G41</f>
        <v>689</v>
      </c>
      <c r="U41" s="3370"/>
      <c r="V41" s="3370">
        <f>I41</f>
        <v>686</v>
      </c>
      <c r="W41" s="3370"/>
      <c r="X41" s="383"/>
      <c r="Y41" s="671"/>
      <c r="Z41" s="383"/>
      <c r="AA41" s="383"/>
      <c r="AB41" s="383"/>
      <c r="AC41" s="383"/>
    </row>
    <row r="42" spans="1:31" ht="15" thickBot="1">
      <c r="A42" s="421" t="s">
        <v>1793</v>
      </c>
      <c r="B42" s="601"/>
      <c r="C42" s="424">
        <f>R43</f>
        <v>610</v>
      </c>
      <c r="D42" s="2139" t="s">
        <v>2137</v>
      </c>
      <c r="E42" s="424">
        <f>R42</f>
        <v>606</v>
      </c>
      <c r="F42" s="2140"/>
      <c r="G42" s="423">
        <f>T42</f>
        <v>607</v>
      </c>
      <c r="H42" s="2140"/>
      <c r="I42" s="424">
        <f>V42</f>
        <v>616</v>
      </c>
      <c r="J42" s="2140"/>
      <c r="K42" s="2142">
        <f>F42+H42+J42</f>
        <v>0</v>
      </c>
      <c r="L42" s="2490"/>
      <c r="M42" s="2483"/>
      <c r="N42" s="2483"/>
      <c r="O42" s="2483"/>
      <c r="P42" s="3354" t="str">
        <f>A42</f>
        <v>比较价值（元/平方米）</v>
      </c>
      <c r="Q42" s="3354"/>
      <c r="R42" s="3392">
        <f>ROUND(PRODUCT(R41,AA7:AA40),0)</f>
        <v>606</v>
      </c>
      <c r="S42" s="3392"/>
      <c r="T42" s="3392">
        <f>ROUND(PRODUCT(T41,AB7:AB40),0)</f>
        <v>607</v>
      </c>
      <c r="U42" s="3392"/>
      <c r="V42" s="3392">
        <f>ROUND(PRODUCT(V41,AC7:AC40),0)</f>
        <v>616</v>
      </c>
      <c r="W42" s="3392"/>
      <c r="X42" s="383"/>
      <c r="Y42" s="383"/>
      <c r="Z42" s="383"/>
      <c r="AA42" s="383"/>
      <c r="AB42" s="383"/>
      <c r="AC42" s="383"/>
    </row>
    <row r="43" spans="1:31" ht="15" thickBot="1">
      <c r="A43" s="425" t="s">
        <v>1794</v>
      </c>
      <c r="B43" s="426"/>
      <c r="C43" s="427">
        <f>R43</f>
        <v>610</v>
      </c>
      <c r="D43" s="427"/>
      <c r="E43" s="427"/>
      <c r="F43" s="427"/>
      <c r="G43" s="427"/>
      <c r="H43" s="427"/>
      <c r="I43" s="427"/>
      <c r="J43" s="427"/>
      <c r="K43" s="673"/>
      <c r="L43" s="2490"/>
      <c r="M43" s="2483"/>
      <c r="N43" s="2483"/>
      <c r="O43" s="2483"/>
      <c r="P43" s="3389" t="str">
        <f>A43</f>
        <v>估价对象XX用房的比较价值（楼面单价，元/平方米）</v>
      </c>
      <c r="Q43" s="3390"/>
      <c r="R43" s="3391">
        <f>ROUND(IF(D42="简单平均",AVERAGE(R42:W42),R42*F42+T42*H42+V42*J42),0)</f>
        <v>610</v>
      </c>
      <c r="S43" s="3391"/>
      <c r="T43" s="3391"/>
      <c r="U43" s="3391"/>
      <c r="V43" s="3391"/>
      <c r="W43" s="3391"/>
      <c r="X43" s="383"/>
      <c r="Y43" s="383"/>
      <c r="Z43" s="383"/>
      <c r="AA43" s="383"/>
      <c r="AB43" s="383"/>
      <c r="AC43" s="383"/>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f>IF(E41&lt;E42,E42/E41-1,E41/E42-1)</f>
        <v>0.11386138613861396</v>
      </c>
      <c r="F46" s="433" t="str">
        <f>IF(OR(E46&gt;=0.3,E46&lt;=-0.3),"超过30%","")</f>
        <v/>
      </c>
      <c r="G46" s="432">
        <f>IF(G41&lt;G42,G42/G41-1,G41/G42-1)</f>
        <v>0.13509060955518937</v>
      </c>
      <c r="H46" s="433" t="str">
        <f>IF(OR(G46&gt;=0.3,G46&lt;=-0.3),"超过30%","")</f>
        <v/>
      </c>
      <c r="I46" s="432">
        <f>IF(I41&lt;I42,I42/I41-1,I41/I42-1)</f>
        <v>0.11363636363636354</v>
      </c>
      <c r="J46" s="433"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f>IF(E42&lt;G42,G42/E42-1,E42/G42-1)</f>
        <v>1.6501650165017256E-3</v>
      </c>
      <c r="F47" s="433" t="str">
        <f>IF(OR(E47&gt;=0.2,E47&lt;=-0.2),"超过20%","")</f>
        <v/>
      </c>
      <c r="G47" s="432">
        <f>IF(G42&lt;I42,I42/G42-1,G42/I42-1)</f>
        <v>1.4827018121911006E-2</v>
      </c>
      <c r="H47" s="433" t="str">
        <f>IF(OR(G47&gt;=0.2,G47&lt;=-0.2),"超过20%","")</f>
        <v/>
      </c>
      <c r="I47" s="432">
        <f>IF(I42&lt;E42,E42/I42-1,I42/E42-1)</f>
        <v>1.650165016501659E-2</v>
      </c>
      <c r="J47" s="433"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f>IF(E41&lt;G41,G41/E41-1,E41/G41-1)</f>
        <v>2.0740740740740726E-2</v>
      </c>
      <c r="F48" s="433" t="str">
        <f>IF(OR(E48&gt;=0.3,E48&lt;=-0.3),"超过30%","")</f>
        <v/>
      </c>
      <c r="G48" s="432">
        <f>IF(G41&lt;I41,I41/G41-1,G41/I41-1)</f>
        <v>4.3731778425655232E-3</v>
      </c>
      <c r="H48" s="433" t="str">
        <f>IF(OR(G48&gt;=0.3,G48&lt;=-0.3),"超过30%","")</f>
        <v/>
      </c>
      <c r="I48" s="432">
        <f>IF(I41&lt;E41,E41/I41-1,I41/E41-1)</f>
        <v>1.6296296296296253E-2</v>
      </c>
      <c r="J48" s="433"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4.4"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2" t="s">
        <v>1881</v>
      </c>
      <c r="B50" s="603" t="s">
        <v>1882</v>
      </c>
      <c r="C50" s="1829" t="s">
        <v>1883</v>
      </c>
      <c r="D50" s="1830" t="s">
        <v>1884</v>
      </c>
      <c r="E50" s="604" t="s">
        <v>1885</v>
      </c>
      <c r="F50" s="605" t="s">
        <v>1886</v>
      </c>
      <c r="G50" s="3351" t="s">
        <v>1887</v>
      </c>
      <c r="H50" s="3352"/>
      <c r="I50" s="1262" t="s">
        <v>1922</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1890</v>
      </c>
      <c r="B51" s="607">
        <f>C43</f>
        <v>610</v>
      </c>
      <c r="C51" s="608">
        <v>1</v>
      </c>
      <c r="D51" s="888">
        <v>1</v>
      </c>
      <c r="E51" s="608">
        <f>'数据-汇总表'!E8+'数据-汇总表'!E9</f>
        <v>43685.850000000006</v>
      </c>
      <c r="F51" s="609">
        <f t="shared" ref="F51:F60" si="15">ROUND(B51*E51/10000,0)</f>
        <v>2665</v>
      </c>
      <c r="G51" s="3353"/>
      <c r="H51" s="3354"/>
      <c r="I51" s="725">
        <v>1</v>
      </c>
      <c r="J51" s="725">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1891</v>
      </c>
      <c r="B52" s="208">
        <f>ROUND($C$43*C52*D52,0)</f>
        <v>0</v>
      </c>
      <c r="C52" s="161">
        <f t="shared" ref="C52:C60" si="16">IF($C$50="北京市系数",I52,J52)</f>
        <v>0</v>
      </c>
      <c r="D52" s="889">
        <v>0.25</v>
      </c>
      <c r="E52" s="612"/>
      <c r="F52" s="609">
        <f t="shared" si="15"/>
        <v>0</v>
      </c>
      <c r="G52" s="2746" t="s">
        <v>1892</v>
      </c>
      <c r="H52" s="832">
        <f>项目基本情况!B37</f>
        <v>0</v>
      </c>
      <c r="I52" s="725">
        <f>SUMIF(修正!A57:A68,H52,修正!B57:B68)</f>
        <v>0</v>
      </c>
      <c r="J52" s="726"/>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1893</v>
      </c>
      <c r="B53" s="208">
        <f t="shared" ref="B53:B60" si="17">ROUND($C$43*C53*D53,0)</f>
        <v>0</v>
      </c>
      <c r="C53" s="161">
        <f t="shared" si="16"/>
        <v>0</v>
      </c>
      <c r="D53" s="889">
        <v>0.25</v>
      </c>
      <c r="E53" s="612"/>
      <c r="F53" s="609">
        <f t="shared" si="15"/>
        <v>0</v>
      </c>
      <c r="G53" s="2747"/>
      <c r="H53" s="832">
        <f>项目基本情况!B37</f>
        <v>0</v>
      </c>
      <c r="I53" s="725">
        <f>SUMIF(修正!A57:A68,H53,修正!C57:C68)</f>
        <v>0</v>
      </c>
      <c r="J53" s="726"/>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1894</v>
      </c>
      <c r="B54" s="208">
        <f t="shared" si="17"/>
        <v>0</v>
      </c>
      <c r="C54" s="161">
        <f t="shared" si="16"/>
        <v>0</v>
      </c>
      <c r="D54" s="889">
        <v>0.25</v>
      </c>
      <c r="E54" s="612"/>
      <c r="F54" s="609">
        <f t="shared" si="15"/>
        <v>0</v>
      </c>
      <c r="G54" s="2747"/>
      <c r="H54" s="832">
        <f>项目基本情况!B37</f>
        <v>0</v>
      </c>
      <c r="I54" s="725">
        <f>SUMIF(修正!A57:A68,H54,修正!D57:D68)</f>
        <v>0</v>
      </c>
      <c r="J54" s="726"/>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8"/>
      <c r="C55" s="161"/>
      <c r="D55" s="889"/>
      <c r="E55" s="612"/>
      <c r="F55" s="609"/>
      <c r="G55" s="2748"/>
      <c r="H55" s="832"/>
      <c r="I55" s="725"/>
      <c r="J55" s="726"/>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1895</v>
      </c>
      <c r="B56" s="208">
        <f t="shared" si="17"/>
        <v>0</v>
      </c>
      <c r="C56" s="161">
        <f t="shared" si="16"/>
        <v>0</v>
      </c>
      <c r="D56" s="889">
        <v>0.25</v>
      </c>
      <c r="E56" s="207">
        <f>'数据-汇总表'!E11</f>
        <v>0</v>
      </c>
      <c r="F56" s="609">
        <f t="shared" si="15"/>
        <v>0</v>
      </c>
      <c r="G56" s="1833" t="s">
        <v>1896</v>
      </c>
      <c r="H56" s="832">
        <f>项目基本情况!C37</f>
        <v>0</v>
      </c>
      <c r="I56" s="725">
        <f>SUMIF(修正!A57:A68,H56,修正!E57:E68)</f>
        <v>0</v>
      </c>
      <c r="J56" s="726"/>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1897</v>
      </c>
      <c r="B57" s="208">
        <f t="shared" si="17"/>
        <v>0</v>
      </c>
      <c r="C57" s="161">
        <f t="shared" si="16"/>
        <v>0</v>
      </c>
      <c r="D57" s="889">
        <v>0.25</v>
      </c>
      <c r="E57" s="207">
        <f>'数据-汇总表'!E12</f>
        <v>0</v>
      </c>
      <c r="F57" s="609">
        <f t="shared" si="15"/>
        <v>0</v>
      </c>
      <c r="G57" s="837" t="s">
        <v>1898</v>
      </c>
      <c r="H57" s="832">
        <f>IF(G57="商业",项目基本情况!B37,IF(G57="办公",项目基本情况!C37,IF(G57="住宅",项目基本情况!D37,项目基本情况!E37)))</f>
        <v>0</v>
      </c>
      <c r="I57" s="725">
        <f>SUMIF(修正!A57:A68,H57,修正!F57:F68)</f>
        <v>0</v>
      </c>
      <c r="J57" s="726"/>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1899</v>
      </c>
      <c r="B58" s="208">
        <f t="shared" si="17"/>
        <v>0</v>
      </c>
      <c r="C58" s="161">
        <f t="shared" si="16"/>
        <v>0</v>
      </c>
      <c r="D58" s="889">
        <v>0.25</v>
      </c>
      <c r="E58" s="207">
        <f>'数据-汇总表'!E13</f>
        <v>0</v>
      </c>
      <c r="F58" s="609">
        <f t="shared" si="15"/>
        <v>0</v>
      </c>
      <c r="G58" s="837" t="s">
        <v>1900</v>
      </c>
      <c r="H58" s="832">
        <f>IF(G58="商业",项目基本情况!B37,IF(G58="办公",项目基本情况!C37,IF(G58="住宅",项目基本情况!D37,项目基本情况!E37)))</f>
        <v>0</v>
      </c>
      <c r="I58" s="725">
        <f>SUMIF(修正!A57:A68,H58,修正!G57:G68)</f>
        <v>0</v>
      </c>
      <c r="J58" s="726"/>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1901</v>
      </c>
      <c r="B59" s="208">
        <f t="shared" si="17"/>
        <v>0</v>
      </c>
      <c r="C59" s="161">
        <f t="shared" si="16"/>
        <v>0</v>
      </c>
      <c r="D59" s="889">
        <v>0.25</v>
      </c>
      <c r="E59" s="207">
        <f>'数据-汇总表'!E14</f>
        <v>0</v>
      </c>
      <c r="F59" s="609">
        <f t="shared" si="15"/>
        <v>0</v>
      </c>
      <c r="G59" s="1833" t="s">
        <v>1892</v>
      </c>
      <c r="H59" s="832">
        <f>项目基本情况!B37</f>
        <v>0</v>
      </c>
      <c r="I59" s="725">
        <f>SUMIF(修正!A57:A68,H59,修正!G57:G68)</f>
        <v>0</v>
      </c>
      <c r="J59" s="726"/>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4.4" thickBot="1">
      <c r="A60" s="611" t="s">
        <v>1902</v>
      </c>
      <c r="B60" s="208">
        <f t="shared" si="17"/>
        <v>0</v>
      </c>
      <c r="C60" s="161">
        <f t="shared" si="16"/>
        <v>0</v>
      </c>
      <c r="D60" s="889">
        <v>0.25</v>
      </c>
      <c r="E60" s="207">
        <f>'数据-汇总表'!E15</f>
        <v>0</v>
      </c>
      <c r="F60" s="609">
        <f t="shared" si="15"/>
        <v>0</v>
      </c>
      <c r="G60" s="1834" t="s">
        <v>1896</v>
      </c>
      <c r="H60" s="842">
        <f>项目基本情况!C37</f>
        <v>0</v>
      </c>
      <c r="I60" s="725">
        <f>SUMIF(修正!A57:A68,H60,修正!G57:G68)</f>
        <v>0</v>
      </c>
      <c r="J60" s="726"/>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4.4" thickBot="1">
      <c r="A61" s="613" t="s">
        <v>1903</v>
      </c>
      <c r="B61" s="614" t="s">
        <v>22</v>
      </c>
      <c r="C61" s="614" t="s">
        <v>23</v>
      </c>
      <c r="D61" s="614" t="s">
        <v>392</v>
      </c>
      <c r="E61" s="614">
        <f>IF(B41="楼面地价",SUM(E51:E60),'数据-汇总表'!D3)</f>
        <v>35316.97</v>
      </c>
      <c r="F61" s="615">
        <f>IF(B41="楼面地价",SUM(F51:F60),ROUND(C43*E61/10000,0))</f>
        <v>2154</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4" t="str">
        <f>YEAR(C7)&amp;"-"&amp;MONTH(C7)&amp;"-1"</f>
        <v>2024-12-1</v>
      </c>
      <c r="D63" s="654">
        <f>EDATE(C63,-3)</f>
        <v>45536</v>
      </c>
      <c r="E63" s="654">
        <f>EDATE(D63,-3)</f>
        <v>45444</v>
      </c>
      <c r="F63" s="654">
        <f t="shared" ref="F63:O63" si="18">EDATE(E63,-3)</f>
        <v>45352</v>
      </c>
      <c r="G63" s="654">
        <f t="shared" si="18"/>
        <v>45261</v>
      </c>
      <c r="H63" s="654">
        <f t="shared" si="18"/>
        <v>45170</v>
      </c>
      <c r="I63" s="654">
        <f t="shared" si="18"/>
        <v>45078</v>
      </c>
      <c r="J63" s="654">
        <f t="shared" si="18"/>
        <v>44986</v>
      </c>
      <c r="K63" s="654">
        <f t="shared" si="18"/>
        <v>44896</v>
      </c>
      <c r="L63" s="654">
        <f t="shared" si="18"/>
        <v>44805</v>
      </c>
      <c r="M63" s="654">
        <f t="shared" si="18"/>
        <v>44713</v>
      </c>
      <c r="N63" s="654">
        <f t="shared" si="18"/>
        <v>44621</v>
      </c>
      <c r="O63" s="654">
        <f t="shared" si="18"/>
        <v>44531</v>
      </c>
      <c r="P63" s="2483"/>
      <c r="Q63" s="2483"/>
      <c r="R63" s="2483"/>
      <c r="S63" s="2483"/>
      <c r="T63" s="2483"/>
      <c r="U63" s="2483"/>
      <c r="V63" s="2483"/>
      <c r="W63" s="2483"/>
      <c r="X63" s="2483"/>
      <c r="Y63" s="2483"/>
      <c r="Z63" s="2483"/>
      <c r="AA63" s="2483"/>
      <c r="AB63" s="2483"/>
      <c r="AC63" s="2483"/>
      <c r="AD63" s="2483"/>
      <c r="AE63" s="2483"/>
    </row>
    <row r="64" spans="1:31" ht="22.2" thickBot="1">
      <c r="A64" s="656" t="s">
        <v>1798</v>
      </c>
      <c r="B64" s="383"/>
      <c r="C64" s="657"/>
      <c r="D64" s="657"/>
      <c r="E64" s="657"/>
      <c r="F64" s="658"/>
      <c r="G64" s="658"/>
      <c r="H64" s="657"/>
      <c r="I64" s="657"/>
      <c r="J64" s="657"/>
      <c r="K64" s="659"/>
      <c r="L64" s="660"/>
      <c r="M64" s="657"/>
      <c r="N64" s="657"/>
      <c r="O64" s="884"/>
      <c r="P64" s="2533"/>
      <c r="Q64" s="2504"/>
      <c r="R64" s="2483"/>
      <c r="S64" s="2483"/>
      <c r="T64" s="2483"/>
      <c r="U64" s="2483"/>
      <c r="V64" s="2483"/>
      <c r="W64" s="2483"/>
      <c r="X64" s="2483"/>
      <c r="Y64" s="2483"/>
      <c r="Z64" s="2483"/>
      <c r="AA64" s="2483"/>
      <c r="AB64" s="2483"/>
      <c r="AC64" s="2483"/>
      <c r="AD64" s="2483"/>
      <c r="AE64" s="2483"/>
    </row>
    <row r="65" spans="1:31" s="440" customFormat="1" ht="14.4">
      <c r="A65" s="1628" t="s">
        <v>1904</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6"/>
      <c r="Q65" s="2506"/>
      <c r="R65" s="2506"/>
      <c r="S65" s="2506"/>
      <c r="T65" s="2506"/>
      <c r="U65" s="2506"/>
      <c r="V65" s="2506"/>
      <c r="W65" s="2506"/>
      <c r="X65" s="2506"/>
      <c r="Y65" s="2506"/>
      <c r="Z65" s="2506"/>
      <c r="AA65" s="2506"/>
      <c r="AB65" s="2506"/>
      <c r="AC65" s="2506"/>
      <c r="AD65" s="2506"/>
      <c r="AE65" s="2506"/>
    </row>
    <row r="66" spans="1:31" s="101" customFormat="1" ht="30.75" customHeight="1">
      <c r="A66" s="1839" t="s">
        <v>1923</v>
      </c>
      <c r="B66" s="278" t="str">
        <f>"北京市平均增长率"&amp;TEXT(基准地价修正!P28,"0.00%")</f>
        <v>北京市平均增长率0.00%</v>
      </c>
      <c r="C66" s="528">
        <v>100</v>
      </c>
      <c r="D66" s="6">
        <v>100</v>
      </c>
      <c r="E66" s="6">
        <v>100</v>
      </c>
      <c r="F66" s="6">
        <v>100</v>
      </c>
      <c r="G66" s="6">
        <v>100</v>
      </c>
      <c r="H66" s="6">
        <v>100</v>
      </c>
      <c r="I66" s="6">
        <v>100</v>
      </c>
      <c r="J66" s="6">
        <v>100</v>
      </c>
      <c r="K66" s="6">
        <v>100</v>
      </c>
      <c r="L66" s="6">
        <v>100</v>
      </c>
      <c r="M66" s="6">
        <v>100</v>
      </c>
      <c r="N66" s="1064"/>
      <c r="O66" s="1097"/>
      <c r="P66" s="2504"/>
      <c r="Q66" s="2436"/>
      <c r="R66" s="2436"/>
      <c r="S66" s="2436"/>
      <c r="T66" s="2436"/>
      <c r="U66" s="2436"/>
      <c r="V66" s="2436"/>
      <c r="W66" s="2436"/>
      <c r="X66" s="2436"/>
      <c r="Y66" s="2436"/>
      <c r="Z66" s="2436"/>
      <c r="AA66" s="2436"/>
      <c r="AB66" s="2436"/>
      <c r="AC66" s="2436"/>
      <c r="AD66" s="2436"/>
      <c r="AE66" s="2436"/>
    </row>
    <row r="67" spans="1:31" s="101" customFormat="1" ht="15" thickBot="1">
      <c r="A67" s="447" t="s">
        <v>1716</v>
      </c>
      <c r="B67" s="448"/>
      <c r="C67" s="449"/>
      <c r="D67" s="450"/>
      <c r="E67" s="450"/>
      <c r="F67" s="450"/>
      <c r="G67" s="450"/>
      <c r="H67" s="450"/>
      <c r="I67" s="450"/>
      <c r="J67" s="450"/>
      <c r="K67" s="450"/>
      <c r="L67" s="450"/>
      <c r="M67" s="451"/>
      <c r="N67" s="451"/>
      <c r="O67" s="452"/>
      <c r="P67" s="2504"/>
      <c r="Q67" s="2504"/>
      <c r="R67" s="2436"/>
      <c r="S67" s="2436"/>
      <c r="T67" s="2436"/>
      <c r="U67" s="2436"/>
      <c r="V67" s="2436"/>
      <c r="W67" s="2436"/>
      <c r="X67" s="2436"/>
      <c r="Y67" s="2436"/>
      <c r="Z67" s="2436"/>
      <c r="AA67" s="2436"/>
      <c r="AB67" s="2436"/>
      <c r="AC67" s="2436"/>
      <c r="AD67" s="2436"/>
      <c r="AE67" s="2436"/>
    </row>
    <row r="68" spans="1:31" s="101" customFormat="1" ht="14.4">
      <c r="A68" s="453" t="s">
        <v>1681</v>
      </c>
      <c r="B68" s="442"/>
      <c r="C68" s="454" t="s">
        <v>1776</v>
      </c>
      <c r="D68" s="31"/>
      <c r="E68" s="31"/>
      <c r="F68" s="31"/>
      <c r="G68" s="31"/>
      <c r="H68" s="31"/>
      <c r="I68" s="31"/>
      <c r="J68" s="31"/>
      <c r="K68" s="31"/>
      <c r="L68" s="455"/>
      <c r="M68" s="456"/>
      <c r="N68" s="2516"/>
      <c r="O68" s="2516"/>
      <c r="P68" s="2540"/>
      <c r="Q68" s="2504"/>
      <c r="R68" s="2436"/>
      <c r="S68" s="2436"/>
      <c r="T68" s="2436"/>
      <c r="U68" s="2436"/>
      <c r="V68" s="2436"/>
      <c r="W68" s="2436"/>
      <c r="X68" s="2436"/>
      <c r="Y68" s="2436"/>
      <c r="Z68" s="2436"/>
      <c r="AA68" s="2436"/>
      <c r="AB68" s="2436"/>
      <c r="AC68" s="2436"/>
      <c r="AD68" s="2436"/>
      <c r="AE68" s="2436"/>
    </row>
    <row r="69" spans="1:31" s="101" customFormat="1" ht="14.4" thickBot="1">
      <c r="A69" s="453"/>
      <c r="B69" s="442"/>
      <c r="C69" s="561">
        <v>100</v>
      </c>
      <c r="D69" s="444"/>
      <c r="E69" s="444"/>
      <c r="F69" s="444"/>
      <c r="G69" s="444"/>
      <c r="H69" s="444"/>
      <c r="I69" s="444"/>
      <c r="J69" s="444"/>
      <c r="K69" s="444"/>
      <c r="L69" s="444"/>
      <c r="M69" s="446"/>
      <c r="N69" s="2516"/>
      <c r="O69" s="2516"/>
      <c r="P69" s="2504"/>
      <c r="Q69" s="2504"/>
      <c r="R69" s="2436"/>
      <c r="S69" s="2436"/>
      <c r="T69" s="2436"/>
      <c r="U69" s="2436"/>
      <c r="V69" s="2436"/>
      <c r="W69" s="2436"/>
      <c r="X69" s="2436"/>
      <c r="Y69" s="2436"/>
      <c r="Z69" s="2436"/>
      <c r="AA69" s="2436"/>
      <c r="AB69" s="2436"/>
      <c r="AC69" s="2436"/>
      <c r="AD69" s="2436"/>
      <c r="AE69" s="2436"/>
    </row>
    <row r="70" spans="1:31" ht="14.4">
      <c r="A70" s="377" t="s">
        <v>1719</v>
      </c>
      <c r="B70" s="458" t="s">
        <v>1685</v>
      </c>
      <c r="C70" s="3152" t="s">
        <v>3549</v>
      </c>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5"/>
      <c r="B71" s="464"/>
      <c r="C71" s="465">
        <v>100</v>
      </c>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5"/>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5"/>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28.2" thickTop="1">
      <c r="A74" s="365"/>
      <c r="B74" s="475" t="s">
        <v>1689</v>
      </c>
      <c r="C74" s="476" t="str">
        <f>C75&amp;"（含）"&amp;"-"&amp;D75</f>
        <v>1（含）-1.2</v>
      </c>
      <c r="D74" s="476" t="str">
        <f t="shared" ref="D74:L74" si="20">D75&amp;"（含）"&amp;"-"&amp;E75</f>
        <v>1.2（含）-1.5</v>
      </c>
      <c r="E74" s="476" t="str">
        <f t="shared" si="20"/>
        <v>1.5（含）-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5"/>
      <c r="B75" s="477"/>
      <c r="C75" s="478">
        <v>1</v>
      </c>
      <c r="D75" s="478">
        <v>1.2</v>
      </c>
      <c r="E75" s="478">
        <v>1.5</v>
      </c>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5"/>
      <c r="B76" s="464"/>
      <c r="C76" s="473">
        <v>100</v>
      </c>
      <c r="D76" s="473">
        <f>IF($B$41="单位面积地价",C76+$K11,C76-$K11)</f>
        <v>101</v>
      </c>
      <c r="E76" s="473">
        <f t="shared" ref="E76:M76" si="21">IF($B$41="单位面积地价",D76+$K11,D76-$K11)</f>
        <v>102</v>
      </c>
      <c r="F76" s="473">
        <f t="shared" si="21"/>
        <v>103</v>
      </c>
      <c r="G76" s="473">
        <f t="shared" si="21"/>
        <v>104</v>
      </c>
      <c r="H76" s="473">
        <f t="shared" si="21"/>
        <v>105</v>
      </c>
      <c r="I76" s="473">
        <f t="shared" si="21"/>
        <v>106</v>
      </c>
      <c r="J76" s="473">
        <f t="shared" si="21"/>
        <v>107</v>
      </c>
      <c r="K76" s="473">
        <f t="shared" si="21"/>
        <v>108</v>
      </c>
      <c r="L76" s="473">
        <f t="shared" si="21"/>
        <v>109</v>
      </c>
      <c r="M76" s="473">
        <f t="shared" si="21"/>
        <v>110</v>
      </c>
      <c r="N76" s="2518"/>
      <c r="O76" s="2518"/>
      <c r="P76" s="2516"/>
      <c r="Q76" s="2504"/>
      <c r="R76" s="2483"/>
      <c r="S76" s="2483"/>
      <c r="T76" s="2483"/>
      <c r="U76" s="2483"/>
      <c r="V76" s="2483"/>
      <c r="W76" s="2483"/>
      <c r="X76" s="2483"/>
      <c r="Y76" s="2483"/>
      <c r="Z76" s="2483"/>
      <c r="AA76" s="2483"/>
      <c r="AB76" s="2483"/>
      <c r="AC76" s="2483"/>
      <c r="AD76" s="2483"/>
      <c r="AE76" s="2483"/>
    </row>
    <row r="77" spans="1:31" s="406" customFormat="1" ht="14.4"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6" customFormat="1" ht="14.4"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6" customFormat="1" ht="14.4"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6" customFormat="1" ht="14.4"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6" customFormat="1" ht="14.4"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6" customFormat="1" ht="14.4"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ht="14.4">
      <c r="A83" s="377"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5"/>
      <c r="B84" s="472"/>
      <c r="C84" s="473">
        <v>100</v>
      </c>
      <c r="D84" s="473">
        <f>C84-$K15</f>
        <v>97</v>
      </c>
      <c r="E84" s="473">
        <f>D84-$K15</f>
        <v>94</v>
      </c>
      <c r="F84" s="473">
        <f>E84-$K15</f>
        <v>91</v>
      </c>
      <c r="G84" s="473">
        <f>F84-$K15</f>
        <v>88</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5"/>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5"/>
      <c r="B86" s="472"/>
      <c r="C86" s="473">
        <v>100</v>
      </c>
      <c r="D86" s="473">
        <f>C86-$K17</f>
        <v>97</v>
      </c>
      <c r="E86" s="473">
        <f>D86-$K17</f>
        <v>94</v>
      </c>
      <c r="F86" s="473">
        <f>E86-$K17</f>
        <v>91</v>
      </c>
      <c r="G86" s="473">
        <f>F86-$K17</f>
        <v>88</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1" customFormat="1" ht="29.4" thickTop="1">
      <c r="A87" s="368"/>
      <c r="B87" s="467" t="s">
        <v>1907</v>
      </c>
      <c r="C87" s="502" t="s">
        <v>1721</v>
      </c>
      <c r="D87" s="502" t="s">
        <v>1722</v>
      </c>
      <c r="E87" s="502" t="s">
        <v>1723</v>
      </c>
      <c r="F87" s="502" t="s">
        <v>1724</v>
      </c>
      <c r="G87" s="502" t="s">
        <v>1725</v>
      </c>
      <c r="H87" s="507"/>
      <c r="I87" s="507"/>
      <c r="J87" s="507"/>
      <c r="K87" s="507"/>
      <c r="L87" s="616"/>
      <c r="M87" s="545"/>
      <c r="N87" s="2516"/>
      <c r="O87" s="2516"/>
      <c r="P87" s="2516"/>
      <c r="Q87" s="2504"/>
      <c r="R87" s="2436"/>
      <c r="S87" s="2436"/>
      <c r="T87" s="2436"/>
      <c r="U87" s="2436"/>
      <c r="V87" s="2436"/>
      <c r="W87" s="2436"/>
      <c r="X87" s="2436"/>
      <c r="Y87" s="2436"/>
      <c r="Z87" s="2436"/>
      <c r="AA87" s="2436"/>
      <c r="AB87" s="2436"/>
      <c r="AC87" s="2436"/>
      <c r="AD87" s="2436"/>
      <c r="AE87" s="2436"/>
    </row>
    <row r="88" spans="1:31" s="101" customFormat="1" ht="14.4" thickBot="1">
      <c r="A88" s="368"/>
      <c r="B88" s="472"/>
      <c r="C88" s="510">
        <v>100</v>
      </c>
      <c r="D88" s="473">
        <f>C88-$K19</f>
        <v>98</v>
      </c>
      <c r="E88" s="473">
        <f>D88-$K19</f>
        <v>96</v>
      </c>
      <c r="F88" s="473">
        <f>E88-$K19</f>
        <v>94</v>
      </c>
      <c r="G88" s="473">
        <f>F88-$K19</f>
        <v>92</v>
      </c>
      <c r="H88" s="473"/>
      <c r="I88" s="473"/>
      <c r="J88" s="473"/>
      <c r="K88" s="473"/>
      <c r="L88" s="473"/>
      <c r="M88" s="474"/>
      <c r="N88" s="2518"/>
      <c r="O88" s="2518"/>
      <c r="P88" s="2516"/>
      <c r="Q88" s="2504"/>
      <c r="R88" s="2436"/>
      <c r="S88" s="2436"/>
      <c r="T88" s="2436"/>
      <c r="U88" s="2436"/>
      <c r="V88" s="2436"/>
      <c r="W88" s="2436"/>
      <c r="X88" s="2436"/>
      <c r="Y88" s="2436"/>
      <c r="Z88" s="2436"/>
      <c r="AA88" s="2436"/>
      <c r="AB88" s="2436"/>
      <c r="AC88" s="2436"/>
      <c r="AD88" s="2436"/>
      <c r="AE88" s="2436"/>
    </row>
    <row r="89" spans="1:31" s="101" customFormat="1" ht="29.4" thickTop="1">
      <c r="A89" s="368"/>
      <c r="B89" s="467" t="s">
        <v>1908</v>
      </c>
      <c r="C89" s="502" t="s">
        <v>1721</v>
      </c>
      <c r="D89" s="502" t="s">
        <v>1722</v>
      </c>
      <c r="E89" s="502" t="s">
        <v>1723</v>
      </c>
      <c r="F89" s="502" t="s">
        <v>1724</v>
      </c>
      <c r="G89" s="502" t="s">
        <v>1725</v>
      </c>
      <c r="H89" s="507"/>
      <c r="I89" s="507"/>
      <c r="J89" s="507"/>
      <c r="K89" s="507"/>
      <c r="L89" s="507"/>
      <c r="M89" s="545"/>
      <c r="N89" s="2516"/>
      <c r="O89" s="2516"/>
      <c r="P89" s="2516"/>
      <c r="Q89" s="2504"/>
      <c r="R89" s="2436"/>
      <c r="S89" s="2436"/>
      <c r="T89" s="2436"/>
      <c r="U89" s="2436"/>
      <c r="V89" s="2436"/>
      <c r="W89" s="2436"/>
      <c r="X89" s="2436"/>
      <c r="Y89" s="2436"/>
      <c r="Z89" s="2436"/>
      <c r="AA89" s="2436"/>
      <c r="AB89" s="2436"/>
      <c r="AC89" s="2436"/>
      <c r="AD89" s="2436"/>
      <c r="AE89" s="2436"/>
    </row>
    <row r="90" spans="1:31" s="101" customFormat="1" ht="14.4" thickBot="1">
      <c r="A90" s="368"/>
      <c r="B90" s="472"/>
      <c r="C90" s="473">
        <v>100</v>
      </c>
      <c r="D90" s="473">
        <f>C90-$K21</f>
        <v>97</v>
      </c>
      <c r="E90" s="473">
        <f>D90-$K21</f>
        <v>94</v>
      </c>
      <c r="F90" s="473">
        <f>E90-$K21</f>
        <v>91</v>
      </c>
      <c r="G90" s="473">
        <f>F90-$K21</f>
        <v>88</v>
      </c>
      <c r="H90" s="473"/>
      <c r="I90" s="473"/>
      <c r="J90" s="473"/>
      <c r="K90" s="473"/>
      <c r="L90" s="473"/>
      <c r="M90" s="474"/>
      <c r="N90" s="2518"/>
      <c r="O90" s="2518"/>
      <c r="P90" s="2516"/>
      <c r="Q90" s="2504"/>
      <c r="R90" s="2436"/>
      <c r="S90" s="2436"/>
      <c r="T90" s="2436"/>
      <c r="U90" s="2436"/>
      <c r="V90" s="2436"/>
      <c r="W90" s="2436"/>
      <c r="X90" s="2436"/>
      <c r="Y90" s="2436"/>
      <c r="Z90" s="2436"/>
      <c r="AA90" s="2436"/>
      <c r="AB90" s="2436"/>
      <c r="AC90" s="2436"/>
      <c r="AD90" s="2436"/>
      <c r="AE90" s="2436"/>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6" customFormat="1" ht="14.4" thickBot="1">
      <c r="A92" s="482"/>
      <c r="B92" s="472"/>
      <c r="C92" s="473">
        <v>100</v>
      </c>
      <c r="D92" s="473">
        <f>C92-$K23</f>
        <v>97</v>
      </c>
      <c r="E92" s="473">
        <f>D92-$K23</f>
        <v>94</v>
      </c>
      <c r="F92" s="473">
        <f>E92-$K23</f>
        <v>91</v>
      </c>
      <c r="G92" s="473">
        <f>F92-$K23</f>
        <v>88</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6" customFormat="1" ht="1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6" customFormat="1" ht="14.4" thickBot="1">
      <c r="A94" s="482"/>
      <c r="B94" s="475"/>
      <c r="C94" s="473">
        <v>100</v>
      </c>
      <c r="D94" s="473">
        <f>C94-$K25</f>
        <v>99</v>
      </c>
      <c r="E94" s="473">
        <f>D94-$K25</f>
        <v>98</v>
      </c>
      <c r="F94" s="473">
        <f>E94-$K25</f>
        <v>97</v>
      </c>
      <c r="G94" s="473">
        <f>F94-$K25</f>
        <v>96</v>
      </c>
      <c r="H94" s="477"/>
      <c r="I94" s="477"/>
      <c r="J94" s="477"/>
      <c r="K94" s="477"/>
      <c r="L94" s="477"/>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5"/>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5"/>
      <c r="B99" s="467" t="s">
        <v>1873</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5"/>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5"/>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5"/>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6" customFormat="1" ht="14.4" thickTop="1">
      <c r="A105" s="404"/>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6" customFormat="1" ht="14.4"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7.6">
      <c r="A107" s="377" t="s">
        <v>1694</v>
      </c>
      <c r="B107" s="458" t="s">
        <v>1913</v>
      </c>
      <c r="C107" s="459" t="str">
        <f t="shared" ref="C107:L107" si="25">C108&amp;"(含)"&amp;"-"&amp;D108</f>
        <v>0(含)-30000</v>
      </c>
      <c r="D107" s="459" t="str">
        <f t="shared" si="25"/>
        <v>30000(含)-60000</v>
      </c>
      <c r="E107" s="459" t="str">
        <f t="shared" si="25"/>
        <v>60000(含)-100000</v>
      </c>
      <c r="F107" s="459" t="str">
        <f t="shared" si="25"/>
        <v>100000(含)-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5"/>
      <c r="B108" s="475"/>
      <c r="C108" s="6">
        <v>0</v>
      </c>
      <c r="D108" s="6">
        <v>30000</v>
      </c>
      <c r="E108" s="6">
        <v>60000</v>
      </c>
      <c r="F108" s="6">
        <v>100000</v>
      </c>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5"/>
      <c r="B109" s="472"/>
      <c r="C109" s="499">
        <v>100</v>
      </c>
      <c r="D109" s="519">
        <f>C109+2</f>
        <v>102</v>
      </c>
      <c r="E109" s="519">
        <f t="shared" ref="E109:F109" si="26">D109+2</f>
        <v>104</v>
      </c>
      <c r="F109" s="519">
        <f t="shared" si="26"/>
        <v>106</v>
      </c>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7"/>
      <c r="B110" s="467" t="s">
        <v>1914</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5"/>
      <c r="B111" s="472"/>
      <c r="C111" s="473">
        <v>100</v>
      </c>
      <c r="D111" s="473">
        <f t="shared" ref="D111:M111" si="27">C111-$K35</f>
        <v>100</v>
      </c>
      <c r="E111" s="473">
        <f t="shared" si="27"/>
        <v>100</v>
      </c>
      <c r="F111" s="473">
        <f t="shared" si="27"/>
        <v>100</v>
      </c>
      <c r="G111" s="473">
        <f t="shared" si="27"/>
        <v>100</v>
      </c>
      <c r="H111" s="473">
        <f t="shared" si="27"/>
        <v>100</v>
      </c>
      <c r="I111" s="473">
        <f t="shared" si="27"/>
        <v>100</v>
      </c>
      <c r="J111" s="473">
        <f t="shared" si="27"/>
        <v>100</v>
      </c>
      <c r="K111" s="473">
        <f t="shared" si="27"/>
        <v>100</v>
      </c>
      <c r="L111" s="473">
        <f t="shared" si="27"/>
        <v>100</v>
      </c>
      <c r="M111" s="474">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6" customFormat="1" ht="15" thickTop="1">
      <c r="A112" s="404"/>
      <c r="B112" s="467" t="s">
        <v>1916</v>
      </c>
      <c r="C112" s="483" t="s">
        <v>3561</v>
      </c>
      <c r="D112" s="483" t="s">
        <v>3560</v>
      </c>
      <c r="E112" s="483" t="s">
        <v>3564</v>
      </c>
      <c r="F112" s="483" t="s">
        <v>3565</v>
      </c>
      <c r="G112" s="483" t="s">
        <v>3566</v>
      </c>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6" customFormat="1" ht="14.4" thickBot="1">
      <c r="A113" s="482"/>
      <c r="B113" s="472"/>
      <c r="C113" s="473">
        <v>100</v>
      </c>
      <c r="D113" s="473">
        <f t="shared" ref="D113:M113" si="28">C113-$K36</f>
        <v>99.5</v>
      </c>
      <c r="E113" s="473">
        <f t="shared" si="28"/>
        <v>99</v>
      </c>
      <c r="F113" s="473">
        <f t="shared" si="28"/>
        <v>98.5</v>
      </c>
      <c r="G113" s="473">
        <f t="shared" si="28"/>
        <v>98</v>
      </c>
      <c r="H113" s="473">
        <f t="shared" si="28"/>
        <v>97.5</v>
      </c>
      <c r="I113" s="473">
        <f t="shared" si="28"/>
        <v>97</v>
      </c>
      <c r="J113" s="473">
        <f t="shared" si="28"/>
        <v>96.5</v>
      </c>
      <c r="K113" s="473">
        <f t="shared" si="28"/>
        <v>96</v>
      </c>
      <c r="L113" s="473">
        <f t="shared" si="28"/>
        <v>95.5</v>
      </c>
      <c r="M113" s="474">
        <f t="shared" si="28"/>
        <v>95</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7"/>
      <c r="B114" s="467" t="s">
        <v>1917</v>
      </c>
      <c r="C114" s="483" t="s">
        <v>3567</v>
      </c>
      <c r="D114" s="483" t="s">
        <v>3558</v>
      </c>
      <c r="E114" s="511" t="s">
        <v>3555</v>
      </c>
      <c r="F114" s="511" t="s">
        <v>3552</v>
      </c>
      <c r="G114" s="511" t="s">
        <v>3568</v>
      </c>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5"/>
      <c r="B115" s="472"/>
      <c r="C115" s="473">
        <v>100</v>
      </c>
      <c r="D115" s="473">
        <f t="shared" ref="D115:M115" si="29">C115-$K37</f>
        <v>100</v>
      </c>
      <c r="E115" s="473">
        <f t="shared" si="29"/>
        <v>100</v>
      </c>
      <c r="F115" s="473">
        <f t="shared" si="29"/>
        <v>100</v>
      </c>
      <c r="G115" s="473">
        <f t="shared" si="29"/>
        <v>100</v>
      </c>
      <c r="H115" s="473">
        <f t="shared" si="29"/>
        <v>100</v>
      </c>
      <c r="I115" s="473">
        <f t="shared" si="29"/>
        <v>100</v>
      </c>
      <c r="J115" s="473">
        <f t="shared" si="29"/>
        <v>100</v>
      </c>
      <c r="K115" s="473">
        <f t="shared" si="29"/>
        <v>100</v>
      </c>
      <c r="L115" s="473">
        <f t="shared" si="29"/>
        <v>100</v>
      </c>
      <c r="M115" s="474">
        <f t="shared" si="29"/>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7"/>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5"/>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7"/>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5"/>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6" customFormat="1" ht="14.4" thickTop="1">
      <c r="A120" s="404"/>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6" customFormat="1" ht="14.4"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1300-000000000000}">
      <formula1>单价内涵</formula1>
    </dataValidation>
    <dataValidation type="list" allowBlank="1" showInputMessage="1" showErrorMessage="1" sqref="C22 E22 G22 I22" xr:uid="{00000000-0002-0000-1300-000001000000}">
      <formula1>环境</formula1>
    </dataValidation>
    <dataValidation type="list" allowBlank="1" showInputMessage="1" showErrorMessage="1" sqref="E18 C18 G18 I18" xr:uid="{00000000-0002-0000-1300-000002000000}">
      <formula1>交通便捷度</formula1>
    </dataValidation>
    <dataValidation type="list" allowBlank="1" showInputMessage="1" showErrorMessage="1" sqref="E24 C24 G24 I24" xr:uid="{00000000-0002-0000-1300-000003000000}">
      <formula1>公共配套设施</formula1>
    </dataValidation>
    <dataValidation type="list" allowBlank="1" showInputMessage="1" showErrorMessage="1" sqref="C8 E8 G8 I8" xr:uid="{00000000-0002-0000-1300-000004000000}">
      <formula1>套工交易情况</formula1>
    </dataValidation>
    <dataValidation type="list" allowBlank="1" showInputMessage="1" showErrorMessage="1" sqref="C9 E9 G9 I9" xr:uid="{00000000-0002-0000-1300-000005000000}">
      <formula1>套工用途</formula1>
    </dataValidation>
    <dataValidation type="list" allowBlank="1" showInputMessage="1" showErrorMessage="1" sqref="I30 E30 G30" xr:uid="{00000000-0002-0000-1300-000006000000}">
      <formula1>套工土地级别</formula1>
    </dataValidation>
    <dataValidation type="list" allowBlank="1" showInputMessage="1" showErrorMessage="1" sqref="C27 E27 G27 I27" xr:uid="{00000000-0002-0000-1300-000007000000}">
      <formula1>临街状况</formula1>
    </dataValidation>
    <dataValidation type="list" allowBlank="1" showInputMessage="1" showErrorMessage="1" sqref="E20 G20 I20 C20" xr:uid="{00000000-0002-0000-1300-000008000000}">
      <formula1>区域土地利用方向</formula1>
    </dataValidation>
    <dataValidation type="list" allowBlank="1" showInputMessage="1" showErrorMessage="1" sqref="C50" xr:uid="{00000000-0002-0000-1300-000009000000}">
      <formula1>"北京市系数,其他省市系数"</formula1>
    </dataValidation>
    <dataValidation type="list" allowBlank="1" showInputMessage="1" showErrorMessage="1" sqref="C16 E16 G16 I16" xr:uid="{00000000-0002-0000-1300-00000A000000}">
      <formula1>产业集聚程度</formula1>
    </dataValidation>
    <dataValidation type="list" allowBlank="1" showInputMessage="1" showErrorMessage="1" sqref="C29 E29 G29 I29" xr:uid="{00000000-0002-0000-1300-00000B000000}">
      <formula1>套工道路等级</formula1>
    </dataValidation>
    <dataValidation type="list" allowBlank="1" showInputMessage="1" showErrorMessage="1" sqref="C35 E35 G35 I35" xr:uid="{00000000-0002-0000-1300-00000C000000}">
      <formula1>套工宗地形状</formula1>
    </dataValidation>
    <dataValidation type="list" allowBlank="1" showInputMessage="1" showErrorMessage="1" sqref="C36 E36 G36 I36" xr:uid="{00000000-0002-0000-1300-00000D000000}">
      <formula1>套工宗地开发程度</formula1>
    </dataValidation>
    <dataValidation type="list" allowBlank="1" showInputMessage="1" showErrorMessage="1" sqref="C37 E37 G37 I37" xr:uid="{00000000-0002-0000-1300-00000E000000}">
      <formula1>套工地质条件</formula1>
    </dataValidation>
    <dataValidation type="list" allowBlank="1" showInputMessage="1" showErrorMessage="1" sqref="G58" xr:uid="{00000000-0002-0000-1300-00000F000000}">
      <formula1>"住宅,工业"</formula1>
    </dataValidation>
    <dataValidation type="list" allowBlank="1" showInputMessage="1" showErrorMessage="1" sqref="G57" xr:uid="{00000000-0002-0000-1300-000010000000}">
      <formula1>"商业,办公,住宅,工业"</formula1>
    </dataValidation>
    <dataValidation type="list" allowBlank="1" showInputMessage="1" showErrorMessage="1" sqref="D52:D60" xr:uid="{00000000-0002-0000-1300-000011000000}">
      <formula1>"25%,1"</formula1>
    </dataValidation>
    <dataValidation type="list" allowBlank="1" showInputMessage="1" showErrorMessage="1" sqref="C26 E26 G26 I26" xr:uid="{00000000-0002-0000-1300-000012000000}">
      <formula1>基础设施水平</formula1>
    </dataValidation>
    <dataValidation type="list" allowBlank="1" showInputMessage="1" showErrorMessage="1" sqref="D42" xr:uid="{00000000-0002-0000-13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9"/>
  <sheetViews>
    <sheetView workbookViewId="0">
      <selection activeCell="F35" sqref="F35"/>
    </sheetView>
  </sheetViews>
  <sheetFormatPr defaultColWidth="9" defaultRowHeight="14.4"/>
  <cols>
    <col min="1" max="1" width="33.33203125" style="1154" customWidth="1"/>
    <col min="2" max="2" width="20" style="1154" hidden="1" customWidth="1"/>
    <col min="3" max="3" width="11.6640625" style="1154" hidden="1" customWidth="1"/>
    <col min="4" max="4" width="11.77734375" style="1154" customWidth="1"/>
    <col min="5" max="6" width="20" style="1154" customWidth="1"/>
    <col min="7" max="7" width="12.77734375" style="1154" customWidth="1"/>
    <col min="8" max="8" width="20" style="1154" hidden="1" customWidth="1"/>
    <col min="9" max="9" width="15.77734375" style="1154" customWidth="1"/>
    <col min="10" max="10" width="13.6640625" style="1154" customWidth="1"/>
    <col min="11" max="11" width="20" style="1154" hidden="1" customWidth="1"/>
    <col min="12" max="12" width="14.77734375" style="1154" customWidth="1"/>
    <col min="13" max="13" width="14.33203125" style="1154" customWidth="1"/>
    <col min="14" max="23" width="20" style="1154" customWidth="1"/>
    <col min="24" max="16384" width="9" style="1154"/>
  </cols>
  <sheetData>
    <row r="1" spans="1:22">
      <c r="A1" s="1154" t="s">
        <v>3430</v>
      </c>
      <c r="B1" s="1154" t="s">
        <v>3431</v>
      </c>
      <c r="C1" s="1154" t="s">
        <v>3432</v>
      </c>
      <c r="D1" s="1154" t="s">
        <v>3433</v>
      </c>
      <c r="E1" s="1154" t="s">
        <v>3434</v>
      </c>
      <c r="F1" s="1154" t="s">
        <v>3435</v>
      </c>
      <c r="G1" s="1154" t="s">
        <v>3436</v>
      </c>
      <c r="H1" s="1154" t="s">
        <v>3437</v>
      </c>
      <c r="I1" s="1154" t="s">
        <v>3438</v>
      </c>
      <c r="J1" s="1154" t="s">
        <v>3439</v>
      </c>
      <c r="K1" s="1154" t="s">
        <v>3440</v>
      </c>
      <c r="L1" s="1154" t="s">
        <v>3441</v>
      </c>
      <c r="M1" s="1154" t="s">
        <v>3442</v>
      </c>
      <c r="N1" s="1154" t="s">
        <v>3443</v>
      </c>
      <c r="O1" s="1154" t="s">
        <v>3444</v>
      </c>
      <c r="P1" s="1154" t="s">
        <v>3445</v>
      </c>
      <c r="Q1" s="1154" t="s">
        <v>3446</v>
      </c>
      <c r="R1" s="1154" t="s">
        <v>3447</v>
      </c>
      <c r="S1" s="1154" t="s">
        <v>3448</v>
      </c>
      <c r="T1" s="1154" t="s">
        <v>3449</v>
      </c>
      <c r="U1" s="1154" t="s">
        <v>3450</v>
      </c>
      <c r="V1" s="1154" t="s">
        <v>3450</v>
      </c>
    </row>
    <row r="2" spans="1:22">
      <c r="A2" s="1154" t="s">
        <v>3451</v>
      </c>
      <c r="B2" s="1154" t="s">
        <v>3452</v>
      </c>
      <c r="C2" s="1154" t="s">
        <v>3453</v>
      </c>
      <c r="D2" s="1154" t="s">
        <v>3454</v>
      </c>
      <c r="E2" s="1154">
        <v>72690.820000000007</v>
      </c>
      <c r="F2" s="1154">
        <v>72690.820000000007</v>
      </c>
      <c r="G2" s="1154" t="s">
        <v>2471</v>
      </c>
      <c r="H2" s="1154" t="s">
        <v>3455</v>
      </c>
      <c r="I2" s="1154" t="s">
        <v>3456</v>
      </c>
      <c r="J2" s="1154" t="s">
        <v>3457</v>
      </c>
      <c r="K2" s="1154" t="s">
        <v>3458</v>
      </c>
      <c r="L2" s="1154" t="s">
        <v>3459</v>
      </c>
      <c r="M2" s="1154" t="s">
        <v>3460</v>
      </c>
      <c r="N2" s="1154" t="s">
        <v>3461</v>
      </c>
      <c r="O2" s="1154">
        <v>4827</v>
      </c>
      <c r="P2" s="1154">
        <v>4827</v>
      </c>
      <c r="Q2" s="1154">
        <v>4827</v>
      </c>
      <c r="R2" s="1154">
        <v>664.04</v>
      </c>
      <c r="S2" s="1154">
        <v>44.27</v>
      </c>
      <c r="T2" s="1154">
        <v>664</v>
      </c>
      <c r="U2" s="1154">
        <v>0</v>
      </c>
      <c r="V2" s="1154" t="s">
        <v>3458</v>
      </c>
    </row>
    <row r="3" spans="1:22" s="3150" customFormat="1">
      <c r="A3" s="3153" t="s">
        <v>3462</v>
      </c>
      <c r="B3" s="3150" t="s">
        <v>3452</v>
      </c>
      <c r="C3" s="3150" t="s">
        <v>3453</v>
      </c>
      <c r="D3" s="3150" t="s">
        <v>3463</v>
      </c>
      <c r="E3" s="3150">
        <v>73529.919999999998</v>
      </c>
      <c r="F3" s="3150">
        <v>73529.919999999998</v>
      </c>
      <c r="G3" s="3150" t="s">
        <v>2471</v>
      </c>
      <c r="H3" s="3150" t="s">
        <v>2471</v>
      </c>
      <c r="I3" s="3150" t="s">
        <v>3456</v>
      </c>
      <c r="J3" s="3150" t="s">
        <v>3457</v>
      </c>
      <c r="K3" s="3150" t="s">
        <v>3458</v>
      </c>
      <c r="L3" s="3150" t="s">
        <v>3464</v>
      </c>
      <c r="M3" s="3150" t="s">
        <v>3460</v>
      </c>
      <c r="N3" s="3150" t="s">
        <v>3465</v>
      </c>
      <c r="O3" s="3150">
        <v>4964</v>
      </c>
      <c r="P3" s="3150">
        <v>4964</v>
      </c>
      <c r="Q3" s="3150">
        <v>4964</v>
      </c>
      <c r="R3" s="3150">
        <v>675.09</v>
      </c>
      <c r="S3" s="3150">
        <v>45.01</v>
      </c>
      <c r="T3" s="3150">
        <v>675</v>
      </c>
      <c r="U3" s="3150">
        <v>0</v>
      </c>
      <c r="V3" s="3150" t="s">
        <v>3458</v>
      </c>
    </row>
    <row r="4" spans="1:22">
      <c r="A4" s="1154" t="s">
        <v>3466</v>
      </c>
      <c r="B4" s="1154" t="s">
        <v>3452</v>
      </c>
      <c r="C4" s="1154" t="s">
        <v>3453</v>
      </c>
      <c r="D4" s="1154" t="s">
        <v>3467</v>
      </c>
      <c r="E4" s="1154">
        <v>83396.69</v>
      </c>
      <c r="F4" s="1154">
        <v>83396.69</v>
      </c>
      <c r="G4" s="1154" t="s">
        <v>2471</v>
      </c>
      <c r="H4" s="1154" t="s">
        <v>2471</v>
      </c>
      <c r="I4" s="1154" t="s">
        <v>3456</v>
      </c>
      <c r="J4" s="1154" t="s">
        <v>3457</v>
      </c>
      <c r="K4" s="1154" t="s">
        <v>3458</v>
      </c>
      <c r="L4" s="1154" t="s">
        <v>3468</v>
      </c>
      <c r="M4" s="1154" t="s">
        <v>3460</v>
      </c>
      <c r="N4" s="1154" t="s">
        <v>3469</v>
      </c>
      <c r="O4" s="1154">
        <v>5655</v>
      </c>
      <c r="P4" s="1154">
        <v>5655</v>
      </c>
      <c r="Q4" s="1154">
        <v>5655</v>
      </c>
      <c r="R4" s="1154">
        <v>678.08</v>
      </c>
      <c r="S4" s="1154">
        <v>45.21</v>
      </c>
      <c r="T4" s="1154">
        <v>678</v>
      </c>
      <c r="U4" s="1154">
        <v>0</v>
      </c>
      <c r="V4" s="1154" t="s">
        <v>3458</v>
      </c>
    </row>
    <row r="5" spans="1:22">
      <c r="A5" s="1154" t="s">
        <v>3470</v>
      </c>
      <c r="B5" s="1154" t="s">
        <v>3452</v>
      </c>
      <c r="C5" s="1154" t="s">
        <v>3453</v>
      </c>
      <c r="D5" s="1154" t="s">
        <v>3471</v>
      </c>
      <c r="E5" s="1154">
        <v>31287.03</v>
      </c>
      <c r="F5" s="1154">
        <v>31287.03</v>
      </c>
      <c r="G5" s="1154" t="s">
        <v>2471</v>
      </c>
      <c r="H5" s="1154" t="s">
        <v>2471</v>
      </c>
      <c r="I5" s="1154" t="s">
        <v>3456</v>
      </c>
      <c r="J5" s="1154" t="s">
        <v>3457</v>
      </c>
      <c r="K5" s="1154" t="s">
        <v>3458</v>
      </c>
      <c r="L5" s="1154" t="s">
        <v>3472</v>
      </c>
      <c r="M5" s="1154" t="s">
        <v>3460</v>
      </c>
      <c r="N5" s="1154" t="s">
        <v>3473</v>
      </c>
      <c r="O5" s="1154">
        <v>2119</v>
      </c>
      <c r="P5" s="1154">
        <v>2119</v>
      </c>
      <c r="Q5" s="1154">
        <v>2119</v>
      </c>
      <c r="R5" s="1154">
        <v>677.27</v>
      </c>
      <c r="S5" s="1154">
        <v>45.15</v>
      </c>
      <c r="T5" s="1154">
        <v>677</v>
      </c>
      <c r="U5" s="1154">
        <v>0</v>
      </c>
      <c r="V5" s="1154" t="s">
        <v>3458</v>
      </c>
    </row>
    <row r="6" spans="1:22">
      <c r="A6" s="1154" t="s">
        <v>3474</v>
      </c>
      <c r="B6" s="1154" t="s">
        <v>3452</v>
      </c>
      <c r="C6" s="1154" t="s">
        <v>3453</v>
      </c>
      <c r="D6" s="1154" t="s">
        <v>3475</v>
      </c>
      <c r="E6" s="1154">
        <v>54151.78</v>
      </c>
      <c r="F6" s="1154">
        <v>54151.78</v>
      </c>
      <c r="G6" s="1154" t="s">
        <v>2471</v>
      </c>
      <c r="H6" s="1154" t="s">
        <v>2471</v>
      </c>
      <c r="I6" s="1154" t="s">
        <v>3456</v>
      </c>
      <c r="J6" s="1154" t="s">
        <v>3457</v>
      </c>
      <c r="K6" s="1154" t="s">
        <v>3458</v>
      </c>
      <c r="L6" s="1154" t="s">
        <v>3476</v>
      </c>
      <c r="M6" s="1154" t="s">
        <v>3460</v>
      </c>
      <c r="N6" s="1154" t="s">
        <v>3477</v>
      </c>
      <c r="O6" s="1154">
        <v>3673</v>
      </c>
      <c r="P6" s="1154">
        <v>3673</v>
      </c>
      <c r="Q6" s="1154">
        <v>3673</v>
      </c>
      <c r="R6" s="1154">
        <v>678.27</v>
      </c>
      <c r="S6" s="1154">
        <v>45.22</v>
      </c>
      <c r="T6" s="1154">
        <v>678</v>
      </c>
      <c r="U6" s="1154">
        <v>0</v>
      </c>
      <c r="V6" s="1154" t="s">
        <v>3458</v>
      </c>
    </row>
    <row r="7" spans="1:22">
      <c r="A7" s="1154" t="s">
        <v>3478</v>
      </c>
      <c r="B7" s="1154" t="s">
        <v>3452</v>
      </c>
      <c r="C7" s="1154" t="s">
        <v>3453</v>
      </c>
      <c r="D7" s="1154" t="s">
        <v>3479</v>
      </c>
      <c r="E7" s="1154">
        <v>33655.4</v>
      </c>
      <c r="F7" s="1154">
        <v>33655.4</v>
      </c>
      <c r="G7" s="1154" t="s">
        <v>2471</v>
      </c>
      <c r="H7" s="1154" t="s">
        <v>2471</v>
      </c>
      <c r="I7" s="1154" t="s">
        <v>3456</v>
      </c>
      <c r="J7" s="1154" t="s">
        <v>3457</v>
      </c>
      <c r="K7" s="1154" t="s">
        <v>3458</v>
      </c>
      <c r="L7" s="1154" t="s">
        <v>3476</v>
      </c>
      <c r="M7" s="1154" t="s">
        <v>3460</v>
      </c>
      <c r="N7" s="1154" t="s">
        <v>3480</v>
      </c>
      <c r="O7" s="1154">
        <v>2282</v>
      </c>
      <c r="P7" s="1154">
        <v>2282</v>
      </c>
      <c r="Q7" s="1154">
        <v>2284</v>
      </c>
      <c r="R7" s="1154">
        <v>678.64</v>
      </c>
      <c r="S7" s="1154">
        <v>45.24</v>
      </c>
      <c r="T7" s="1154">
        <v>679</v>
      </c>
      <c r="U7" s="1154">
        <v>0.09</v>
      </c>
      <c r="V7" s="1154" t="s">
        <v>3458</v>
      </c>
    </row>
    <row r="8" spans="1:22" s="3150" customFormat="1">
      <c r="A8" s="3153" t="s">
        <v>3481</v>
      </c>
      <c r="B8" s="3150" t="s">
        <v>3452</v>
      </c>
      <c r="C8" s="3150" t="s">
        <v>3453</v>
      </c>
      <c r="D8" s="3150" t="s">
        <v>3482</v>
      </c>
      <c r="E8" s="3150">
        <v>10280.040000000001</v>
      </c>
      <c r="F8" s="3150">
        <v>10280.040000000001</v>
      </c>
      <c r="G8" s="3150" t="s">
        <v>2471</v>
      </c>
      <c r="H8" s="3150" t="s">
        <v>2471</v>
      </c>
      <c r="I8" s="3150" t="s">
        <v>3456</v>
      </c>
      <c r="J8" s="3150" t="s">
        <v>3457</v>
      </c>
      <c r="K8" s="3150" t="s">
        <v>3458</v>
      </c>
      <c r="L8" s="3150" t="s">
        <v>3476</v>
      </c>
      <c r="M8" s="3150" t="s">
        <v>3460</v>
      </c>
      <c r="N8" s="3150" t="s">
        <v>3483</v>
      </c>
      <c r="O8" s="3150">
        <v>708</v>
      </c>
      <c r="P8" s="3150">
        <v>708</v>
      </c>
      <c r="Q8" s="3150">
        <v>708</v>
      </c>
      <c r="R8" s="3150">
        <v>688.71</v>
      </c>
      <c r="S8" s="3150">
        <v>45.91</v>
      </c>
      <c r="T8" s="3150">
        <v>689</v>
      </c>
      <c r="U8" s="3150">
        <v>0</v>
      </c>
      <c r="V8" s="3150" t="s">
        <v>3458</v>
      </c>
    </row>
    <row r="9" spans="1:22">
      <c r="A9" s="1154" t="s">
        <v>3466</v>
      </c>
      <c r="B9" s="1154" t="s">
        <v>3452</v>
      </c>
      <c r="C9" s="1154" t="s">
        <v>3453</v>
      </c>
      <c r="D9" s="1154" t="s">
        <v>3484</v>
      </c>
      <c r="E9" s="1154">
        <v>2580.7800000000002</v>
      </c>
      <c r="F9" s="1154">
        <v>2580.7800000000002</v>
      </c>
      <c r="G9" s="1154" t="s">
        <v>2471</v>
      </c>
      <c r="H9" s="1154" t="s">
        <v>2471</v>
      </c>
      <c r="I9" s="1154" t="s">
        <v>3456</v>
      </c>
      <c r="J9" s="1154" t="s">
        <v>3457</v>
      </c>
      <c r="K9" s="1154" t="s">
        <v>3458</v>
      </c>
      <c r="L9" s="1154" t="s">
        <v>3476</v>
      </c>
      <c r="M9" s="1154" t="s">
        <v>3460</v>
      </c>
      <c r="N9" s="1154" t="s">
        <v>3485</v>
      </c>
      <c r="O9" s="1154">
        <v>175</v>
      </c>
      <c r="P9" s="1154">
        <v>175</v>
      </c>
      <c r="Q9" s="1154">
        <v>175</v>
      </c>
      <c r="R9" s="1154">
        <v>678.08</v>
      </c>
      <c r="S9" s="1154">
        <v>45.21</v>
      </c>
      <c r="T9" s="1154">
        <v>678</v>
      </c>
      <c r="U9" s="1154">
        <v>0</v>
      </c>
      <c r="V9" s="1154" t="s">
        <v>3458</v>
      </c>
    </row>
    <row r="10" spans="1:22">
      <c r="A10" s="1154" t="s">
        <v>3486</v>
      </c>
      <c r="B10" s="1154" t="s">
        <v>3452</v>
      </c>
      <c r="C10" s="1154" t="s">
        <v>3453</v>
      </c>
      <c r="D10" s="1154" t="s">
        <v>3487</v>
      </c>
      <c r="E10" s="1154">
        <v>53104.18</v>
      </c>
      <c r="F10" s="1154">
        <v>53104.18</v>
      </c>
      <c r="G10" s="1154" t="s">
        <v>2471</v>
      </c>
      <c r="H10" s="1154" t="s">
        <v>2471</v>
      </c>
      <c r="I10" s="1154" t="s">
        <v>3456</v>
      </c>
      <c r="J10" s="1154" t="s">
        <v>3457</v>
      </c>
      <c r="K10" s="1154" t="s">
        <v>3458</v>
      </c>
      <c r="L10" s="1154" t="s">
        <v>3476</v>
      </c>
      <c r="M10" s="1154" t="s">
        <v>3460</v>
      </c>
      <c r="N10" s="1154" t="s">
        <v>3488</v>
      </c>
      <c r="O10" s="1154">
        <v>3208</v>
      </c>
      <c r="P10" s="1154">
        <v>3208</v>
      </c>
      <c r="Q10" s="1154">
        <v>3208</v>
      </c>
      <c r="R10" s="1154">
        <v>604.09</v>
      </c>
      <c r="S10" s="1154">
        <v>40.270000000000003</v>
      </c>
      <c r="T10" s="1154">
        <v>604</v>
      </c>
      <c r="U10" s="1154">
        <v>0</v>
      </c>
      <c r="V10" s="1154" t="s">
        <v>3458</v>
      </c>
    </row>
    <row r="11" spans="1:22">
      <c r="A11" s="1154" t="s">
        <v>3489</v>
      </c>
      <c r="B11" s="1154" t="s">
        <v>3452</v>
      </c>
      <c r="C11" s="1154" t="s">
        <v>3453</v>
      </c>
      <c r="D11" s="1154" t="s">
        <v>3490</v>
      </c>
      <c r="E11" s="1154">
        <v>30212.22</v>
      </c>
      <c r="F11" s="1154">
        <v>30212.22</v>
      </c>
      <c r="G11" s="1154" t="s">
        <v>2471</v>
      </c>
      <c r="H11" s="1154" t="s">
        <v>2471</v>
      </c>
      <c r="I11" s="1154" t="s">
        <v>3456</v>
      </c>
      <c r="J11" s="1154" t="s">
        <v>3457</v>
      </c>
      <c r="K11" s="1154" t="s">
        <v>3458</v>
      </c>
      <c r="L11" s="1154" t="s">
        <v>3476</v>
      </c>
      <c r="M11" s="1154" t="s">
        <v>3460</v>
      </c>
      <c r="N11" s="1154" t="s">
        <v>3480</v>
      </c>
      <c r="O11" s="1154">
        <v>2049</v>
      </c>
      <c r="P11" s="1154">
        <v>2049</v>
      </c>
      <c r="Q11" s="1154">
        <v>2049</v>
      </c>
      <c r="R11" s="1154">
        <v>678.2</v>
      </c>
      <c r="S11" s="1154">
        <v>45.21</v>
      </c>
      <c r="T11" s="1154">
        <v>678</v>
      </c>
      <c r="U11" s="1154">
        <v>0</v>
      </c>
      <c r="V11" s="1154" t="s">
        <v>3458</v>
      </c>
    </row>
    <row r="12" spans="1:22">
      <c r="A12" s="1154" t="s">
        <v>3478</v>
      </c>
      <c r="B12" s="1154" t="s">
        <v>3452</v>
      </c>
      <c r="C12" s="1154" t="s">
        <v>3453</v>
      </c>
      <c r="D12" s="1154" t="s">
        <v>3491</v>
      </c>
      <c r="E12" s="1154">
        <v>28562.36</v>
      </c>
      <c r="F12" s="1154">
        <v>28562.36</v>
      </c>
      <c r="G12" s="1154" t="s">
        <v>2471</v>
      </c>
      <c r="H12" s="1154" t="s">
        <v>2471</v>
      </c>
      <c r="I12" s="1154" t="s">
        <v>3456</v>
      </c>
      <c r="J12" s="1154" t="s">
        <v>3457</v>
      </c>
      <c r="K12" s="1154" t="s">
        <v>3458</v>
      </c>
      <c r="L12" s="1154" t="s">
        <v>3476</v>
      </c>
      <c r="M12" s="1154" t="s">
        <v>3460</v>
      </c>
      <c r="N12" s="1154" t="s">
        <v>3480</v>
      </c>
      <c r="O12" s="1154">
        <v>1938</v>
      </c>
      <c r="P12" s="1154">
        <v>1938</v>
      </c>
      <c r="Q12" s="1154">
        <v>1938</v>
      </c>
      <c r="R12" s="1154">
        <v>678.51</v>
      </c>
      <c r="S12" s="1154">
        <v>45.23</v>
      </c>
      <c r="T12" s="1154">
        <v>679</v>
      </c>
      <c r="U12" s="1154">
        <v>0</v>
      </c>
      <c r="V12" s="1154" t="s">
        <v>3458</v>
      </c>
    </row>
    <row r="13" spans="1:22">
      <c r="A13" s="1154" t="s">
        <v>3466</v>
      </c>
      <c r="B13" s="1154" t="s">
        <v>3452</v>
      </c>
      <c r="C13" s="1154" t="s">
        <v>3453</v>
      </c>
      <c r="D13" s="1154" t="s">
        <v>3492</v>
      </c>
      <c r="E13" s="1154">
        <v>111994.22</v>
      </c>
      <c r="F13" s="1154">
        <v>111994.22</v>
      </c>
      <c r="G13" s="1154" t="s">
        <v>2471</v>
      </c>
      <c r="H13" s="1154" t="s">
        <v>2471</v>
      </c>
      <c r="I13" s="1154" t="s">
        <v>3493</v>
      </c>
      <c r="J13" s="1154" t="s">
        <v>3457</v>
      </c>
      <c r="K13" s="1154" t="s">
        <v>3458</v>
      </c>
      <c r="L13" s="1154" t="s">
        <v>3494</v>
      </c>
      <c r="M13" s="1154" t="s">
        <v>3460</v>
      </c>
      <c r="N13" s="1154" t="s">
        <v>3495</v>
      </c>
      <c r="O13" s="1154">
        <v>7583</v>
      </c>
      <c r="P13" s="1154">
        <v>3792</v>
      </c>
      <c r="Q13" s="1154">
        <v>7583</v>
      </c>
      <c r="R13" s="1154">
        <v>677.08</v>
      </c>
      <c r="S13" s="1154">
        <v>45.14</v>
      </c>
      <c r="T13" s="1154">
        <v>677</v>
      </c>
      <c r="U13" s="1154">
        <v>0</v>
      </c>
      <c r="V13" s="1154" t="s">
        <v>3458</v>
      </c>
    </row>
    <row r="14" spans="1:22">
      <c r="A14" s="1154" t="s">
        <v>3496</v>
      </c>
      <c r="B14" s="1154" t="s">
        <v>3452</v>
      </c>
      <c r="C14" s="1154" t="s">
        <v>3453</v>
      </c>
      <c r="D14" s="1154" t="s">
        <v>3497</v>
      </c>
      <c r="E14" s="1154">
        <v>6849.18</v>
      </c>
      <c r="F14" s="1154">
        <v>684.92</v>
      </c>
      <c r="G14" s="1154" t="s">
        <v>2471</v>
      </c>
      <c r="H14" s="1154" t="s">
        <v>2471</v>
      </c>
      <c r="I14" s="1154" t="s">
        <v>3498</v>
      </c>
      <c r="J14" s="1154" t="s">
        <v>3457</v>
      </c>
      <c r="K14" s="1154" t="s">
        <v>3458</v>
      </c>
      <c r="L14" s="1154" t="s">
        <v>3499</v>
      </c>
      <c r="M14" s="1154" t="s">
        <v>3460</v>
      </c>
      <c r="N14" s="1154" t="s">
        <v>3500</v>
      </c>
      <c r="O14" s="1154">
        <v>79</v>
      </c>
      <c r="P14" s="1154">
        <v>79</v>
      </c>
      <c r="Q14" s="1154">
        <v>79</v>
      </c>
      <c r="R14" s="1154">
        <v>115.34</v>
      </c>
      <c r="S14" s="1154">
        <v>7.69</v>
      </c>
      <c r="T14" s="1154">
        <v>1153</v>
      </c>
      <c r="U14" s="1154">
        <v>0</v>
      </c>
      <c r="V14" s="1154" t="s">
        <v>3458</v>
      </c>
    </row>
    <row r="15" spans="1:22">
      <c r="A15" s="1154" t="s">
        <v>3496</v>
      </c>
      <c r="B15" s="1154" t="s">
        <v>3452</v>
      </c>
      <c r="C15" s="1154" t="s">
        <v>3453</v>
      </c>
      <c r="D15" s="1154" t="s">
        <v>3501</v>
      </c>
      <c r="E15" s="1154">
        <v>29541.63</v>
      </c>
      <c r="F15" s="1154">
        <v>2954.16</v>
      </c>
      <c r="G15" s="1154" t="s">
        <v>2471</v>
      </c>
      <c r="H15" s="1154" t="s">
        <v>2471</v>
      </c>
      <c r="I15" s="1154" t="s">
        <v>3498</v>
      </c>
      <c r="J15" s="1154" t="s">
        <v>3457</v>
      </c>
      <c r="K15" s="1154" t="s">
        <v>3458</v>
      </c>
      <c r="L15" s="1154" t="s">
        <v>3499</v>
      </c>
      <c r="M15" s="1154" t="s">
        <v>3460</v>
      </c>
      <c r="N15" s="1154" t="s">
        <v>3502</v>
      </c>
      <c r="O15" s="1154">
        <v>338</v>
      </c>
      <c r="P15" s="1154">
        <v>338</v>
      </c>
      <c r="Q15" s="1154">
        <v>338</v>
      </c>
      <c r="R15" s="1154">
        <v>114.41</v>
      </c>
      <c r="S15" s="1154">
        <v>7.63</v>
      </c>
      <c r="T15" s="1154">
        <v>1144</v>
      </c>
      <c r="U15" s="1154">
        <v>0</v>
      </c>
      <c r="V15" s="1154" t="s">
        <v>3458</v>
      </c>
    </row>
    <row r="16" spans="1:22">
      <c r="A16" s="1154" t="s">
        <v>3503</v>
      </c>
      <c r="B16" s="1154" t="s">
        <v>3452</v>
      </c>
      <c r="C16" s="1154" t="s">
        <v>3453</v>
      </c>
      <c r="D16" s="1154" t="s">
        <v>3504</v>
      </c>
      <c r="E16" s="1154">
        <v>69941.539999999994</v>
      </c>
      <c r="F16" s="1154">
        <v>69941.539999999994</v>
      </c>
      <c r="G16" s="1154" t="s">
        <v>2471</v>
      </c>
      <c r="H16" s="1154" t="s">
        <v>2471</v>
      </c>
      <c r="I16" s="1154" t="s">
        <v>3505</v>
      </c>
      <c r="J16" s="1154" t="s">
        <v>3457</v>
      </c>
      <c r="K16" s="1154" t="s">
        <v>3458</v>
      </c>
      <c r="L16" s="1154" t="s">
        <v>3506</v>
      </c>
      <c r="M16" s="1154" t="s">
        <v>3460</v>
      </c>
      <c r="N16" s="1154" t="s">
        <v>3507</v>
      </c>
      <c r="O16" s="1154">
        <v>4750</v>
      </c>
      <c r="P16" s="1154">
        <v>4750</v>
      </c>
      <c r="Q16" s="1154">
        <v>4750</v>
      </c>
      <c r="R16" s="1154">
        <v>679.13</v>
      </c>
      <c r="S16" s="1154">
        <v>45.28</v>
      </c>
      <c r="T16" s="1154">
        <v>679</v>
      </c>
      <c r="U16" s="1154">
        <v>0</v>
      </c>
      <c r="V16" s="1154" t="s">
        <v>3458</v>
      </c>
    </row>
    <row r="17" spans="1:22">
      <c r="A17" s="1154" t="s">
        <v>3508</v>
      </c>
      <c r="B17" s="1154" t="s">
        <v>3452</v>
      </c>
      <c r="C17" s="1154" t="s">
        <v>3453</v>
      </c>
      <c r="D17" s="1154" t="s">
        <v>3509</v>
      </c>
      <c r="E17" s="1154">
        <v>49917.51</v>
      </c>
      <c r="F17" s="1154">
        <v>49917.51</v>
      </c>
      <c r="G17" s="1154" t="s">
        <v>2471</v>
      </c>
      <c r="H17" s="1154" t="s">
        <v>2471</v>
      </c>
      <c r="I17" s="1154" t="s">
        <v>3505</v>
      </c>
      <c r="J17" s="1154" t="s">
        <v>3457</v>
      </c>
      <c r="K17" s="1154" t="s">
        <v>3458</v>
      </c>
      <c r="L17" s="1154" t="s">
        <v>3510</v>
      </c>
      <c r="M17" s="1154" t="s">
        <v>3460</v>
      </c>
      <c r="N17" s="1154" t="s">
        <v>3461</v>
      </c>
      <c r="O17" s="1154">
        <v>3155</v>
      </c>
      <c r="P17" s="1154">
        <v>3155</v>
      </c>
      <c r="Q17" s="1154">
        <v>3155</v>
      </c>
      <c r="R17" s="1154">
        <v>632.04</v>
      </c>
      <c r="S17" s="1154">
        <v>42.14</v>
      </c>
      <c r="T17" s="1154">
        <v>632</v>
      </c>
      <c r="U17" s="1154">
        <v>0</v>
      </c>
      <c r="V17" s="1154" t="s">
        <v>3458</v>
      </c>
    </row>
    <row r="18" spans="1:22" s="3150" customFormat="1">
      <c r="A18" s="3150" t="s">
        <v>3511</v>
      </c>
      <c r="B18" s="3150" t="s">
        <v>3452</v>
      </c>
      <c r="C18" s="3150" t="s">
        <v>3453</v>
      </c>
      <c r="D18" s="3150" t="s">
        <v>3512</v>
      </c>
      <c r="E18" s="3150">
        <v>72487.740000000005</v>
      </c>
      <c r="F18" s="3150">
        <v>72487.740000000005</v>
      </c>
      <c r="G18" s="3150" t="s">
        <v>2471</v>
      </c>
      <c r="H18" s="3150" t="s">
        <v>2471</v>
      </c>
      <c r="I18" s="3150" t="s">
        <v>3505</v>
      </c>
      <c r="J18" s="3150" t="s">
        <v>3457</v>
      </c>
      <c r="K18" s="3150" t="s">
        <v>3458</v>
      </c>
      <c r="L18" s="3150" t="s">
        <v>3513</v>
      </c>
      <c r="M18" s="3150" t="s">
        <v>3460</v>
      </c>
      <c r="N18" s="3150" t="s">
        <v>3514</v>
      </c>
      <c r="O18" s="3150">
        <v>4973</v>
      </c>
      <c r="P18" s="3150">
        <v>2487</v>
      </c>
      <c r="Q18" s="3150">
        <v>4973</v>
      </c>
      <c r="R18" s="3150">
        <v>686.04</v>
      </c>
      <c r="S18" s="3150">
        <v>45.74</v>
      </c>
      <c r="T18" s="3150">
        <v>686</v>
      </c>
      <c r="U18" s="3150">
        <v>0</v>
      </c>
      <c r="V18" s="3150" t="s">
        <v>3458</v>
      </c>
    </row>
    <row r="19" spans="1:22">
      <c r="A19" s="1154" t="s">
        <v>3515</v>
      </c>
      <c r="B19" s="1154" t="s">
        <v>3452</v>
      </c>
      <c r="C19" s="1154" t="s">
        <v>3453</v>
      </c>
      <c r="D19" s="1154" t="s">
        <v>3463</v>
      </c>
      <c r="E19" s="1154">
        <v>73529.919999999998</v>
      </c>
      <c r="F19" s="1154">
        <v>73529.919999999998</v>
      </c>
      <c r="G19" s="1154" t="s">
        <v>2471</v>
      </c>
      <c r="H19" s="1154" t="s">
        <v>2471</v>
      </c>
      <c r="I19" s="1154" t="s">
        <v>3505</v>
      </c>
      <c r="J19" s="1154" t="s">
        <v>3457</v>
      </c>
      <c r="K19" s="1154" t="s">
        <v>3458</v>
      </c>
      <c r="L19" s="1154" t="s">
        <v>3513</v>
      </c>
      <c r="M19" s="1154" t="s">
        <v>3460</v>
      </c>
      <c r="N19" s="1154" t="s">
        <v>3514</v>
      </c>
      <c r="O19" s="1154">
        <v>5045</v>
      </c>
      <c r="P19" s="1154">
        <v>2523</v>
      </c>
      <c r="Q19" s="1154">
        <v>5045</v>
      </c>
      <c r="R19" s="1154">
        <v>686.11</v>
      </c>
      <c r="S19" s="1154">
        <v>45.74</v>
      </c>
      <c r="T19" s="1154">
        <v>686</v>
      </c>
      <c r="U19" s="1154">
        <v>0</v>
      </c>
      <c r="V19" s="1154" t="s">
        <v>3458</v>
      </c>
    </row>
    <row r="20" spans="1:22">
      <c r="A20" s="1154" t="s">
        <v>3516</v>
      </c>
      <c r="B20" s="1154" t="s">
        <v>3452</v>
      </c>
      <c r="C20" s="1154" t="s">
        <v>3453</v>
      </c>
      <c r="D20" s="1154" t="s">
        <v>3517</v>
      </c>
      <c r="E20" s="1154">
        <v>119138.55</v>
      </c>
      <c r="F20" s="1154">
        <v>119138.55</v>
      </c>
      <c r="G20" s="1154" t="s">
        <v>2471</v>
      </c>
      <c r="H20" s="1154" t="s">
        <v>2471</v>
      </c>
      <c r="I20" s="1154" t="s">
        <v>3505</v>
      </c>
      <c r="J20" s="1154" t="s">
        <v>3457</v>
      </c>
      <c r="K20" s="1154" t="s">
        <v>3458</v>
      </c>
      <c r="L20" s="1154" t="s">
        <v>3518</v>
      </c>
      <c r="M20" s="1154" t="s">
        <v>3460</v>
      </c>
      <c r="N20" s="1154" t="s">
        <v>3519</v>
      </c>
      <c r="O20" s="1154">
        <v>7292</v>
      </c>
      <c r="P20" s="1154">
        <v>7292</v>
      </c>
      <c r="Q20" s="1154">
        <v>7292</v>
      </c>
      <c r="R20" s="1154">
        <v>612.05999999999995</v>
      </c>
      <c r="S20" s="1154">
        <v>40.799999999999997</v>
      </c>
      <c r="T20" s="1154">
        <v>612</v>
      </c>
      <c r="U20" s="1154">
        <v>0</v>
      </c>
      <c r="V20" s="1154" t="s">
        <v>3458</v>
      </c>
    </row>
    <row r="21" spans="1:22">
      <c r="A21" s="1154" t="s">
        <v>3516</v>
      </c>
      <c r="B21" s="1154" t="s">
        <v>3452</v>
      </c>
      <c r="C21" s="1154" t="s">
        <v>3453</v>
      </c>
      <c r="D21" s="1154" t="s">
        <v>3520</v>
      </c>
      <c r="E21" s="1154">
        <v>40172.83</v>
      </c>
      <c r="F21" s="1154">
        <v>40172.83</v>
      </c>
      <c r="G21" s="1154" t="s">
        <v>2471</v>
      </c>
      <c r="H21" s="1154" t="s">
        <v>2471</v>
      </c>
      <c r="I21" s="1154" t="s">
        <v>3505</v>
      </c>
      <c r="J21" s="1154" t="s">
        <v>3457</v>
      </c>
      <c r="K21" s="1154" t="s">
        <v>3458</v>
      </c>
      <c r="L21" s="1154" t="s">
        <v>3518</v>
      </c>
      <c r="M21" s="1154" t="s">
        <v>3460</v>
      </c>
      <c r="N21" s="1154" t="s">
        <v>3521</v>
      </c>
      <c r="O21" s="1154">
        <v>2459</v>
      </c>
      <c r="P21" s="1154">
        <v>2459</v>
      </c>
      <c r="Q21" s="1154">
        <v>2459</v>
      </c>
      <c r="R21" s="1154">
        <v>612.1</v>
      </c>
      <c r="S21" s="1154">
        <v>40.81</v>
      </c>
      <c r="T21" s="1154">
        <v>612</v>
      </c>
      <c r="U21" s="1154">
        <v>0</v>
      </c>
      <c r="V21" s="1154" t="s">
        <v>3458</v>
      </c>
    </row>
    <row r="22" spans="1:22">
      <c r="A22" s="1154" t="s">
        <v>3466</v>
      </c>
      <c r="B22" s="1154" t="s">
        <v>3452</v>
      </c>
      <c r="C22" s="1154" t="s">
        <v>3453</v>
      </c>
      <c r="D22" s="1154" t="s">
        <v>3522</v>
      </c>
      <c r="E22" s="1154">
        <v>28151.39</v>
      </c>
      <c r="F22" s="1154">
        <v>28151.39</v>
      </c>
      <c r="G22" s="1154" t="s">
        <v>2471</v>
      </c>
      <c r="H22" s="1154" t="s">
        <v>2471</v>
      </c>
      <c r="I22" s="1154" t="s">
        <v>3505</v>
      </c>
      <c r="J22" s="1154" t="s">
        <v>3457</v>
      </c>
      <c r="K22" s="1154" t="s">
        <v>3458</v>
      </c>
      <c r="L22" s="1154" t="s">
        <v>3523</v>
      </c>
      <c r="M22" s="1154" t="s">
        <v>3460</v>
      </c>
      <c r="N22" s="1154" t="s">
        <v>3524</v>
      </c>
      <c r="O22" s="1154">
        <v>1692</v>
      </c>
      <c r="P22" s="1154">
        <v>1692</v>
      </c>
      <c r="Q22" s="1154">
        <v>1692</v>
      </c>
      <c r="R22" s="1154">
        <v>601.03</v>
      </c>
      <c r="S22" s="1154">
        <v>40.07</v>
      </c>
      <c r="T22" s="1154">
        <v>601</v>
      </c>
      <c r="U22" s="1154">
        <v>0</v>
      </c>
      <c r="V22" s="1154" t="s">
        <v>3458</v>
      </c>
    </row>
    <row r="23" spans="1:22">
      <c r="A23" s="1154" t="s">
        <v>3525</v>
      </c>
      <c r="B23" s="1154" t="s">
        <v>3452</v>
      </c>
      <c r="C23" s="1154" t="s">
        <v>3453</v>
      </c>
      <c r="D23" s="1154" t="s">
        <v>3526</v>
      </c>
      <c r="E23" s="1154">
        <v>60020.89</v>
      </c>
      <c r="F23" s="1154">
        <v>60020.89</v>
      </c>
      <c r="G23" s="1154" t="s">
        <v>2471</v>
      </c>
      <c r="H23" s="1154" t="s">
        <v>2471</v>
      </c>
      <c r="I23" s="1154" t="s">
        <v>3505</v>
      </c>
      <c r="J23" s="1154" t="s">
        <v>3457</v>
      </c>
      <c r="K23" s="1154" t="s">
        <v>3458</v>
      </c>
      <c r="L23" s="1154" t="s">
        <v>3527</v>
      </c>
      <c r="M23" s="1154" t="s">
        <v>3460</v>
      </c>
      <c r="N23" s="1154" t="s">
        <v>3528</v>
      </c>
      <c r="O23" s="1154">
        <v>4052</v>
      </c>
      <c r="P23" s="1154">
        <v>4052</v>
      </c>
      <c r="Q23" s="1154">
        <v>4052</v>
      </c>
      <c r="R23" s="1154">
        <v>675.09</v>
      </c>
      <c r="S23" s="1154">
        <v>45.01</v>
      </c>
      <c r="T23" s="1154">
        <v>675</v>
      </c>
      <c r="U23" s="1154">
        <v>0</v>
      </c>
      <c r="V23" s="1154" t="s">
        <v>3458</v>
      </c>
    </row>
    <row r="24" spans="1:22" ht="13.5" customHeight="1">
      <c r="A24" s="1154" t="s">
        <v>3529</v>
      </c>
      <c r="B24" s="1154" t="s">
        <v>3452</v>
      </c>
      <c r="C24" s="1154" t="s">
        <v>3453</v>
      </c>
      <c r="D24" s="1154" t="s">
        <v>3530</v>
      </c>
      <c r="E24" s="1154">
        <v>32090.959999999999</v>
      </c>
      <c r="F24" s="1154">
        <v>22463.67</v>
      </c>
      <c r="G24" s="1154" t="s">
        <v>2471</v>
      </c>
      <c r="H24" s="1154" t="s">
        <v>2471</v>
      </c>
      <c r="I24" s="1154" t="s">
        <v>3531</v>
      </c>
      <c r="J24" s="1154" t="s">
        <v>3457</v>
      </c>
      <c r="K24" s="1154" t="s">
        <v>3458</v>
      </c>
      <c r="L24" s="1154" t="s">
        <v>3532</v>
      </c>
      <c r="M24" s="1154" t="s">
        <v>3460</v>
      </c>
      <c r="N24" s="1154" t="s">
        <v>3533</v>
      </c>
      <c r="O24" s="1154">
        <v>1647.89</v>
      </c>
      <c r="P24" s="1154">
        <v>1647.89</v>
      </c>
      <c r="Q24" s="1154">
        <v>1647.89</v>
      </c>
      <c r="R24" s="1154">
        <v>513.5</v>
      </c>
      <c r="S24" s="1154">
        <v>34.229999999999997</v>
      </c>
      <c r="T24" s="1154">
        <v>734</v>
      </c>
      <c r="U24" s="1154">
        <v>0</v>
      </c>
      <c r="V24" s="1154" t="s">
        <v>3458</v>
      </c>
    </row>
    <row r="25" spans="1:22">
      <c r="A25" s="1154" t="s">
        <v>3534</v>
      </c>
      <c r="B25" s="1154" t="s">
        <v>3452</v>
      </c>
      <c r="C25" s="1154" t="s">
        <v>3453</v>
      </c>
      <c r="D25" s="1154" t="s">
        <v>3535</v>
      </c>
      <c r="E25" s="1154">
        <v>32552.07</v>
      </c>
      <c r="F25" s="1154">
        <v>22786.45</v>
      </c>
      <c r="G25" s="1154" t="s">
        <v>2471</v>
      </c>
      <c r="H25" s="1154" t="s">
        <v>2471</v>
      </c>
      <c r="I25" s="1154" t="s">
        <v>3531</v>
      </c>
      <c r="J25" s="1154" t="s">
        <v>3457</v>
      </c>
      <c r="K25" s="1154" t="s">
        <v>3458</v>
      </c>
      <c r="L25" s="1154" t="s">
        <v>3532</v>
      </c>
      <c r="M25" s="1154" t="s">
        <v>3460</v>
      </c>
      <c r="N25" s="1154" t="s">
        <v>3536</v>
      </c>
      <c r="O25" s="1154">
        <v>1668.89</v>
      </c>
      <c r="P25" s="1154">
        <v>1668.89</v>
      </c>
      <c r="Q25" s="1154">
        <v>1668.89</v>
      </c>
      <c r="R25" s="1154">
        <v>512.67999999999995</v>
      </c>
      <c r="S25" s="1154">
        <v>34.18</v>
      </c>
      <c r="T25" s="1154">
        <v>732</v>
      </c>
      <c r="U25" s="1154">
        <v>0</v>
      </c>
      <c r="V25" s="1154" t="s">
        <v>3458</v>
      </c>
    </row>
    <row r="26" spans="1:22" s="3151" customFormat="1">
      <c r="A26" s="3151" t="s">
        <v>3537</v>
      </c>
      <c r="B26" s="3151" t="s">
        <v>3452</v>
      </c>
      <c r="C26" s="3151" t="s">
        <v>3453</v>
      </c>
      <c r="D26" s="3151" t="s">
        <v>3538</v>
      </c>
      <c r="E26" s="3151">
        <v>35316.97</v>
      </c>
      <c r="F26" s="3151">
        <v>24721.88</v>
      </c>
      <c r="G26" s="3151" t="s">
        <v>2471</v>
      </c>
      <c r="H26" s="3151" t="s">
        <v>2471</v>
      </c>
      <c r="I26" s="3151" t="s">
        <v>3531</v>
      </c>
      <c r="J26" s="3151" t="s">
        <v>3457</v>
      </c>
      <c r="K26" s="3151" t="s">
        <v>3458</v>
      </c>
      <c r="L26" s="3151" t="s">
        <v>3532</v>
      </c>
      <c r="M26" s="3151" t="s">
        <v>3460</v>
      </c>
      <c r="N26" s="3151" t="s">
        <v>3539</v>
      </c>
      <c r="O26" s="3151">
        <v>1794.89</v>
      </c>
      <c r="P26" s="3151">
        <v>1794.89</v>
      </c>
      <c r="Q26" s="3151">
        <v>1794.89</v>
      </c>
      <c r="R26" s="3151">
        <v>508.22</v>
      </c>
      <c r="S26" s="3151">
        <v>33.880000000000003</v>
      </c>
      <c r="T26" s="3151">
        <v>726</v>
      </c>
      <c r="U26" s="3151">
        <v>0</v>
      </c>
      <c r="V26" s="3151" t="s">
        <v>3458</v>
      </c>
    </row>
    <row r="27" spans="1:22" ht="13.5" customHeight="1">
      <c r="A27" s="1154" t="s">
        <v>3540</v>
      </c>
      <c r="B27" s="1154" t="s">
        <v>3452</v>
      </c>
      <c r="C27" s="1154" t="s">
        <v>3453</v>
      </c>
      <c r="D27" s="1154" t="s">
        <v>3541</v>
      </c>
      <c r="E27" s="1154">
        <v>51638.12</v>
      </c>
      <c r="F27" s="1154">
        <v>51638.12</v>
      </c>
      <c r="G27" s="1154" t="s">
        <v>2471</v>
      </c>
      <c r="H27" s="1154" t="s">
        <v>2471</v>
      </c>
      <c r="I27" s="1154" t="s">
        <v>3505</v>
      </c>
      <c r="J27" s="1154" t="s">
        <v>3457</v>
      </c>
      <c r="K27" s="1154" t="s">
        <v>3458</v>
      </c>
      <c r="L27" s="1154" t="s">
        <v>3542</v>
      </c>
      <c r="M27" s="1154" t="s">
        <v>3460</v>
      </c>
      <c r="N27" s="1154" t="s">
        <v>3543</v>
      </c>
      <c r="O27" s="1154">
        <v>3890.78</v>
      </c>
      <c r="P27" s="1154">
        <v>3890.78</v>
      </c>
      <c r="Q27" s="1154">
        <v>3890.78</v>
      </c>
      <c r="R27" s="1154">
        <v>753.47</v>
      </c>
      <c r="S27" s="1154">
        <v>50.23</v>
      </c>
      <c r="T27" s="1154">
        <v>753</v>
      </c>
      <c r="U27" s="1154">
        <v>0</v>
      </c>
      <c r="V27" s="1154" t="s">
        <v>3458</v>
      </c>
    </row>
    <row r="28" spans="1:22" ht="13.5" customHeight="1">
      <c r="A28" s="1154" t="s">
        <v>3544</v>
      </c>
      <c r="B28" s="1154" t="s">
        <v>3452</v>
      </c>
      <c r="C28" s="1154" t="s">
        <v>3453</v>
      </c>
      <c r="D28" s="1154" t="s">
        <v>3545</v>
      </c>
      <c r="E28" s="1154">
        <v>167443.22</v>
      </c>
      <c r="F28" s="1154">
        <v>167443.22</v>
      </c>
      <c r="G28" s="1154" t="s">
        <v>2471</v>
      </c>
      <c r="H28" s="1154" t="s">
        <v>2471</v>
      </c>
      <c r="I28" s="1154" t="s">
        <v>3505</v>
      </c>
      <c r="J28" s="1154" t="s">
        <v>3457</v>
      </c>
      <c r="K28" s="1154" t="s">
        <v>3458</v>
      </c>
      <c r="L28" s="1154" t="s">
        <v>3546</v>
      </c>
      <c r="M28" s="1154" t="s">
        <v>3460</v>
      </c>
      <c r="N28" s="1154" t="s">
        <v>3543</v>
      </c>
      <c r="O28" s="1154">
        <v>8791</v>
      </c>
      <c r="P28" s="1154">
        <v>10473.07</v>
      </c>
      <c r="Q28" s="1154">
        <v>10473.07</v>
      </c>
      <c r="R28" s="1154">
        <v>625.46</v>
      </c>
      <c r="S28" s="1154">
        <v>41.7</v>
      </c>
      <c r="T28" s="1154">
        <v>625</v>
      </c>
      <c r="U28" s="1154">
        <v>19.13</v>
      </c>
      <c r="V28" s="1154" t="s">
        <v>3458</v>
      </c>
    </row>
    <row r="29" spans="1:22" ht="13.5" customHeight="1">
      <c r="A29" s="1154" t="s">
        <v>3537</v>
      </c>
      <c r="B29" s="1154" t="s">
        <v>3452</v>
      </c>
      <c r="C29" s="1154" t="s">
        <v>3453</v>
      </c>
      <c r="D29" s="1154" t="s">
        <v>3547</v>
      </c>
      <c r="E29" s="1154">
        <v>230947.53</v>
      </c>
      <c r="F29" s="1154">
        <v>161663.26999999999</v>
      </c>
      <c r="G29" s="1154" t="s">
        <v>2471</v>
      </c>
      <c r="H29" s="1154" t="s">
        <v>2471</v>
      </c>
      <c r="I29" s="1154" t="s">
        <v>3531</v>
      </c>
      <c r="J29" s="1154" t="s">
        <v>3457</v>
      </c>
      <c r="K29" s="1154" t="s">
        <v>3458</v>
      </c>
      <c r="L29" s="1154" t="s">
        <v>3546</v>
      </c>
      <c r="M29" s="1154" t="s">
        <v>3460</v>
      </c>
      <c r="N29" s="1154" t="s">
        <v>3548</v>
      </c>
      <c r="O29" s="1154">
        <v>10723</v>
      </c>
      <c r="P29" s="1154">
        <v>10723</v>
      </c>
      <c r="Q29" s="1154">
        <v>10723</v>
      </c>
      <c r="R29" s="1154">
        <v>464.3</v>
      </c>
      <c r="S29" s="1154">
        <v>30.95</v>
      </c>
      <c r="T29" s="1154">
        <v>663</v>
      </c>
      <c r="U29" s="1154">
        <v>0</v>
      </c>
      <c r="V29" s="1154" t="s">
        <v>3458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10" zoomScale="115" zoomScaleNormal="70" zoomScaleSheetLayoutView="115" workbookViewId="0">
      <selection activeCell="I25" sqref="I25"/>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2"/>
      <c r="C1" s="188"/>
      <c r="D1" s="188"/>
      <c r="E1" s="188"/>
      <c r="F1" s="188"/>
      <c r="G1" s="1060">
        <f>MATCH(B1,'数据-取费表'!A6:A16,0)+5</f>
        <v>7</v>
      </c>
    </row>
    <row r="2" spans="1:9" s="190" customFormat="1" ht="18" customHeight="1">
      <c r="A2" s="191" t="s">
        <v>1462</v>
      </c>
      <c r="B2" s="192">
        <f ca="1">IF(D2="——",C52,C52-E2)</f>
        <v>19538</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4472</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2394</v>
      </c>
      <c r="D5" s="201" t="s">
        <v>1469</v>
      </c>
      <c r="E5" s="202" t="s">
        <v>1470</v>
      </c>
      <c r="F5" s="202" t="s">
        <v>1471</v>
      </c>
      <c r="G5" s="203"/>
    </row>
    <row r="6" spans="1:9" s="204" customFormat="1" ht="13.5" customHeight="1">
      <c r="A6" s="730" t="s">
        <v>1472</v>
      </c>
      <c r="B6" s="205" t="s">
        <v>1473</v>
      </c>
      <c r="C6" s="206">
        <f>'土地比较法-工业'!F61</f>
        <v>2154</v>
      </c>
      <c r="D6" s="207"/>
      <c r="E6" s="208"/>
      <c r="F6" s="208"/>
      <c r="G6" s="209"/>
    </row>
    <row r="7" spans="1:9" s="204" customFormat="1" ht="13.5" customHeight="1">
      <c r="A7" s="730" t="s">
        <v>1474</v>
      </c>
      <c r="B7" s="205" t="s">
        <v>1475</v>
      </c>
      <c r="C7" s="210">
        <f>ROUND(C6*F7,0)</f>
        <v>87</v>
      </c>
      <c r="D7" s="210"/>
      <c r="E7" s="208"/>
      <c r="F7" s="211">
        <f>IF(项目基本情况!B8="出让",0,'数据-取费表'!B48+'数据-取费表'!B49)</f>
        <v>4.0500000000000001E-2</v>
      </c>
      <c r="G7" s="209"/>
    </row>
    <row r="8" spans="1:9" s="213" customFormat="1">
      <c r="A8" s="730" t="s">
        <v>1476</v>
      </c>
      <c r="B8" s="205" t="s">
        <v>1477</v>
      </c>
      <c r="C8" s="210">
        <f>IF(G8="已包含在土地购买价格中","0",IF(B1="",'数据-取费表'!B29,IF(G9="全部缴纳",C9+C10,H9)))</f>
        <v>153</v>
      </c>
      <c r="D8" s="212"/>
      <c r="E8" s="210"/>
      <c r="F8" s="211"/>
      <c r="G8" s="1712" t="s">
        <v>3422</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0</v>
      </c>
      <c r="F9" s="211"/>
      <c r="G9" s="1713" t="s">
        <v>3423</v>
      </c>
      <c r="H9" s="1068"/>
      <c r="I9" s="1714" t="s">
        <v>1479</v>
      </c>
    </row>
    <row r="10" spans="1:9" s="204" customFormat="1" ht="13.5" customHeight="1">
      <c r="A10" s="731" t="s">
        <v>356</v>
      </c>
      <c r="B10" s="214" t="s">
        <v>1480</v>
      </c>
      <c r="C10" s="215">
        <f ca="1">ROUND(D10*E10/10000,0)</f>
        <v>153</v>
      </c>
      <c r="D10" s="793">
        <f ca="1">IF(B1="",'数据-汇总表'!E6,IF(INDIRECT("'数据-取费表'!c"&amp;$G$1)="住宅",INDIRECT("'数据-取费表'!s"&amp;$G$1),INDIRECT("'数据-取费表'!k"&amp;$G$1)+INDIRECT("'数据-取费表'!s"&amp;$G$1)))</f>
        <v>43685.850000000006</v>
      </c>
      <c r="E10" s="215">
        <f>'数据-取费表'!B28</f>
        <v>35</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43685.850000000006</v>
      </c>
      <c r="E19" s="201">
        <f>'数据-取费表'!B31</f>
        <v>150</v>
      </c>
      <c r="F19" s="221"/>
      <c r="G19" s="1712" t="s">
        <v>3424</v>
      </c>
    </row>
    <row r="20" spans="1:7" s="204" customFormat="1" ht="13.5" customHeight="1">
      <c r="A20" s="245" t="s">
        <v>1493</v>
      </c>
      <c r="B20" s="200" t="s">
        <v>1494</v>
      </c>
      <c r="C20" s="222">
        <f>ROUND((C5+C19)*F20,0)</f>
        <v>48</v>
      </c>
      <c r="D20" s="222"/>
      <c r="E20" s="222"/>
      <c r="F20" s="223">
        <f>'数据-取费表'!B37</f>
        <v>0.02</v>
      </c>
      <c r="G20" s="224" t="s">
        <v>1495</v>
      </c>
    </row>
    <row r="21" spans="1:7" s="204" customFormat="1" ht="13.5" customHeight="1">
      <c r="A21" s="245" t="s">
        <v>1496</v>
      </c>
      <c r="B21" s="200" t="s">
        <v>1497</v>
      </c>
      <c r="C21" s="225">
        <f>F21</f>
        <v>0.01</v>
      </c>
      <c r="D21" s="226" t="s">
        <v>1498</v>
      </c>
      <c r="E21" s="222"/>
      <c r="F21" s="223">
        <f>'数据-取费表'!B38</f>
        <v>0.01</v>
      </c>
      <c r="G21" s="224" t="s">
        <v>1499</v>
      </c>
    </row>
    <row r="22" spans="1:7" s="204" customFormat="1" ht="13.5" customHeight="1">
      <c r="A22" s="245" t="s">
        <v>1500</v>
      </c>
      <c r="B22" s="200" t="s">
        <v>1501</v>
      </c>
      <c r="C22" s="1039">
        <f ca="1">ROUND(SUM(C23:C25),0)</f>
        <v>75</v>
      </c>
      <c r="D22" s="225">
        <f ca="1">C26</f>
        <v>2.0000000000000001E-4</v>
      </c>
      <c r="E22" s="226" t="s">
        <v>1498</v>
      </c>
      <c r="F22" s="227">
        <f ca="1">'数据-取费表'!B40</f>
        <v>3.1E-2</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74</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v>
      </c>
      <c r="D25" s="228"/>
      <c r="E25" s="231"/>
      <c r="F25" s="229"/>
      <c r="G25" s="232" t="s">
        <v>1510</v>
      </c>
    </row>
    <row r="26" spans="1:7" s="204" customFormat="1">
      <c r="A26" s="732" t="s">
        <v>350</v>
      </c>
      <c r="B26" s="205" t="s">
        <v>1511</v>
      </c>
      <c r="C26" s="228">
        <f ca="1">ROUND(IF('数据-取费表'!B22&lt;=1,F21*F22*'数据-取费表'!B23/2,F21*(POWER((1+F22),'数据-取费表'!B23/2)-1)),4)</f>
        <v>2.0000000000000001E-4</v>
      </c>
      <c r="D26" s="228"/>
      <c r="E26" s="231"/>
      <c r="F26" s="229"/>
      <c r="G26" s="233"/>
    </row>
    <row r="27" spans="1:7" s="204" customFormat="1" ht="26.4">
      <c r="A27" s="245" t="s">
        <v>1512</v>
      </c>
      <c r="B27" s="234" t="s">
        <v>1513</v>
      </c>
      <c r="C27" s="235">
        <f ca="1">C28</f>
        <v>122</v>
      </c>
      <c r="D27" s="225">
        <f ca="1">C29</f>
        <v>5.0000000000000001E-4</v>
      </c>
      <c r="E27" s="226" t="s">
        <v>1514</v>
      </c>
      <c r="F27" s="236">
        <f ca="1">IF(B1="",'数据-取费表'!Q16,INDIRECT("'数据-取费表'!q"&amp;$G$1))</f>
        <v>0.05</v>
      </c>
      <c r="G27" s="237" t="s">
        <v>1515</v>
      </c>
    </row>
    <row r="28" spans="1:7" s="204" customFormat="1" ht="13.5" customHeight="1">
      <c r="A28" s="732" t="s">
        <v>346</v>
      </c>
      <c r="B28" s="238" t="s">
        <v>1516</v>
      </c>
      <c r="C28" s="239">
        <f ca="1">ROUND((C5+C19+C20)*F27*'数据-取费表'!B21/'数据-取费表'!B20,0)</f>
        <v>122</v>
      </c>
      <c r="D28" s="225"/>
      <c r="E28" s="226"/>
      <c r="F28" s="236"/>
      <c r="G28" s="237"/>
    </row>
    <row r="29" spans="1:7" s="204" customFormat="1" ht="13.5" customHeight="1">
      <c r="A29" s="732" t="s">
        <v>347</v>
      </c>
      <c r="B29" s="238" t="s">
        <v>1517</v>
      </c>
      <c r="C29" s="228">
        <f ca="1">ROUND(C21*F27*'数据-取费表'!B21/'数据-取费表'!B20,4)</f>
        <v>5.0000000000000001E-4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2817</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14416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13106</v>
      </c>
      <c r="D34" s="207"/>
      <c r="E34" s="210"/>
      <c r="F34" s="247">
        <f ca="1">IF('数据-取费表'!B24=0,1,IF(B1="",'数据-取费表'!N16,INDIRECT("'数据-取费表'!n"&amp;$G$1)))</f>
        <v>1</v>
      </c>
      <c r="G34" s="209" t="s">
        <v>1526</v>
      </c>
    </row>
    <row r="35" spans="1:7" ht="13.5" customHeight="1">
      <c r="A35" s="732" t="s">
        <v>351</v>
      </c>
      <c r="B35" s="205" t="s">
        <v>1527</v>
      </c>
      <c r="C35" s="210">
        <f ca="1">ROUND(C34*F35,0)</f>
        <v>393</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655</v>
      </c>
      <c r="D37" s="207">
        <f ca="1">D19</f>
        <v>43685.850000000006</v>
      </c>
      <c r="E37" s="239">
        <f>'数据-取费表'!B35</f>
        <v>150</v>
      </c>
      <c r="F37" s="249"/>
      <c r="G37" s="251" t="s">
        <v>1532</v>
      </c>
    </row>
    <row r="38" spans="1:7" ht="13.5" customHeight="1">
      <c r="A38" s="732" t="s">
        <v>354</v>
      </c>
      <c r="B38" s="205" t="s">
        <v>1533</v>
      </c>
      <c r="C38" s="210">
        <f ca="1">ROUND(C34*F38,0)</f>
        <v>262</v>
      </c>
      <c r="D38" s="210"/>
      <c r="E38" s="210"/>
      <c r="F38" s="249">
        <f>'数据-取费表'!B36</f>
        <v>0.02</v>
      </c>
      <c r="G38" s="209" t="s">
        <v>1528</v>
      </c>
    </row>
    <row r="39" spans="1:7" s="204" customFormat="1" ht="13.5" customHeight="1">
      <c r="A39" s="245" t="s">
        <v>1534</v>
      </c>
      <c r="B39" s="200" t="s">
        <v>1535</v>
      </c>
      <c r="C39" s="222">
        <f ca="1">ROUND(C33*F20,0)</f>
        <v>288</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227</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223</v>
      </c>
      <c r="D42" s="228"/>
      <c r="E42" s="228"/>
      <c r="F42" s="229"/>
      <c r="G42" s="3393" t="s">
        <v>1544</v>
      </c>
    </row>
    <row r="43" spans="1:7" ht="13.5" customHeight="1">
      <c r="A43" s="732" t="s">
        <v>347</v>
      </c>
      <c r="B43" s="205" t="s">
        <v>1545</v>
      </c>
      <c r="C43" s="228">
        <f ca="1">ROUND(IF('数据-取费表'!B22&lt;=1,C39*F22*'数据-取费表'!B21/2,C39*(POWER((1+F22),'数据-取费表'!B21/2)-1)),0)</f>
        <v>4</v>
      </c>
      <c r="D43" s="228"/>
      <c r="E43" s="228"/>
      <c r="F43" s="229"/>
      <c r="G43" s="3394"/>
    </row>
    <row r="44" spans="1:7" ht="13.5" customHeight="1">
      <c r="A44" s="732" t="s">
        <v>348</v>
      </c>
      <c r="B44" s="205" t="s">
        <v>1546</v>
      </c>
      <c r="C44" s="228">
        <f ca="1">ROUND(IF('数据-取费表'!B22&lt;=1,C40*F22*'数据-取费表'!B21/2,C40*(POWER((1+F22),'数据-取费表'!B21/2)-1)),4)</f>
        <v>2.0000000000000001E-4</v>
      </c>
      <c r="D44" s="228"/>
      <c r="E44" s="228"/>
      <c r="F44" s="229"/>
      <c r="G44" s="3395"/>
    </row>
    <row r="45" spans="1:7" s="204" customFormat="1" ht="13.5" customHeight="1">
      <c r="A45" s="245" t="s">
        <v>1547</v>
      </c>
      <c r="B45" s="234" t="s">
        <v>1513</v>
      </c>
      <c r="C45" s="235">
        <f ca="1">C46</f>
        <v>735</v>
      </c>
      <c r="D45" s="225">
        <f ca="1">C47</f>
        <v>5.0000000000000001E-4</v>
      </c>
      <c r="E45" s="226" t="s">
        <v>1539</v>
      </c>
      <c r="F45" s="236">
        <f ca="1">F27</f>
        <v>0.05</v>
      </c>
      <c r="G45" s="237" t="s">
        <v>1548</v>
      </c>
    </row>
    <row r="46" spans="1:7" s="204" customFormat="1" ht="13.5" customHeight="1">
      <c r="A46" s="732" t="s">
        <v>346</v>
      </c>
      <c r="B46" s="238" t="s">
        <v>1549</v>
      </c>
      <c r="C46" s="239">
        <f ca="1">ROUND((C33+C39)*F27,0)</f>
        <v>735</v>
      </c>
      <c r="D46" s="253"/>
      <c r="E46" s="226"/>
      <c r="F46" s="236"/>
      <c r="G46" s="237"/>
    </row>
    <row r="47" spans="1:7" s="204" customFormat="1" ht="13.5" customHeight="1">
      <c r="A47" s="732" t="s">
        <v>347</v>
      </c>
      <c r="B47" s="238" t="s">
        <v>1550</v>
      </c>
      <c r="C47" s="228">
        <f ca="1">ROUND(C40*F27,4)</f>
        <v>5.0000000000000001E-4</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16721</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16721</v>
      </c>
      <c r="D51" s="222"/>
      <c r="E51" s="222"/>
      <c r="F51" s="254"/>
      <c r="G51" s="224" t="s">
        <v>1560</v>
      </c>
    </row>
    <row r="52" spans="1:7" s="198" customFormat="1" ht="16.8" thickBot="1">
      <c r="A52" s="255" t="s">
        <v>1561</v>
      </c>
      <c r="B52" s="256"/>
      <c r="C52" s="257">
        <f ca="1">C31+C51</f>
        <v>19538</v>
      </c>
      <c r="D52" s="256"/>
      <c r="E52" s="256"/>
      <c r="F52" s="256"/>
      <c r="G52" s="258"/>
    </row>
    <row r="55" spans="1:7" ht="15">
      <c r="B55" s="260" t="s">
        <v>1562</v>
      </c>
      <c r="C55" s="261"/>
    </row>
    <row r="56" spans="1:7">
      <c r="B56" s="263" t="s">
        <v>802</v>
      </c>
      <c r="C56" s="265">
        <f ca="1">1-C57</f>
        <v>0.14400000000000002</v>
      </c>
    </row>
    <row r="57" spans="1:7">
      <c r="B57" s="263" t="s">
        <v>803</v>
      </c>
      <c r="C57" s="264">
        <f ca="1">ROUND(C51/C52,3)</f>
        <v>0.85599999999999998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2"/>
      <c r="C1" s="1715" t="s">
        <v>1563</v>
      </c>
      <c r="D1" s="188"/>
      <c r="E1" s="188"/>
      <c r="F1" s="188"/>
      <c r="G1" s="1060">
        <f>MATCH(B1,'数据-取费表'!A6:A16,0)+5</f>
        <v>7</v>
      </c>
      <c r="H1" s="996" t="str">
        <f>IF(ISERROR(FIND("住宅",B1)),"非住宅","住宅")</f>
        <v>非住宅</v>
      </c>
    </row>
    <row r="2" spans="1:8" s="190" customFormat="1" ht="18" customHeight="1">
      <c r="A2" s="191" t="s">
        <v>1462</v>
      </c>
      <c r="B2" s="3118">
        <f ca="1">ROUND(IF(D2="——",C52/10000,C52/10000-E2),4)</f>
        <v>17673.910100000001</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4046</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1529005</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4.0500000000000001E-2</v>
      </c>
      <c r="G7" s="209"/>
    </row>
    <row r="8" spans="1:8" s="213" customFormat="1">
      <c r="A8" s="730" t="s">
        <v>1476</v>
      </c>
      <c r="B8" s="205" t="s">
        <v>1477</v>
      </c>
      <c r="C8" s="210">
        <f ca="1">IF(G8="已包含在土地购买价格中",0,C9+C10)</f>
        <v>1529005</v>
      </c>
      <c r="D8" s="212"/>
      <c r="E8" s="210"/>
      <c r="F8" s="211"/>
      <c r="G8" s="1712"/>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0</v>
      </c>
      <c r="F9" s="211"/>
      <c r="G9" s="216"/>
    </row>
    <row r="10" spans="1:8" s="204" customFormat="1" ht="13.5" customHeight="1">
      <c r="A10" s="731" t="s">
        <v>356</v>
      </c>
      <c r="B10" s="214" t="s">
        <v>1480</v>
      </c>
      <c r="C10" s="215">
        <f ca="1">ROUND(D10*E10,0)</f>
        <v>1529005</v>
      </c>
      <c r="D10" s="793">
        <f ca="1">IF(B1="",'数据-汇总表'!E6,IF(INDIRECT("'数据-取费表'!c"&amp;$G$1)="住宅",INDIRECT("'数据-取费表'!s"&amp;$G$1),INDIRECT("'数据-取费表'!k"&amp;$G$1)+INDIRECT("'数据-取费表'!s"&amp;$G$1)))</f>
        <v>43685.850000000006</v>
      </c>
      <c r="E10" s="215">
        <f>'数据-取费表'!B28</f>
        <v>35</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6552878</v>
      </c>
      <c r="D19" s="202">
        <f ca="1">D9+D10</f>
        <v>43685.850000000006</v>
      </c>
      <c r="E19" s="201">
        <f>'数据-取费表'!B31</f>
        <v>150</v>
      </c>
      <c r="F19" s="221"/>
      <c r="G19" s="1712"/>
    </row>
    <row r="20" spans="1:7" s="204" customFormat="1" ht="13.5" customHeight="1">
      <c r="A20" s="245" t="s">
        <v>1574</v>
      </c>
      <c r="B20" s="200" t="s">
        <v>1575</v>
      </c>
      <c r="C20" s="222">
        <f ca="1">ROUND((C5+C19)*F20,0)</f>
        <v>161638</v>
      </c>
      <c r="D20" s="222"/>
      <c r="E20" s="222"/>
      <c r="F20" s="223">
        <f>'数据-取费表'!B37</f>
        <v>0.02</v>
      </c>
      <c r="G20" s="224" t="s">
        <v>1576</v>
      </c>
    </row>
    <row r="21" spans="1:7" s="204" customFormat="1" ht="13.5" customHeight="1">
      <c r="A21" s="245" t="s">
        <v>1577</v>
      </c>
      <c r="B21" s="200" t="s">
        <v>1578</v>
      </c>
      <c r="C21" s="225">
        <f>F21</f>
        <v>0.01</v>
      </c>
      <c r="D21" s="226" t="s">
        <v>1579</v>
      </c>
      <c r="E21" s="222"/>
      <c r="F21" s="223">
        <f>'数据-取费表'!B38</f>
        <v>0.01</v>
      </c>
      <c r="G21" s="224" t="s">
        <v>1580</v>
      </c>
    </row>
    <row r="22" spans="1:7" s="204" customFormat="1" ht="13.5" customHeight="1">
      <c r="A22" s="245" t="s">
        <v>1581</v>
      </c>
      <c r="B22" s="200" t="s">
        <v>1582</v>
      </c>
      <c r="C22" s="222">
        <f ca="1">ROUND(SUM(C23:C25),0)</f>
        <v>253043</v>
      </c>
      <c r="D22" s="225">
        <f ca="1">C26</f>
        <v>2.0000000000000001E-4</v>
      </c>
      <c r="E22" s="226" t="s">
        <v>1579</v>
      </c>
      <c r="F22" s="227">
        <f ca="1">'数据-取费表'!B40</f>
        <v>3.1E-2</v>
      </c>
      <c r="G22" s="224" t="str">
        <f>IF('数据-取费表'!B22&lt;=1,"单利计息","复利计息")</f>
        <v>单利计息</v>
      </c>
    </row>
    <row r="23" spans="1:7" s="204" customFormat="1" ht="13.5" customHeight="1">
      <c r="A23" s="732" t="s">
        <v>1472</v>
      </c>
      <c r="B23" s="205" t="s">
        <v>1583</v>
      </c>
      <c r="C23" s="228">
        <f ca="1">ROUND(IF('数据-取费表'!B22&lt;=1,C5*F22*'数据-取费表'!B22,C5*(POWER((1+F22),'数据-取费表'!B22)-1)),0)</f>
        <v>47399</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203139</v>
      </c>
      <c r="D24" s="228"/>
      <c r="E24" s="228"/>
      <c r="F24" s="229"/>
      <c r="G24" s="230" t="s">
        <v>1586</v>
      </c>
    </row>
    <row r="25" spans="1:7" s="204" customFormat="1" ht="24">
      <c r="A25" s="732" t="s">
        <v>1476</v>
      </c>
      <c r="B25" s="205" t="s">
        <v>1587</v>
      </c>
      <c r="C25" s="228">
        <f ca="1">ROUND(IF('数据-取费表'!B22&lt;=1,C20*F22*'数据-取费表'!B22/2,C20*(POWER((1+F22),'数据-取费表'!B22/2)-1)),0)</f>
        <v>2505</v>
      </c>
      <c r="D25" s="228"/>
      <c r="E25" s="231"/>
      <c r="F25" s="229"/>
      <c r="G25" s="232" t="s">
        <v>1588</v>
      </c>
    </row>
    <row r="26" spans="1:7" s="204" customFormat="1">
      <c r="A26" s="732" t="s">
        <v>350</v>
      </c>
      <c r="B26" s="205" t="s">
        <v>1511</v>
      </c>
      <c r="C26" s="228">
        <f ca="1">ROUND(IF('数据-取费表'!B22&lt;=1,F21*F22*'数据-取费表'!B22/2,F21*(POWER((1+F22),'数据-取费表'!B22/2)-1)),4)</f>
        <v>2.0000000000000001E-4</v>
      </c>
      <c r="D26" s="228"/>
      <c r="E26" s="231"/>
      <c r="F26" s="229"/>
      <c r="G26" s="233"/>
    </row>
    <row r="27" spans="1:7" s="204" customFormat="1" ht="26.4">
      <c r="A27" s="245" t="s">
        <v>1512</v>
      </c>
      <c r="B27" s="234" t="s">
        <v>1513</v>
      </c>
      <c r="C27" s="235">
        <f ca="1">C28</f>
        <v>412176</v>
      </c>
      <c r="D27" s="225">
        <f ca="1">C29</f>
        <v>5.0000000000000001E-4</v>
      </c>
      <c r="E27" s="226" t="s">
        <v>1514</v>
      </c>
      <c r="F27" s="236">
        <f ca="1">IF(B1="",'数据-取费表'!Q16,INDIRECT("'数据-取费表'!q"&amp;$G$1))</f>
        <v>0.05</v>
      </c>
      <c r="G27" s="237" t="s">
        <v>1515</v>
      </c>
    </row>
    <row r="28" spans="1:7" s="204" customFormat="1" ht="13.5" customHeight="1">
      <c r="A28" s="732" t="s">
        <v>346</v>
      </c>
      <c r="B28" s="238" t="s">
        <v>1516</v>
      </c>
      <c r="C28" s="239">
        <f ca="1">ROUND((C5+C19+C20)*F27,0)</f>
        <v>412176</v>
      </c>
      <c r="D28" s="225"/>
      <c r="E28" s="226"/>
      <c r="F28" s="236"/>
      <c r="G28" s="237"/>
    </row>
    <row r="29" spans="1:7" s="204" customFormat="1" ht="13.5" customHeight="1">
      <c r="A29" s="732" t="s">
        <v>347</v>
      </c>
      <c r="B29" s="238" t="s">
        <v>1517</v>
      </c>
      <c r="C29" s="228">
        <f ca="1">ROUND(C21*F27,4)</f>
        <v>5.0000000000000001E-4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9508742</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144163306</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131057550</v>
      </c>
      <c r="D34" s="207"/>
      <c r="E34" s="210"/>
      <c r="F34" s="247"/>
      <c r="G34" s="209"/>
    </row>
    <row r="35" spans="1:7" ht="13.5" customHeight="1">
      <c r="A35" s="732" t="s">
        <v>351</v>
      </c>
      <c r="B35" s="205" t="s">
        <v>1527</v>
      </c>
      <c r="C35" s="210">
        <f ca="1">ROUND(C34*F35,0)</f>
        <v>3931727</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6552878</v>
      </c>
      <c r="D37" s="207">
        <f ca="1">D19</f>
        <v>43685.850000000006</v>
      </c>
      <c r="E37" s="239">
        <f>'数据-取费表'!B35</f>
        <v>150</v>
      </c>
      <c r="F37" s="249"/>
      <c r="G37" s="251"/>
    </row>
    <row r="38" spans="1:7" ht="13.5" customHeight="1">
      <c r="A38" s="732" t="s">
        <v>354</v>
      </c>
      <c r="B38" s="205" t="s">
        <v>1533</v>
      </c>
      <c r="C38" s="210">
        <f ca="1">ROUND(C34*F38,0)</f>
        <v>2621151</v>
      </c>
      <c r="D38" s="210"/>
      <c r="E38" s="210"/>
      <c r="F38" s="249">
        <f>'数据-取费表'!B36</f>
        <v>0.02</v>
      </c>
      <c r="G38" s="209" t="s">
        <v>1528</v>
      </c>
    </row>
    <row r="39" spans="1:7" s="204" customFormat="1" ht="13.5" customHeight="1">
      <c r="A39" s="245" t="s">
        <v>1534</v>
      </c>
      <c r="B39" s="200" t="s">
        <v>1535</v>
      </c>
      <c r="C39" s="222">
        <f ca="1">ROUND(C33*F20,0)</f>
        <v>2883266</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2279222</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ROUND(IF('数据-取费表'!B22&lt;=1,C33*F22*'数据-取费表'!B20/2,C33*(POWER((1+F22),'数据-取费表'!B20/2)-1)),0)</f>
        <v>2234531</v>
      </c>
      <c r="D42" s="228"/>
      <c r="E42" s="228"/>
      <c r="F42" s="229"/>
      <c r="G42" s="3393" t="s">
        <v>1591</v>
      </c>
    </row>
    <row r="43" spans="1:7" ht="13.5" customHeight="1">
      <c r="A43" s="732" t="s">
        <v>347</v>
      </c>
      <c r="B43" s="205" t="s">
        <v>1545</v>
      </c>
      <c r="C43" s="228">
        <f ca="1">ROUND(IF('数据-取费表'!B22&lt;=1,C39*F22*'数据-取费表'!B20/2,C39*(POWER((1+F22),'数据-取费表'!B20/2)-1)),0)</f>
        <v>44691</v>
      </c>
      <c r="D43" s="228"/>
      <c r="E43" s="228"/>
      <c r="F43" s="229"/>
      <c r="G43" s="3394"/>
    </row>
    <row r="44" spans="1:7" ht="13.5" customHeight="1">
      <c r="A44" s="732" t="s">
        <v>348</v>
      </c>
      <c r="B44" s="205" t="s">
        <v>1546</v>
      </c>
      <c r="C44" s="228">
        <f ca="1">ROUND(IF('数据-取费表'!B22&lt;=1,C40*F22*'数据-取费表'!B20/2,C40*(POWER((1+F22),'数据-取费表'!B20/2)-1)),4)</f>
        <v>2.0000000000000001E-4</v>
      </c>
      <c r="D44" s="228"/>
      <c r="E44" s="228"/>
      <c r="F44" s="229"/>
      <c r="G44" s="3395"/>
    </row>
    <row r="45" spans="1:7" s="204" customFormat="1" ht="13.5" customHeight="1">
      <c r="A45" s="245" t="s">
        <v>1547</v>
      </c>
      <c r="B45" s="234" t="s">
        <v>1513</v>
      </c>
      <c r="C45" s="235">
        <f ca="1">C46</f>
        <v>7352329</v>
      </c>
      <c r="D45" s="225">
        <f ca="1">C47</f>
        <v>5.0000000000000001E-4</v>
      </c>
      <c r="E45" s="226" t="s">
        <v>1539</v>
      </c>
      <c r="F45" s="236">
        <f ca="1">F27</f>
        <v>0.05</v>
      </c>
      <c r="G45" s="237" t="s">
        <v>1548</v>
      </c>
    </row>
    <row r="46" spans="1:7" s="204" customFormat="1" ht="13.5" customHeight="1">
      <c r="A46" s="732" t="s">
        <v>346</v>
      </c>
      <c r="B46" s="238" t="s">
        <v>1549</v>
      </c>
      <c r="C46" s="239">
        <f ca="1">ROUND((C33+C39)*F27,0)</f>
        <v>7352329</v>
      </c>
      <c r="D46" s="253"/>
      <c r="E46" s="226"/>
      <c r="F46" s="236"/>
      <c r="G46" s="237"/>
    </row>
    <row r="47" spans="1:7" s="204" customFormat="1" ht="13.5" customHeight="1">
      <c r="A47" s="732" t="s">
        <v>347</v>
      </c>
      <c r="B47" s="238" t="s">
        <v>1550</v>
      </c>
      <c r="C47" s="228">
        <f ca="1">ROUND(C40*F27,4)</f>
        <v>5.0000000000000001E-4</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167230359</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167230359</v>
      </c>
      <c r="D51" s="222"/>
      <c r="E51" s="222"/>
      <c r="F51" s="254"/>
      <c r="G51" s="224" t="s">
        <v>1560</v>
      </c>
    </row>
    <row r="52" spans="1:7" s="198" customFormat="1" ht="16.8" thickBot="1">
      <c r="A52" s="255" t="s">
        <v>1561</v>
      </c>
      <c r="B52" s="256"/>
      <c r="C52" s="257">
        <f ca="1">C31+C51</f>
        <v>176739101</v>
      </c>
      <c r="D52" s="256"/>
      <c r="E52" s="256"/>
      <c r="F52" s="256"/>
      <c r="G52" s="258"/>
    </row>
    <row r="55" spans="1:7" ht="15">
      <c r="B55" s="260" t="s">
        <v>1562</v>
      </c>
      <c r="C55" s="261"/>
    </row>
    <row r="56" spans="1:7">
      <c r="B56" s="263" t="s">
        <v>802</v>
      </c>
      <c r="C56" s="265">
        <f ca="1">1-C57</f>
        <v>5.4000000000000048E-2</v>
      </c>
    </row>
    <row r="57" spans="1:7">
      <c r="B57" s="263" t="s">
        <v>803</v>
      </c>
      <c r="C57" s="26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8"/>
      <c r="D1" s="1107"/>
      <c r="E1" s="2563"/>
      <c r="F1" s="2563"/>
      <c r="G1" s="2444"/>
      <c r="H1" s="2563"/>
      <c r="I1" s="2563"/>
      <c r="J1" s="2563"/>
      <c r="K1" s="2564">
        <f>MATCH(C1,'数据-取费表'!A6:A16,0)+5</f>
        <v>7</v>
      </c>
    </row>
    <row r="2" spans="1:33" ht="18" customHeight="1">
      <c r="A2" s="191" t="s">
        <v>1462</v>
      </c>
      <c r="B2" s="194">
        <f ca="1">C32</f>
        <v>0</v>
      </c>
      <c r="C2" s="266" t="s">
        <v>1595</v>
      </c>
      <c r="D2" s="266"/>
      <c r="E2" s="2563"/>
      <c r="F2" s="2563"/>
      <c r="G2" s="2563"/>
      <c r="H2" s="2563"/>
      <c r="I2" s="2563"/>
      <c r="J2" s="2563"/>
      <c r="K2" s="2563"/>
    </row>
    <row r="3" spans="1:33" ht="18" customHeight="1" thickBot="1">
      <c r="A3" s="193" t="s">
        <v>1464</v>
      </c>
      <c r="B3" s="194">
        <f ca="1">ROUND(B2*10000/IF(C1="",'数据-汇总表'!E3,INDIRECT("'数据-取费表'!K"&amp;$K$1)),0)</f>
        <v>0</v>
      </c>
      <c r="C3" s="266" t="s">
        <v>1596</v>
      </c>
      <c r="D3" s="266"/>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43685.850000000006</v>
      </c>
      <c r="E14" s="21">
        <f>'数据-取费表'!B35</f>
        <v>150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43685.850000000006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153</v>
      </c>
      <c r="D20" s="794">
        <f ca="1">IF(C1="",'数据-汇总表'!E6,IF(INDIRECT("'数据-取费表'!c"&amp;$K$1)="住宅",INDIRECT("'数据-取费表'!s"&amp;$K$1),INDIRECT("'数据-取费表'!k"&amp;$K$1)+INDIRECT("'数据-取费表'!s"&amp;$K$1)))</f>
        <v>43685.850000000006</v>
      </c>
      <c r="E20" s="21">
        <f>'数据-取费表'!B28</f>
        <v>35</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0.01</v>
      </c>
      <c r="G23" s="5" t="s">
        <v>1633</v>
      </c>
      <c r="H23" s="747"/>
      <c r="I23" s="747"/>
      <c r="J23" s="747"/>
      <c r="K23" s="748"/>
    </row>
    <row r="24" spans="1:33" s="753" customFormat="1" ht="13.5" customHeight="1">
      <c r="A24" s="742" t="s">
        <v>1634</v>
      </c>
      <c r="B24" s="763" t="s">
        <v>1635</v>
      </c>
      <c r="C24" s="270">
        <f>ROUND(F24/(1+'数据-取费表'!C42),4)</f>
        <v>3.8600000000000002E-2</v>
      </c>
      <c r="D24" s="271" t="s">
        <v>12</v>
      </c>
      <c r="E24" s="271"/>
      <c r="F24" s="766">
        <f>IF(项目基本情况!B8="出让",0,'数据-取费表'!B48+'数据-取费表'!B49)</f>
        <v>4.0500000000000001E-2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0.05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6" zoomScale="85" zoomScaleNormal="70" zoomScaleSheetLayoutView="85" workbookViewId="0">
      <selection activeCell="J40" sqref="J40"/>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3418</v>
      </c>
      <c r="D1" s="1269" t="s">
        <v>43</v>
      </c>
      <c r="E1" s="1270" t="s">
        <v>678</v>
      </c>
      <c r="F1" s="997">
        <f ca="1">J53</f>
        <v>46.32</v>
      </c>
      <c r="G1" s="1284">
        <f>MATCH(C1,'数据-取费表'!A6:A16,0)+5</f>
        <v>6</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11837</v>
      </c>
      <c r="C2" s="1287" t="s">
        <v>805</v>
      </c>
      <c r="D2" s="1287"/>
      <c r="E2" s="1293"/>
      <c r="F2" s="1294"/>
      <c r="G2" s="2474"/>
      <c r="H2" s="2464"/>
      <c r="I2" s="2464"/>
      <c r="J2" s="2464"/>
      <c r="K2" s="2465"/>
      <c r="L2" s="2464"/>
      <c r="M2" s="2464"/>
    </row>
    <row r="3" spans="1:37" ht="18" customHeight="1" thickBot="1">
      <c r="A3" s="1295" t="s">
        <v>806</v>
      </c>
      <c r="B3" s="1296">
        <f ca="1">IF(ISERROR(B2*10000/F43),0,ROUND(B2*10000/F43,0))</f>
        <v>2710</v>
      </c>
      <c r="C3" s="1287" t="s">
        <v>807</v>
      </c>
      <c r="D3" s="1287"/>
      <c r="E3" s="1293"/>
      <c r="F3" s="1294"/>
      <c r="G3" s="2474"/>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790</v>
      </c>
      <c r="D5" s="1271" t="s">
        <v>693</v>
      </c>
      <c r="E5" s="1006"/>
      <c r="F5" s="1007"/>
      <c r="G5" s="1290"/>
      <c r="H5" s="289">
        <v>1</v>
      </c>
      <c r="I5" s="290" t="s">
        <v>692</v>
      </c>
      <c r="J5" s="1005">
        <f ca="1">J6+J10+J12</f>
        <v>0</v>
      </c>
      <c r="K5" s="1271" t="s">
        <v>693</v>
      </c>
      <c r="L5" s="1006"/>
      <c r="M5" s="1007"/>
    </row>
    <row r="6" spans="1:37" ht="18" customHeight="1">
      <c r="A6" s="1004" t="s">
        <v>398</v>
      </c>
      <c r="B6" s="3398" t="s">
        <v>694</v>
      </c>
      <c r="C6" s="1009">
        <f ca="1">ROUND(F6*F8*F7*(1-F9)/10000,0)</f>
        <v>789</v>
      </c>
      <c r="D6" s="145" t="s">
        <v>2108</v>
      </c>
      <c r="E6" s="292" t="s">
        <v>696</v>
      </c>
      <c r="F6" s="293">
        <f ca="1">INDIRECT("'数据-取费表'!u"&amp;$G$1)</f>
        <v>0.55000000000000004</v>
      </c>
      <c r="G6" s="1290"/>
      <c r="H6" s="1004" t="s">
        <v>398</v>
      </c>
      <c r="I6" s="3398" t="s">
        <v>694</v>
      </c>
      <c r="J6" s="291">
        <f ca="1">ROUND(M6*M8*M7*(1-M9)/10000,0)</f>
        <v>0</v>
      </c>
      <c r="K6" s="145" t="s">
        <v>2107</v>
      </c>
      <c r="L6" s="292" t="s">
        <v>696</v>
      </c>
      <c r="M6" s="293">
        <f ca="1">INDIRECT("'数据-取费表'!z"&amp;$G$1)</f>
        <v>0</v>
      </c>
    </row>
    <row r="7" spans="1:37" ht="18" customHeight="1">
      <c r="A7" s="1008"/>
      <c r="B7" s="3399"/>
      <c r="C7" s="1010"/>
      <c r="D7" s="297"/>
      <c r="E7" s="1011" t="s">
        <v>697</v>
      </c>
      <c r="F7" s="293">
        <f ca="1">IF(INDIRECT("'数据-取费表'!ah"&amp;$G$1)="",INDIRECT("'数据-取费表'!k"&amp;$G$1),INDIRECT("'数据-取费表'!ah"&amp;$G$1))</f>
        <v>43685.850000000006</v>
      </c>
      <c r="G7" s="1290"/>
      <c r="H7" s="294"/>
      <c r="I7" s="3399"/>
      <c r="J7" s="296"/>
      <c r="K7" s="297"/>
      <c r="L7" s="292" t="s">
        <v>697</v>
      </c>
      <c r="M7" s="293">
        <f ca="1">F7</f>
        <v>43685.850000000006</v>
      </c>
    </row>
    <row r="8" spans="1:37" ht="18" customHeight="1">
      <c r="A8" s="294"/>
      <c r="B8" s="3399"/>
      <c r="C8" s="296"/>
      <c r="D8" s="297"/>
      <c r="E8" s="292" t="s">
        <v>698</v>
      </c>
      <c r="F8" s="293">
        <f ca="1">INDIRECT("'数据-取费表'!ai"&amp;$G$1)</f>
        <v>365</v>
      </c>
      <c r="G8" s="1290"/>
      <c r="H8" s="294"/>
      <c r="I8" s="3399"/>
      <c r="J8" s="296"/>
      <c r="K8" s="297"/>
      <c r="L8" s="292" t="s">
        <v>698</v>
      </c>
      <c r="M8" s="293">
        <f ca="1">INDIRECT("'数据-取费表'!ai"&amp;$G$1)</f>
        <v>365</v>
      </c>
    </row>
    <row r="9" spans="1:37" ht="18" customHeight="1">
      <c r="A9" s="294"/>
      <c r="B9" s="3400"/>
      <c r="C9" s="296"/>
      <c r="D9" s="297"/>
      <c r="E9" s="292" t="s">
        <v>699</v>
      </c>
      <c r="F9" s="302">
        <f ca="1">INDIRECT("'数据-取费表'!w"&amp;$G$1)</f>
        <v>0.1</v>
      </c>
      <c r="G9" s="1290"/>
      <c r="H9" s="294"/>
      <c r="I9" s="3400"/>
      <c r="J9" s="296"/>
      <c r="K9" s="297"/>
      <c r="L9" s="303" t="s">
        <v>699</v>
      </c>
      <c r="M9" s="304">
        <f ca="1">INDIRECT("'数据-取费表'!ab"&amp;$G$1)</f>
        <v>0</v>
      </c>
    </row>
    <row r="10" spans="1:37" ht="18" customHeight="1">
      <c r="A10" s="1004" t="s">
        <v>402</v>
      </c>
      <c r="B10" s="1272" t="s">
        <v>700</v>
      </c>
      <c r="C10" s="306">
        <f ca="1">ROUND(IF(F10="押一",C6/12*F11,IF(F10="押二",C6/12*2*F11,IF(F10="押三",C6/12*3*F11,C11*F11))),0)</f>
        <v>1</v>
      </c>
      <c r="D10" s="148" t="s">
        <v>2116</v>
      </c>
      <c r="E10" s="303" t="s">
        <v>701</v>
      </c>
      <c r="F10" s="1051" t="s">
        <v>3419</v>
      </c>
      <c r="G10" s="1290"/>
      <c r="H10" s="1004" t="s">
        <v>402</v>
      </c>
      <c r="I10" s="1272" t="s">
        <v>700</v>
      </c>
      <c r="J10" s="291">
        <f ca="1">ROUND(IF(M10="押一",J6/12*M11,IF(M10="押二",J6/12*2*M11,IF(M10="押三",J6/12*3*M11,J11*M11))),0)</f>
        <v>0</v>
      </c>
      <c r="K10" s="148" t="s">
        <v>2115</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16721</v>
      </c>
      <c r="D13" s="1016" t="s">
        <v>705</v>
      </c>
      <c r="E13" s="1016" t="s">
        <v>706</v>
      </c>
      <c r="F13" s="1017">
        <f ca="1">INDIRECT("'数据-取费表'!y"&amp;$G$1)</f>
        <v>1</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13106</v>
      </c>
      <c r="D14" s="1255" t="s">
        <v>708</v>
      </c>
      <c r="E14" s="1253"/>
      <c r="F14" s="309"/>
      <c r="G14" s="1290"/>
      <c r="H14" s="926" t="s">
        <v>398</v>
      </c>
      <c r="I14" s="292" t="s">
        <v>709</v>
      </c>
      <c r="J14" s="21">
        <f ca="1">C29</f>
        <v>16721</v>
      </c>
      <c r="K14" s="12"/>
      <c r="L14" s="757"/>
      <c r="M14" s="758"/>
    </row>
    <row r="15" spans="1:37" s="1302" customFormat="1" ht="18" customHeight="1" thickBot="1">
      <c r="A15" s="926" t="s">
        <v>399</v>
      </c>
      <c r="B15" s="292" t="s">
        <v>710</v>
      </c>
      <c r="C15" s="21">
        <f ca="1">ROUND(C14*F15,0)</f>
        <v>393</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36</v>
      </c>
      <c r="K16" s="1022" t="s">
        <v>715</v>
      </c>
      <c r="L16" s="1023"/>
      <c r="M16" s="1007"/>
    </row>
    <row r="17" spans="1:37" s="1302" customFormat="1" ht="18" customHeight="1">
      <c r="A17" s="926" t="s">
        <v>681</v>
      </c>
      <c r="B17" s="292" t="s">
        <v>716</v>
      </c>
      <c r="C17" s="21">
        <f ca="1">ROUND(F17*(F43+INDIRECT("'数据-取费表'!S"&amp;$G$1))/10000,0)</f>
        <v>655</v>
      </c>
      <c r="D17" s="292" t="s">
        <v>717</v>
      </c>
      <c r="E17" s="292" t="s">
        <v>718</v>
      </c>
      <c r="F17" s="23">
        <f>'数据-取费表'!B35</f>
        <v>150</v>
      </c>
      <c r="G17" s="1301"/>
      <c r="H17" s="926" t="s">
        <v>398</v>
      </c>
      <c r="I17" s="292" t="s">
        <v>719</v>
      </c>
      <c r="J17" s="2138">
        <f ca="1">ROUND(IF(AND(项目基本情况!B11="自然人",项目基本情况!B10="北京市"),J6*M17/(1+'数据-取费表'!C42),J18+J19+J20),2)</f>
        <v>2.65</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262</v>
      </c>
      <c r="D18" s="292" t="s">
        <v>711</v>
      </c>
      <c r="E18" s="292" t="s">
        <v>712</v>
      </c>
      <c r="F18" s="312">
        <f>'数据-取费表'!B36</f>
        <v>0.02</v>
      </c>
      <c r="G18" s="1301"/>
      <c r="H18" s="926" t="s">
        <v>397</v>
      </c>
      <c r="I18" s="292" t="s">
        <v>723</v>
      </c>
      <c r="J18" s="21">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14416</v>
      </c>
      <c r="D19" s="121" t="s">
        <v>726</v>
      </c>
      <c r="E19" s="1267"/>
      <c r="F19" s="23"/>
      <c r="G19" s="1290"/>
      <c r="H19" s="926" t="s">
        <v>399</v>
      </c>
      <c r="I19" s="292" t="s">
        <v>727</v>
      </c>
      <c r="J19" s="21">
        <f ca="1">IF(K19="按租金收入计税",ROUND(J6*M19/(1+'数据-取费表'!C42),2),ROUND(C29*M19*0.7,2))</f>
        <v>0</v>
      </c>
      <c r="K19" s="1276" t="s">
        <v>3328</v>
      </c>
      <c r="L19" s="292" t="s">
        <v>712</v>
      </c>
      <c r="M19" s="312">
        <f>IF(K19="按租金收入计税",'数据-取费表'!B51,'数据-取费表'!B50)</f>
        <v>0.12</v>
      </c>
    </row>
    <row r="20" spans="1:37" s="1302" customFormat="1" ht="18" customHeight="1">
      <c r="A20" s="926" t="s">
        <v>402</v>
      </c>
      <c r="B20" s="292" t="s">
        <v>728</v>
      </c>
      <c r="C20" s="21">
        <f ca="1">ROUND(C19*F20,0)</f>
        <v>288</v>
      </c>
      <c r="D20" s="313" t="s">
        <v>729</v>
      </c>
      <c r="E20" s="292" t="s">
        <v>712</v>
      </c>
      <c r="F20" s="312">
        <f>'数据-取费表'!B37</f>
        <v>0.02</v>
      </c>
      <c r="G20" s="1301"/>
      <c r="H20" s="926" t="s">
        <v>680</v>
      </c>
      <c r="I20" s="145" t="s">
        <v>730</v>
      </c>
      <c r="J20" s="22">
        <f ca="1">ROUND(M20*M21/10000,2)</f>
        <v>2.65</v>
      </c>
      <c r="K20" s="314" t="s">
        <v>731</v>
      </c>
      <c r="L20" s="292" t="s">
        <v>732</v>
      </c>
      <c r="M20" s="315">
        <f>'数据-取费表'!B52</f>
        <v>0.75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0.01</v>
      </c>
      <c r="G21" s="1301"/>
      <c r="H21" s="316"/>
      <c r="I21" s="301"/>
      <c r="J21" s="26"/>
      <c r="K21" s="317"/>
      <c r="L21" s="292" t="s">
        <v>736</v>
      </c>
      <c r="M21" s="293">
        <f ca="1">INDIRECT("'数据-取费表'!r"&amp;$G$1)</f>
        <v>35316.97</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ROUND(J14*M22,2)</f>
        <v>33.44</v>
      </c>
      <c r="K22" s="1254" t="s">
        <v>739</v>
      </c>
      <c r="L22" s="292" t="s">
        <v>712</v>
      </c>
      <c r="M22" s="318">
        <f ca="1">INDIRECT("'数据-取费表'!Ak"&amp;$G$1)</f>
        <v>2E-3</v>
      </c>
    </row>
    <row r="23" spans="1:37" s="1302" customFormat="1" ht="18" customHeight="1">
      <c r="A23" s="926" t="s">
        <v>397</v>
      </c>
      <c r="B23" s="292" t="s">
        <v>740</v>
      </c>
      <c r="C23" s="21">
        <f ca="1">IF('数据-取费表'!B22&lt;=1,ROUND(C19*F24*F23/2,0)+ROUND(C20*F24*F23/2,0),ROUND(C19*(POWER((1+F24),F23/2)-1),0)+ROUND(C20*(POWER((1+F24),F23/2)-1),0))</f>
        <v>227</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f ca="1">J5-J16</f>
        <v>-36</v>
      </c>
      <c r="K25" s="1030" t="s">
        <v>753</v>
      </c>
      <c r="L25" s="1031"/>
      <c r="M25" s="1032"/>
    </row>
    <row r="26" spans="1:37">
      <c r="A26" s="926" t="s">
        <v>397</v>
      </c>
      <c r="B26" s="292" t="s">
        <v>754</v>
      </c>
      <c r="C26" s="21">
        <f ca="1">ROUND((C19+C20)*F26,0)</f>
        <v>735</v>
      </c>
      <c r="D26" s="313" t="s">
        <v>755</v>
      </c>
      <c r="E26" s="303" t="s">
        <v>756</v>
      </c>
      <c r="F26" s="302">
        <f ca="1">INDIRECT("'数据-取费表'!q"&amp;$G$1)</f>
        <v>0.05</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1">
        <f ca="1">ROUND(F21*F26,4)</f>
        <v>5.0000000000000001E-4</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16721</v>
      </c>
      <c r="D29" s="1027"/>
      <c r="E29" s="1025"/>
      <c r="F29" s="1028"/>
      <c r="G29" s="1301"/>
      <c r="H29" s="323" t="s">
        <v>396</v>
      </c>
      <c r="I29" s="324" t="s">
        <v>768</v>
      </c>
      <c r="J29" s="325">
        <f ca="1">ROUND(J26/(1+F40)^F41,0)</f>
        <v>0</v>
      </c>
      <c r="K29" s="326" t="s">
        <v>769</v>
      </c>
      <c r="L29" s="327"/>
      <c r="M29" s="328">
        <f ca="1">INDIRECT("'数据-取费表'!k"&amp;$G$1)</f>
        <v>43685.850000000006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188</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ROUND(IF(AND(项目基本情况!B11="自然人",项目基本情况!B10="北京市"),C6*F31/(1+'数据-取费表'!C42),C32+C33+C34),2)</f>
        <v>134.15</v>
      </c>
      <c r="D31" s="1255" t="s">
        <v>720</v>
      </c>
      <c r="E31" s="1254" t="s">
        <v>770</v>
      </c>
      <c r="F31" s="2137" t="str">
        <f>IF(项目基本情况!B11="企业","——",IF(M47="住宅",IF(F6*F7*F8/12/(1+'数据-取费表'!F30)&gt;100000,4%,2.5%),IF(F6*F7*F8/12/(1+'数据-取费表'!F30)&gt;100000,12%,7%)))</f>
        <v>——</v>
      </c>
      <c r="G31" s="1290"/>
      <c r="H31" s="2565" t="s">
        <v>2298</v>
      </c>
      <c r="I31" s="1303"/>
      <c r="J31" s="1304"/>
      <c r="K31" s="119"/>
      <c r="L31" s="2467"/>
      <c r="M31" s="2468"/>
    </row>
    <row r="32" spans="1:37" ht="18" customHeight="1">
      <c r="A32" s="926" t="s">
        <v>397</v>
      </c>
      <c r="B32" s="292" t="s">
        <v>723</v>
      </c>
      <c r="C32" s="21">
        <f ca="1">IF(项目基本情况!B11="自然人","——",ROUND(C6*F32/(1+'数据-取费表'!C42),2))</f>
        <v>41.33</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IF(项目基本情况!B11="自然人","——",IF(D33="按租金收入计税",ROUND(C6*F33/(1+'数据-取费表'!C42),2),IF(D33="按房产原值计税",ROUND(C29*F33*0.7,2),INDIRECT("'数据-取费表'!Aj"&amp;$G$1))))</f>
        <v>90.17</v>
      </c>
      <c r="D33" s="1276" t="s">
        <v>3328</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IF(项目基本情况!B11="自然人","——",ROUND(F34*F35/10000,2))</f>
        <v>2.65</v>
      </c>
      <c r="D34" s="314" t="s">
        <v>731</v>
      </c>
      <c r="E34" s="292" t="s">
        <v>732</v>
      </c>
      <c r="F34" s="315">
        <f>'数据-取费表'!B52</f>
        <v>0.75</v>
      </c>
      <c r="G34" s="1290"/>
      <c r="H34" s="2466"/>
      <c r="I34" s="1303"/>
      <c r="J34" s="1304"/>
      <c r="K34" s="2471"/>
      <c r="L34" s="2472"/>
      <c r="M34" s="2472"/>
    </row>
    <row r="35" spans="1:18" ht="18" customHeight="1">
      <c r="A35" s="1038"/>
      <c r="B35" s="1036"/>
      <c r="C35" s="26"/>
      <c r="D35" s="317"/>
      <c r="E35" s="292" t="s">
        <v>736</v>
      </c>
      <c r="F35" s="293">
        <f ca="1">INDIRECT("'数据-取费表'!r"&amp;$G$1)</f>
        <v>35316.97</v>
      </c>
      <c r="G35" s="1290"/>
      <c r="H35" s="2466"/>
      <c r="I35" s="1303"/>
      <c r="J35" s="1304"/>
      <c r="K35" s="2470"/>
      <c r="L35" s="2469"/>
      <c r="M35" s="2469"/>
    </row>
    <row r="36" spans="1:18" ht="18" customHeight="1">
      <c r="A36" s="1037" t="s">
        <v>402</v>
      </c>
      <c r="B36" s="292" t="s">
        <v>738</v>
      </c>
      <c r="C36" s="21">
        <f ca="1">ROUND(C29*F36,2)</f>
        <v>33.44</v>
      </c>
      <c r="D36" s="1254" t="s">
        <v>771</v>
      </c>
      <c r="E36" s="292" t="s">
        <v>712</v>
      </c>
      <c r="F36" s="318">
        <f ca="1">INDIRECT("'数据-取费表'!Ak"&amp;$G$1)</f>
        <v>2E-3</v>
      </c>
      <c r="G36" s="1290"/>
      <c r="H36" s="2469"/>
      <c r="I36" s="1303"/>
      <c r="J36" s="1304"/>
      <c r="K36" s="2327"/>
      <c r="L36" s="2469"/>
      <c r="M36" s="2469"/>
    </row>
    <row r="37" spans="1:18" ht="18" customHeight="1">
      <c r="A37" s="926" t="s">
        <v>437</v>
      </c>
      <c r="B37" s="292" t="s">
        <v>742</v>
      </c>
      <c r="C37" s="21">
        <f ca="1">ROUND(C13*F37,2)</f>
        <v>16.72</v>
      </c>
      <c r="D37" s="1254" t="s">
        <v>743</v>
      </c>
      <c r="E37" s="292" t="s">
        <v>744</v>
      </c>
      <c r="F37" s="319">
        <f ca="1">INDIRECT("'数据-取费表'!Al"&amp;$G$1)</f>
        <v>1E-3</v>
      </c>
      <c r="G37" s="1290"/>
      <c r="H37" s="2469"/>
      <c r="I37" s="1303"/>
      <c r="J37" s="1304"/>
      <c r="K37" s="2327"/>
      <c r="L37" s="2469"/>
      <c r="M37" s="2469"/>
    </row>
    <row r="38" spans="1:18" ht="18" customHeight="1" thickBot="1">
      <c r="A38" s="1024" t="s">
        <v>684</v>
      </c>
      <c r="B38" s="1025" t="s">
        <v>728</v>
      </c>
      <c r="C38" s="1026">
        <f ca="1">ROUND(C5*F38,2)</f>
        <v>3.95</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0">
        <f ca="1">C5-C30</f>
        <v>602</v>
      </c>
      <c r="D39" s="1030" t="s">
        <v>773</v>
      </c>
      <c r="E39" s="1031"/>
      <c r="F39" s="1032"/>
      <c r="G39" s="1290"/>
      <c r="H39" s="2469"/>
      <c r="I39" s="1303">
        <f ca="1">C39/C5</f>
        <v>0.76202531645569616</v>
      </c>
      <c r="J39" s="1304"/>
      <c r="K39" s="2467"/>
      <c r="L39" s="2469"/>
      <c r="M39" s="2469"/>
    </row>
    <row r="40" spans="1:18" ht="18" customHeight="1">
      <c r="A40" s="289" t="s">
        <v>395</v>
      </c>
      <c r="B40" s="290" t="s">
        <v>774</v>
      </c>
      <c r="C40" s="291">
        <f ca="1">ROUND(C39*(1-((1+F42)/(1+F40))^F41)/(F40-F42),0)</f>
        <v>11602</v>
      </c>
      <c r="D40" s="314" t="s">
        <v>758</v>
      </c>
      <c r="E40" s="292" t="s">
        <v>759</v>
      </c>
      <c r="F40" s="302">
        <f ca="1">INDIRECT("'数据-取费表'!I"&amp;$G$1)</f>
        <v>5.5E-2</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46.32</v>
      </c>
      <c r="G41" s="1290"/>
      <c r="H41" s="119"/>
      <c r="I41" s="1303"/>
      <c r="J41" s="1304"/>
      <c r="K41" s="2327"/>
      <c r="L41" s="119"/>
      <c r="M41" s="119"/>
    </row>
    <row r="42" spans="1:18" ht="18" customHeight="1">
      <c r="A42" s="298"/>
      <c r="B42" s="299"/>
      <c r="C42" s="300"/>
      <c r="D42" s="317"/>
      <c r="E42" s="292" t="s">
        <v>766</v>
      </c>
      <c r="F42" s="302">
        <f ca="1">INDIRECT("'数据-取费表'!v"&amp;$G$1)</f>
        <v>0.01</v>
      </c>
      <c r="G42" s="1290"/>
      <c r="H42" s="119"/>
      <c r="I42" s="1303"/>
      <c r="J42" s="1304"/>
      <c r="K42" s="2327"/>
      <c r="L42" s="119"/>
      <c r="M42" s="119"/>
    </row>
    <row r="43" spans="1:18" ht="18" customHeight="1" thickBot="1">
      <c r="A43" s="323" t="s">
        <v>396</v>
      </c>
      <c r="B43" s="324" t="s">
        <v>776</v>
      </c>
      <c r="C43" s="325">
        <f ca="1">ROUND(C40*10000/F43,0)</f>
        <v>2656</v>
      </c>
      <c r="D43" s="326" t="s">
        <v>777</v>
      </c>
      <c r="E43" s="327" t="s">
        <v>778</v>
      </c>
      <c r="F43" s="328">
        <f ca="1">INDIRECT("'数据-取费表'!k"&amp;$G$1)</f>
        <v>43685.850000000006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3" t="s">
        <v>808</v>
      </c>
      <c r="P45" s="1364"/>
      <c r="Q45" s="1364"/>
      <c r="R45" s="1364"/>
    </row>
    <row r="46" spans="1:18" s="1290" customFormat="1" ht="13.8" thickBot="1">
      <c r="A46" s="1309" t="s">
        <v>809</v>
      </c>
      <c r="C46" s="1310">
        <f ca="1">C68-C40</f>
        <v>-12485</v>
      </c>
      <c r="D46" s="1311" t="str">
        <f>C2</f>
        <v>万元</v>
      </c>
      <c r="E46" s="1305"/>
      <c r="F46" s="1305"/>
      <c r="I46" s="1312" t="s">
        <v>810</v>
      </c>
      <c r="J46" s="1313"/>
      <c r="K46" s="1314"/>
      <c r="L46" s="1315">
        <f ca="1">IF(M47="住宅",0,IF(L48&gt;J51,L60,J60))</f>
        <v>235</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3420</v>
      </c>
      <c r="K47" s="1321" t="s">
        <v>816</v>
      </c>
      <c r="L47" s="1322">
        <f ca="1">INDIRECT("'数据-取费表'!d"&amp;$G$1)</f>
        <v>50</v>
      </c>
      <c r="M47" s="1286" t="str">
        <f>IF(ISNUMBER(FIND("住宅",C1)),"住宅","非住宅")</f>
        <v>非住宅</v>
      </c>
      <c r="O47" s="1323" t="s">
        <v>403</v>
      </c>
      <c r="P47" s="1324" t="s">
        <v>817</v>
      </c>
      <c r="Q47" s="1325">
        <f ca="1">C40+J29</f>
        <v>11602</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t="s">
        <v>3421</v>
      </c>
      <c r="K48" s="1328" t="s">
        <v>820</v>
      </c>
      <c r="L48" s="1329">
        <f ca="1">INDIRECT("'数据-取费表'!f"&amp;$G$1)</f>
        <v>46.32</v>
      </c>
      <c r="O48" s="1323" t="s">
        <v>404</v>
      </c>
      <c r="P48" s="1324" t="s">
        <v>821</v>
      </c>
      <c r="Q48" s="1325">
        <f ca="1">J60</f>
        <v>235</v>
      </c>
      <c r="R48" s="1325" t="s">
        <v>822</v>
      </c>
    </row>
    <row r="49" spans="1:18" s="1290" customFormat="1" ht="13.8" thickBot="1">
      <c r="A49" s="919" t="s">
        <v>439</v>
      </c>
      <c r="B49" s="1277" t="s">
        <v>779</v>
      </c>
      <c r="C49" s="1049">
        <f ca="1">ROUND(F49*F51*F50*(1-F52)/10000,0)</f>
        <v>0</v>
      </c>
      <c r="D49" s="990" t="s">
        <v>2109</v>
      </c>
      <c r="E49" s="1278" t="s">
        <v>780</v>
      </c>
      <c r="F49" s="995"/>
      <c r="H49" s="680"/>
      <c r="I49" s="1326" t="s">
        <v>823</v>
      </c>
      <c r="J49" s="1330">
        <v>2024</v>
      </c>
      <c r="K49" s="1328" t="s">
        <v>824</v>
      </c>
      <c r="L49" s="1331"/>
      <c r="O49" s="1332" t="s">
        <v>405</v>
      </c>
      <c r="P49" s="1324" t="s">
        <v>825</v>
      </c>
      <c r="Q49" s="1325">
        <f ca="1">C29</f>
        <v>16721</v>
      </c>
      <c r="R49" s="1325" t="s">
        <v>818</v>
      </c>
    </row>
    <row r="50" spans="1:18" s="1290" customFormat="1" ht="13.8" thickBot="1">
      <c r="A50" s="920"/>
      <c r="B50" s="923"/>
      <c r="C50" s="1053"/>
      <c r="D50" s="897"/>
      <c r="E50" s="991" t="s">
        <v>697</v>
      </c>
      <c r="F50" s="992">
        <f ca="1">F7</f>
        <v>43685.850000000006</v>
      </c>
      <c r="H50" s="680"/>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3">
        <f ca="1">F8</f>
        <v>365</v>
      </c>
      <c r="I51" s="1336" t="s">
        <v>829</v>
      </c>
      <c r="J51" s="1329">
        <f>IF(J49="",J50,J49+J50-YEAR('数据-取费表'!B2))</f>
        <v>60</v>
      </c>
      <c r="K51" s="1337" t="s">
        <v>830</v>
      </c>
      <c r="L51" s="1338">
        <f ca="1">ROUND(-PV(INDIRECT("'数据-取费表'!h"&amp;$G$1),J51,(C39-C13*C76),0),0)</f>
        <v>-11732</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46.32</v>
      </c>
      <c r="R52" s="1325" t="s">
        <v>835</v>
      </c>
    </row>
    <row r="53" spans="1:18" s="1290" customFormat="1" ht="36.6" thickBot="1">
      <c r="A53" s="1077" t="s">
        <v>440</v>
      </c>
      <c r="B53" s="1279" t="s">
        <v>700</v>
      </c>
      <c r="C53" s="306">
        <f ca="1">ROUND(IF(F53="押一",C49/12*F11,IF(F53="押二",C49/12*2*F11,IF(F53="押三",C49/12*3*F11,C54*F11))),0)</f>
        <v>0</v>
      </c>
      <c r="D53" s="148" t="s">
        <v>2115</v>
      </c>
      <c r="E53" s="303" t="s">
        <v>701</v>
      </c>
      <c r="F53" s="1051"/>
      <c r="I53" s="1342" t="s">
        <v>836</v>
      </c>
      <c r="J53" s="2004">
        <f ca="1">IF(M47="住宅",IF(D1="——",MAX(J51,L48),MAX(J51,L48-'数据-取费表'!B24)),IF(D1="——",MIN(J51,L48),MIN(J51,L48-'数据-取费表'!B24)))</f>
        <v>46.32</v>
      </c>
      <c r="K53" s="3396" t="s">
        <v>837</v>
      </c>
      <c r="L53" s="3397"/>
      <c r="O53" s="1323" t="s">
        <v>409</v>
      </c>
      <c r="P53" s="1324" t="s">
        <v>838</v>
      </c>
      <c r="Q53" s="1325">
        <f ca="1">Q47+Q48</f>
        <v>11837</v>
      </c>
      <c r="R53" s="1325" t="s">
        <v>410</v>
      </c>
    </row>
    <row r="54" spans="1:18" s="1290" customFormat="1" ht="24.6"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f ca="1">ROUND(IF(J47="钢混",J57/J50,1-(1-2%)*(J50-J57)/J50),3)</f>
        <v>0.22800000000000001</v>
      </c>
      <c r="K55" s="1348" t="s">
        <v>841</v>
      </c>
      <c r="L55" s="1349"/>
      <c r="O55" s="1316" t="s">
        <v>811</v>
      </c>
      <c r="P55" s="1317" t="s">
        <v>812</v>
      </c>
      <c r="Q55" s="1318" t="s">
        <v>813</v>
      </c>
      <c r="R55" s="1318" t="s">
        <v>814</v>
      </c>
    </row>
    <row r="56" spans="1:18" s="1290" customFormat="1" ht="37.200000000000003" thickTop="1" thickBot="1">
      <c r="A56" s="901">
        <v>2</v>
      </c>
      <c r="B56" s="902" t="s">
        <v>704</v>
      </c>
      <c r="C56" s="222">
        <f ca="1">C13</f>
        <v>16721</v>
      </c>
      <c r="D56" s="1350"/>
      <c r="E56" s="1351"/>
      <c r="F56" s="1343"/>
      <c r="I56" s="1352" t="s">
        <v>842</v>
      </c>
      <c r="J56" s="1353"/>
      <c r="K56" s="1326" t="s">
        <v>843</v>
      </c>
      <c r="L56" s="1329" t="str">
        <f ca="1">IF(L48&lt;J51,"——",L48-J53)</f>
        <v>——</v>
      </c>
      <c r="O56" s="1323" t="s">
        <v>403</v>
      </c>
      <c r="P56" s="1324" t="s">
        <v>817</v>
      </c>
      <c r="Q56" s="1325">
        <f ca="1">C40+J29</f>
        <v>11602</v>
      </c>
      <c r="R56" s="1325" t="s">
        <v>818</v>
      </c>
    </row>
    <row r="57" spans="1:18" s="1290" customFormat="1" ht="24.6" thickBot="1">
      <c r="A57" s="1354"/>
      <c r="B57" s="894" t="s">
        <v>767</v>
      </c>
      <c r="C57" s="228">
        <f ca="1">C29</f>
        <v>16721</v>
      </c>
      <c r="D57" s="1355"/>
      <c r="E57" s="1356"/>
      <c r="F57" s="1357"/>
      <c r="I57" s="1358" t="s">
        <v>844</v>
      </c>
      <c r="J57" s="1359">
        <f ca="1">IF(OR(M47="住宅",J51&lt;L48,J56="是"),"——",J51-L48)</f>
        <v>13.68</v>
      </c>
      <c r="K57" s="1326" t="s">
        <v>845</v>
      </c>
      <c r="L57" s="1329" t="str">
        <f ca="1">IF(L48&lt;J51,"——",IF(L55="比较法",L49,IF(L55="基准地价",L50,L51)))</f>
        <v>——</v>
      </c>
      <c r="O57" s="1323" t="s">
        <v>404</v>
      </c>
      <c r="P57" s="1324" t="s">
        <v>846</v>
      </c>
      <c r="Q57" s="1325">
        <f ca="1">L60</f>
        <v>0</v>
      </c>
      <c r="R57" s="1325" t="s">
        <v>847</v>
      </c>
    </row>
    <row r="58" spans="1:18" s="1290" customFormat="1" ht="24.6" thickBot="1">
      <c r="A58" s="305" t="s">
        <v>393</v>
      </c>
      <c r="B58" s="902" t="s">
        <v>714</v>
      </c>
      <c r="C58" s="306">
        <f ca="1">ROUND(C59+C64+C65+C66,0)</f>
        <v>53</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3</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6688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0">
        <f t="shared" ref="F60:F66" si="0">F32</f>
        <v>5.5000000000000007E-2</v>
      </c>
      <c r="I60" s="1361" t="s">
        <v>853</v>
      </c>
      <c r="J60" s="1362">
        <f ca="1">IF(OR(M47="住宅",J51&lt;L48,J56="是"),"0",ROUND(J59/(1+J52)^J53,0))</f>
        <v>235</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3328</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2.65</v>
      </c>
      <c r="D62" s="909" t="s">
        <v>786</v>
      </c>
      <c r="E62" s="894" t="s">
        <v>787</v>
      </c>
      <c r="F62" s="315">
        <f t="shared" si="0"/>
        <v>0.75</v>
      </c>
      <c r="I62" s="1365" t="s">
        <v>858</v>
      </c>
      <c r="J62" s="608" t="s">
        <v>859</v>
      </c>
      <c r="K62" s="608" t="s">
        <v>860</v>
      </c>
      <c r="L62" s="608" t="s">
        <v>861</v>
      </c>
      <c r="M62" s="1366" t="s">
        <v>862</v>
      </c>
      <c r="O62" s="1323" t="s">
        <v>409</v>
      </c>
      <c r="P62" s="1324" t="s">
        <v>863</v>
      </c>
      <c r="Q62" s="1325">
        <f ca="1">Q56+Q57</f>
        <v>11602</v>
      </c>
      <c r="R62" s="1325" t="s">
        <v>410</v>
      </c>
    </row>
    <row r="63" spans="1:18" s="1290" customFormat="1" ht="13.8" thickBot="1">
      <c r="A63" s="316"/>
      <c r="B63" s="900"/>
      <c r="C63" s="26"/>
      <c r="D63" s="910"/>
      <c r="E63" s="894" t="s">
        <v>788</v>
      </c>
      <c r="F63" s="293">
        <f t="shared" ca="1" si="0"/>
        <v>35316.97</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ROUND(C57*F64,2)</f>
        <v>33.44</v>
      </c>
      <c r="D64" s="908" t="s">
        <v>791</v>
      </c>
      <c r="E64" s="894" t="s">
        <v>783</v>
      </c>
      <c r="F64" s="318">
        <f t="shared" ca="1" si="0"/>
        <v>2E-3</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ROUND(C56*F65,2)</f>
        <v>16.72</v>
      </c>
      <c r="D65" s="908" t="s">
        <v>743</v>
      </c>
      <c r="E65" s="894" t="s">
        <v>744</v>
      </c>
      <c r="F65" s="319">
        <f t="shared" ca="1" si="0"/>
        <v>1E-3</v>
      </c>
      <c r="I65" s="1365" t="s">
        <v>867</v>
      </c>
      <c r="J65" s="608">
        <v>40</v>
      </c>
      <c r="K65" s="608">
        <v>30</v>
      </c>
      <c r="L65" s="608">
        <v>50</v>
      </c>
      <c r="M65" s="1367">
        <v>0.02</v>
      </c>
      <c r="O65" s="1323" t="s">
        <v>403</v>
      </c>
      <c r="P65" s="1324" t="s">
        <v>868</v>
      </c>
      <c r="Q65" s="1325">
        <f ca="1">C40+J29</f>
        <v>11602</v>
      </c>
      <c r="R65" s="1325" t="s">
        <v>818</v>
      </c>
    </row>
    <row r="66" spans="1:18" s="1290" customFormat="1" ht="16.2" thickBot="1">
      <c r="A66" s="926" t="s">
        <v>793</v>
      </c>
      <c r="B66" s="894" t="s">
        <v>728</v>
      </c>
      <c r="C66" s="21">
        <f ca="1">ROUND(C48*F66,2)</f>
        <v>0</v>
      </c>
      <c r="D66" s="908" t="s">
        <v>794</v>
      </c>
      <c r="E66" s="894" t="s">
        <v>712</v>
      </c>
      <c r="F66" s="302">
        <f t="shared" ca="1" si="0"/>
        <v>5.0000000000000001E-3</v>
      </c>
      <c r="O66" s="1323" t="s">
        <v>404</v>
      </c>
      <c r="P66" s="1324" t="s">
        <v>846</v>
      </c>
      <c r="Q66" s="1325">
        <f ca="1">L60</f>
        <v>0</v>
      </c>
      <c r="R66" s="1325" t="s">
        <v>869</v>
      </c>
    </row>
    <row r="67" spans="1:18" s="1290" customFormat="1" ht="24.6" thickBot="1">
      <c r="A67" s="901" t="s">
        <v>394</v>
      </c>
      <c r="B67" s="911" t="s">
        <v>752</v>
      </c>
      <c r="C67" s="306">
        <f ca="1">C48-C58</f>
        <v>-53</v>
      </c>
      <c r="D67" s="907" t="s">
        <v>753</v>
      </c>
      <c r="E67" s="912"/>
      <c r="F67" s="913"/>
      <c r="O67" s="1332" t="s">
        <v>405</v>
      </c>
      <c r="P67" s="1324" t="s">
        <v>850</v>
      </c>
      <c r="Q67" s="1368">
        <f ca="1">L51</f>
        <v>-11732</v>
      </c>
      <c r="R67" s="1325" t="s">
        <v>870</v>
      </c>
    </row>
    <row r="68" spans="1:18" s="1290" customFormat="1" ht="16.2" thickBot="1">
      <c r="A68" s="891" t="s">
        <v>395</v>
      </c>
      <c r="B68" s="892" t="s">
        <v>774</v>
      </c>
      <c r="C68" s="291">
        <f ca="1">ROUND(C67*(1-((1+F70)/(1+F68))^F69)/(F68-F70),0)</f>
        <v>-883</v>
      </c>
      <c r="D68" s="909" t="s">
        <v>758</v>
      </c>
      <c r="E68" s="894" t="s">
        <v>759</v>
      </c>
      <c r="F68" s="302">
        <f ca="1">F40</f>
        <v>5.5E-2</v>
      </c>
      <c r="O68" s="1332" t="s">
        <v>406</v>
      </c>
      <c r="P68" s="1369" t="s">
        <v>871</v>
      </c>
      <c r="Q68" s="1325">
        <f ca="1">ROUND(Q69-Q70*Q71,0)</f>
        <v>-568</v>
      </c>
      <c r="R68" s="1325" t="s">
        <v>414</v>
      </c>
    </row>
    <row r="69" spans="1:18" s="1290" customFormat="1" ht="13.8" thickBot="1">
      <c r="A69" s="895"/>
      <c r="B69" s="896"/>
      <c r="C69" s="296"/>
      <c r="D69" s="914" t="s">
        <v>762</v>
      </c>
      <c r="E69" s="894" t="s">
        <v>763</v>
      </c>
      <c r="F69" s="322">
        <f ca="1">F41</f>
        <v>46.32</v>
      </c>
      <c r="O69" s="1332" t="s">
        <v>411</v>
      </c>
      <c r="P69" s="1369" t="s">
        <v>872</v>
      </c>
      <c r="Q69" s="1325">
        <f ca="1">C39</f>
        <v>602</v>
      </c>
      <c r="R69" s="1325" t="s">
        <v>818</v>
      </c>
    </row>
    <row r="70" spans="1:18" s="1290" customFormat="1" ht="13.8" thickBot="1">
      <c r="A70" s="898"/>
      <c r="B70" s="899"/>
      <c r="C70" s="300"/>
      <c r="D70" s="910"/>
      <c r="E70" s="894" t="s">
        <v>766</v>
      </c>
      <c r="F70" s="989"/>
      <c r="O70" s="1332" t="s">
        <v>412</v>
      </c>
      <c r="P70" s="1369" t="s">
        <v>873</v>
      </c>
      <c r="Q70" s="1325">
        <f ca="1">C13</f>
        <v>16721</v>
      </c>
      <c r="R70" s="1325" t="s">
        <v>818</v>
      </c>
    </row>
    <row r="71" spans="1:18" s="1290" customFormat="1" ht="13.8" thickBot="1">
      <c r="A71" s="915" t="s">
        <v>396</v>
      </c>
      <c r="B71" s="916" t="s">
        <v>776</v>
      </c>
      <c r="C71" s="325">
        <f ca="1">ROUND(C68*10000/F71,0)</f>
        <v>-202</v>
      </c>
      <c r="D71" s="917" t="s">
        <v>777</v>
      </c>
      <c r="E71" s="918" t="s">
        <v>778</v>
      </c>
      <c r="F71" s="328">
        <f ca="1">F43</f>
        <v>43685.850000000006</v>
      </c>
      <c r="O71" s="1332" t="s">
        <v>413</v>
      </c>
      <c r="P71" s="1369" t="s">
        <v>874</v>
      </c>
      <c r="Q71" s="1335">
        <f ca="1">C76</f>
        <v>7.0000000000000007E-2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1170</v>
      </c>
      <c r="D75" s="1290"/>
      <c r="E75" s="1290"/>
      <c r="F75" s="1290"/>
      <c r="K75" s="1307"/>
      <c r="L75" s="1290"/>
      <c r="O75" s="1323" t="s">
        <v>409</v>
      </c>
      <c r="P75" s="1324" t="s">
        <v>838</v>
      </c>
      <c r="Q75" s="1325">
        <f ca="1">Q65+Q66</f>
        <v>11602</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-0.94399999999999995</v>
      </c>
    </row>
    <row r="80" spans="1:18">
      <c r="B80" s="329" t="s">
        <v>800</v>
      </c>
      <c r="C80" s="264">
        <f ca="1">ROUND(C75/C39,3)</f>
        <v>1.944</v>
      </c>
    </row>
    <row r="81" spans="2:3">
      <c r="B81" s="260" t="s">
        <v>801</v>
      </c>
      <c r="C81" s="228"/>
    </row>
    <row r="82" spans="2:3">
      <c r="B82" s="263" t="s">
        <v>802</v>
      </c>
      <c r="C82" s="265">
        <f ca="1">1-C83</f>
        <v>-0.44100000000000006</v>
      </c>
    </row>
    <row r="83" spans="2:3">
      <c r="B83" s="263" t="s">
        <v>803</v>
      </c>
      <c r="C83" s="264">
        <f ca="1">ROUND(C13/C40,3)</f>
        <v>1.4410000000000001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c r="D1" s="1269" t="s">
        <v>43</v>
      </c>
      <c r="E1" s="1270" t="s">
        <v>678</v>
      </c>
      <c r="F1" s="997">
        <f ca="1">J53</f>
        <v>0</v>
      </c>
      <c r="G1" s="1284">
        <f>MATCH(C1,'数据-取费表'!A6:A16,0)+5</f>
        <v>7</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9" t="e">
        <f ca="1">ROUND(D2/10000,4)</f>
        <v>#DIV/0!</v>
      </c>
      <c r="C2" s="1287" t="s">
        <v>879</v>
      </c>
      <c r="D2" s="1373" t="e">
        <f ca="1">C40+J29+L46</f>
        <v>#DIV/0!</v>
      </c>
      <c r="E2" s="1293" t="s">
        <v>880</v>
      </c>
      <c r="F2" s="1294"/>
      <c r="G2" s="2474"/>
      <c r="H2" s="2464"/>
      <c r="I2" s="2464"/>
      <c r="J2" s="2464"/>
      <c r="K2" s="2465"/>
      <c r="L2" s="2464"/>
      <c r="M2" s="2464"/>
    </row>
    <row r="3" spans="1:37" ht="18" customHeight="1" thickBot="1">
      <c r="A3" s="1295" t="s">
        <v>881</v>
      </c>
      <c r="B3" s="1296">
        <f ca="1">IF(ISERROR(D2/F43),0,ROUND(D2/F43,0))</f>
        <v>0</v>
      </c>
      <c r="C3" s="1287" t="s">
        <v>882</v>
      </c>
      <c r="D3" s="1287"/>
      <c r="E3" s="1293"/>
      <c r="F3" s="1294"/>
      <c r="G3" s="2474"/>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0</v>
      </c>
      <c r="D5" s="1271" t="s">
        <v>889</v>
      </c>
      <c r="E5" s="1006"/>
      <c r="F5" s="1007"/>
      <c r="G5" s="1290"/>
      <c r="H5" s="289">
        <v>1</v>
      </c>
      <c r="I5" s="290" t="s">
        <v>888</v>
      </c>
      <c r="J5" s="1005">
        <f ca="1">J6+J10+J12</f>
        <v>0</v>
      </c>
      <c r="K5" s="1271" t="s">
        <v>889</v>
      </c>
      <c r="L5" s="1006"/>
      <c r="M5" s="1007"/>
    </row>
    <row r="6" spans="1:37" ht="18" customHeight="1">
      <c r="A6" s="1004" t="s">
        <v>398</v>
      </c>
      <c r="B6" s="3398" t="s">
        <v>694</v>
      </c>
      <c r="C6" s="1009">
        <f ca="1">ROUND(F6*F8*F7*(1-F9),0)</f>
        <v>0</v>
      </c>
      <c r="D6" s="145" t="s">
        <v>2105</v>
      </c>
      <c r="E6" s="292" t="s">
        <v>696</v>
      </c>
      <c r="F6" s="293">
        <f ca="1">INDIRECT("'数据-取费表'!u"&amp;$G$1)</f>
        <v>0</v>
      </c>
      <c r="G6" s="1290"/>
      <c r="H6" s="1004" t="s">
        <v>398</v>
      </c>
      <c r="I6" s="3398" t="s">
        <v>694</v>
      </c>
      <c r="J6" s="291">
        <f ca="1">ROUND(M6*M8*M7*(1-M9),0)</f>
        <v>0</v>
      </c>
      <c r="K6" s="1282" t="s">
        <v>2106</v>
      </c>
      <c r="L6" s="292" t="s">
        <v>696</v>
      </c>
      <c r="M6" s="293">
        <f ca="1">INDIRECT("'数据-取费表'!z"&amp;$G$1)</f>
        <v>0</v>
      </c>
    </row>
    <row r="7" spans="1:37" ht="18" customHeight="1">
      <c r="A7" s="1008"/>
      <c r="B7" s="3399"/>
      <c r="C7" s="1010"/>
      <c r="D7" s="297"/>
      <c r="E7" s="1011" t="s">
        <v>697</v>
      </c>
      <c r="F7" s="293">
        <f ca="1">IF(INDIRECT("'数据-取费表'!ah"&amp;$G$1)="",INDIRECT("'数据-取费表'!k"&amp;$G$1),INDIRECT("'数据-取费表'!ah"&amp;$G$1))</f>
        <v>0</v>
      </c>
      <c r="G7" s="1290"/>
      <c r="H7" s="294"/>
      <c r="I7" s="3399"/>
      <c r="J7" s="296"/>
      <c r="K7" s="297"/>
      <c r="L7" s="292" t="s">
        <v>697</v>
      </c>
      <c r="M7" s="293">
        <f ca="1">F7</f>
        <v>0</v>
      </c>
    </row>
    <row r="8" spans="1:37" ht="18" customHeight="1">
      <c r="A8" s="294"/>
      <c r="B8" s="3399"/>
      <c r="C8" s="296"/>
      <c r="D8" s="297"/>
      <c r="E8" s="292" t="s">
        <v>698</v>
      </c>
      <c r="F8" s="293">
        <f ca="1">INDIRECT("'数据-取费表'!ai"&amp;$G$1)</f>
        <v>0</v>
      </c>
      <c r="G8" s="1290"/>
      <c r="H8" s="294"/>
      <c r="I8" s="3399"/>
      <c r="J8" s="296"/>
      <c r="K8" s="297"/>
      <c r="L8" s="292" t="s">
        <v>698</v>
      </c>
      <c r="M8" s="293">
        <f ca="1">INDIRECT("'数据-取费表'!ai"&amp;$G$1)</f>
        <v>0</v>
      </c>
    </row>
    <row r="9" spans="1:37" ht="18" customHeight="1">
      <c r="A9" s="294"/>
      <c r="B9" s="3400"/>
      <c r="C9" s="296"/>
      <c r="D9" s="297"/>
      <c r="E9" s="292" t="s">
        <v>699</v>
      </c>
      <c r="F9" s="302">
        <f ca="1">INDIRECT("'数据-取费表'!w"&amp;$G$1)</f>
        <v>0</v>
      </c>
      <c r="G9" s="1290"/>
      <c r="H9" s="294"/>
      <c r="I9" s="3400"/>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2115</v>
      </c>
      <c r="E10" s="303" t="s">
        <v>701</v>
      </c>
      <c r="F10" s="1051"/>
      <c r="G10" s="1290"/>
      <c r="H10" s="1004" t="s">
        <v>402</v>
      </c>
      <c r="I10" s="1272" t="s">
        <v>700</v>
      </c>
      <c r="J10" s="291">
        <f ca="1">ROUND(IF(M10="押一",J6/12*M11,IF(M10="押二",J6/12*2*M11,IF(M10="押三",J6/12*3*M11,J11*M11))),0)</f>
        <v>0</v>
      </c>
      <c r="K10" s="1283" t="s">
        <v>2117</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2" t="s">
        <v>707</v>
      </c>
      <c r="C14" s="308">
        <f ca="1">ROUND(INDIRECT("'数据-取费表'!l"&amp;$G$1)*F43+'数据-取费表'!L14*INDIRECT("'数据-取费表'!S"&amp;$G$1),0)</f>
        <v>0</v>
      </c>
      <c r="D14" s="1255" t="s">
        <v>708</v>
      </c>
      <c r="E14" s="1253"/>
      <c r="F14" s="309"/>
      <c r="G14" s="1290"/>
      <c r="H14" s="926" t="s">
        <v>398</v>
      </c>
      <c r="I14" s="292" t="s">
        <v>709</v>
      </c>
      <c r="J14" s="21">
        <f ca="1">C29</f>
        <v>0</v>
      </c>
      <c r="K14" s="12"/>
      <c r="L14" s="757"/>
      <c r="M14" s="758"/>
    </row>
    <row r="15" spans="1:37" s="1302" customFormat="1" ht="18" customHeight="1" thickBot="1">
      <c r="A15" s="926" t="s">
        <v>399</v>
      </c>
      <c r="B15" s="292" t="s">
        <v>710</v>
      </c>
      <c r="C15" s="21">
        <f ca="1">ROUND(C14*F15,0)</f>
        <v>0</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90"/>
      <c r="H16" s="1014" t="s">
        <v>393</v>
      </c>
      <c r="I16" s="1015" t="s">
        <v>714</v>
      </c>
      <c r="J16" s="300">
        <f ca="1">ROUND(J17+J22+J23+J24,0)</f>
        <v>0</v>
      </c>
      <c r="K16" s="1022" t="s">
        <v>715</v>
      </c>
      <c r="L16" s="1023"/>
      <c r="M16" s="1007"/>
    </row>
    <row r="17" spans="1:37" s="1302" customFormat="1" ht="18" customHeight="1">
      <c r="A17" s="926" t="s">
        <v>681</v>
      </c>
      <c r="B17" s="292" t="s">
        <v>716</v>
      </c>
      <c r="C17" s="21">
        <f ca="1">ROUND(F17*(F43+INDIRECT("'数据-取费表'!S"&amp;$G$1)),0)</f>
        <v>0</v>
      </c>
      <c r="D17" s="292" t="s">
        <v>717</v>
      </c>
      <c r="E17" s="292" t="s">
        <v>718</v>
      </c>
      <c r="F17" s="23">
        <f>'数据-取费表'!B35</f>
        <v>150</v>
      </c>
      <c r="G17" s="1301"/>
      <c r="H17" s="926" t="s">
        <v>398</v>
      </c>
      <c r="I17" s="292"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0</v>
      </c>
      <c r="D18" s="292" t="s">
        <v>711</v>
      </c>
      <c r="E18" s="292" t="s">
        <v>712</v>
      </c>
      <c r="F18" s="312">
        <f>'数据-取费表'!B36</f>
        <v>0.02</v>
      </c>
      <c r="G18" s="1301"/>
      <c r="H18" s="926" t="s">
        <v>397</v>
      </c>
      <c r="I18" s="292" t="s">
        <v>723</v>
      </c>
      <c r="J18" s="21">
        <f ca="1">ROUND(J6*M18/(1+'数据-取费表'!C42),0)</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0</v>
      </c>
      <c r="D19" s="121" t="s">
        <v>726</v>
      </c>
      <c r="E19" s="1267"/>
      <c r="F19" s="23"/>
      <c r="G19" s="1290"/>
      <c r="H19" s="926" t="s">
        <v>399</v>
      </c>
      <c r="I19" s="292" t="s">
        <v>727</v>
      </c>
      <c r="J19" s="21">
        <f ca="1">IF(K19="按租金收入计税",ROUND(J6*M19/(1+'数据-取费表'!C42),0),ROUND(C29*M19*0.7,0))</f>
        <v>0</v>
      </c>
      <c r="K19" s="1276" t="s">
        <v>3328</v>
      </c>
      <c r="L19" s="292" t="s">
        <v>712</v>
      </c>
      <c r="M19" s="312">
        <f>IF(K19="按租金收入计税",'数据-取费表'!B51,'数据-取费表'!B50)</f>
        <v>0.12</v>
      </c>
    </row>
    <row r="20" spans="1:37" s="1302" customFormat="1" ht="18" customHeight="1">
      <c r="A20" s="926" t="s">
        <v>402</v>
      </c>
      <c r="B20" s="292" t="s">
        <v>728</v>
      </c>
      <c r="C20" s="21">
        <f ca="1">ROUND(C19*F20,0)</f>
        <v>0</v>
      </c>
      <c r="D20" s="313" t="s">
        <v>729</v>
      </c>
      <c r="E20" s="292" t="s">
        <v>712</v>
      </c>
      <c r="F20" s="312">
        <f>'数据-取费表'!B37</f>
        <v>0.02</v>
      </c>
      <c r="G20" s="1301"/>
      <c r="H20" s="926" t="s">
        <v>680</v>
      </c>
      <c r="I20" s="145" t="s">
        <v>730</v>
      </c>
      <c r="J20" s="22">
        <f ca="1">ROUND(M20*M21,0)</f>
        <v>0</v>
      </c>
      <c r="K20" s="314" t="s">
        <v>731</v>
      </c>
      <c r="L20" s="292" t="s">
        <v>732</v>
      </c>
      <c r="M20" s="315">
        <f>'数据-取费表'!B52</f>
        <v>0.75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0.01</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ROUND(J14*M22,0)</f>
        <v>0</v>
      </c>
      <c r="K22" s="1254" t="s">
        <v>739</v>
      </c>
      <c r="L22" s="292" t="s">
        <v>712</v>
      </c>
      <c r="M22" s="318">
        <f ca="1">INDIRECT("'数据-取费表'!Ak"&amp;$G$1)</f>
        <v>0</v>
      </c>
    </row>
    <row r="23" spans="1:37" s="1302"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ROUND(J13*M23,0)</f>
        <v>0</v>
      </c>
      <c r="K23" s="1254" t="s">
        <v>743</v>
      </c>
      <c r="L23" s="292" t="s">
        <v>744</v>
      </c>
      <c r="M23" s="319">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f ca="1">J5-J16</f>
        <v>0</v>
      </c>
      <c r="K25" s="1030" t="s">
        <v>753</v>
      </c>
      <c r="L25" s="1031"/>
      <c r="M25" s="1032"/>
    </row>
    <row r="26" spans="1:37" ht="18" customHeight="1">
      <c r="A26" s="926" t="s">
        <v>397</v>
      </c>
      <c r="B26" s="292" t="s">
        <v>754</v>
      </c>
      <c r="C26" s="21">
        <f ca="1">ROUND((C19+C20)*F26,0)</f>
        <v>0</v>
      </c>
      <c r="D26" s="313" t="s">
        <v>755</v>
      </c>
      <c r="E26" s="303" t="s">
        <v>756</v>
      </c>
      <c r="F26" s="302">
        <f ca="1">INDIRECT("'数据-取费表'!q"&amp;$G$1)</f>
        <v>0</v>
      </c>
      <c r="G26" s="1290"/>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3" t="s">
        <v>396</v>
      </c>
      <c r="I29" s="324" t="s">
        <v>768</v>
      </c>
      <c r="J29" s="325">
        <f ca="1">ROUND(J26/(1+F40)^F41,0)</f>
        <v>0</v>
      </c>
      <c r="K29" s="326" t="s">
        <v>769</v>
      </c>
      <c r="L29" s="327"/>
      <c r="M29" s="328">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0</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5" t="s">
        <v>2298</v>
      </c>
      <c r="I31" s="1303"/>
      <c r="J31" s="1304"/>
      <c r="K31" s="119"/>
      <c r="L31" s="2467"/>
      <c r="M31" s="2468"/>
    </row>
    <row r="32" spans="1:37" ht="18" customHeight="1">
      <c r="A32" s="926" t="s">
        <v>397</v>
      </c>
      <c r="B32" s="292" t="s">
        <v>723</v>
      </c>
      <c r="C32" s="21">
        <f ca="1">IF(项目基本情况!B11="自然人","——",ROUND(C6*F32/(1+'数据-取费表'!C42),0))</f>
        <v>0</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IF(项目基本情况!B11="自然人","——",IF(D33="按租金收入计税",ROUND(C6*F33/(1+'数据-取费表'!C42),0),IF(D33="按房产原值计税",ROUND(C29*F33*0.7,0),INDIRECT("'数据-取费表'!Aj"&amp;$G$1))))</f>
        <v>0</v>
      </c>
      <c r="D33" s="1276" t="s">
        <v>3328</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IF(项目基本情况!B11="自然人","——",ROUND(F34*F35,0))</f>
        <v>0</v>
      </c>
      <c r="D34" s="314" t="s">
        <v>731</v>
      </c>
      <c r="E34" s="292" t="s">
        <v>732</v>
      </c>
      <c r="F34" s="315">
        <f>'数据-取费表'!B52</f>
        <v>0.75</v>
      </c>
      <c r="G34" s="1290"/>
      <c r="H34" s="2466"/>
      <c r="I34" s="1303"/>
      <c r="J34" s="1304"/>
      <c r="K34" s="2471"/>
      <c r="L34" s="2472"/>
      <c r="M34" s="2472"/>
    </row>
    <row r="35" spans="1:18" ht="18" customHeight="1">
      <c r="A35" s="1038"/>
      <c r="B35" s="1036"/>
      <c r="C35" s="26"/>
      <c r="D35" s="317"/>
      <c r="E35" s="292" t="s">
        <v>736</v>
      </c>
      <c r="F35" s="293">
        <f ca="1">INDIRECT("'数据-取费表'!r"&amp;$G$1)</f>
        <v>0</v>
      </c>
      <c r="G35" s="1290"/>
      <c r="H35" s="2466"/>
      <c r="I35" s="1303"/>
      <c r="J35" s="1304"/>
      <c r="K35" s="2470"/>
      <c r="L35" s="2469"/>
      <c r="M35" s="2469"/>
    </row>
    <row r="36" spans="1:18" ht="18" customHeight="1">
      <c r="A36" s="1037" t="s">
        <v>402</v>
      </c>
      <c r="B36" s="292" t="s">
        <v>738</v>
      </c>
      <c r="C36" s="21">
        <f ca="1">ROUND(C29*F36,0)</f>
        <v>0</v>
      </c>
      <c r="D36" s="1254" t="s">
        <v>771</v>
      </c>
      <c r="E36" s="292" t="s">
        <v>712</v>
      </c>
      <c r="F36" s="318">
        <f ca="1">INDIRECT("'数据-取费表'!Ak"&amp;$G$1)</f>
        <v>0</v>
      </c>
      <c r="G36" s="1290"/>
      <c r="H36" s="2469"/>
      <c r="I36" s="1303"/>
      <c r="J36" s="1304"/>
      <c r="K36" s="2327"/>
      <c r="L36" s="2469"/>
      <c r="M36" s="2469"/>
    </row>
    <row r="37" spans="1:18" ht="18" customHeight="1">
      <c r="A37" s="926" t="s">
        <v>437</v>
      </c>
      <c r="B37" s="292" t="s">
        <v>742</v>
      </c>
      <c r="C37" s="21">
        <f ca="1">ROUND(C13*F37,0)</f>
        <v>0</v>
      </c>
      <c r="D37" s="1254" t="s">
        <v>743</v>
      </c>
      <c r="E37" s="292" t="s">
        <v>744</v>
      </c>
      <c r="F37" s="319">
        <f ca="1">INDIRECT("'数据-取费表'!Al"&amp;$G$1)</f>
        <v>0</v>
      </c>
      <c r="G37" s="1290"/>
      <c r="H37" s="2469"/>
      <c r="I37" s="1303"/>
      <c r="J37" s="1304"/>
      <c r="K37" s="2327"/>
      <c r="L37" s="2469"/>
      <c r="M37" s="2469"/>
    </row>
    <row r="38" spans="1:18" ht="18" customHeight="1" thickBot="1">
      <c r="A38" s="1024" t="s">
        <v>684</v>
      </c>
      <c r="B38" s="1025" t="s">
        <v>728</v>
      </c>
      <c r="C38" s="1026">
        <f ca="1">ROUND(C5*F38,0)</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0">
        <f ca="1">C5-C30</f>
        <v>0</v>
      </c>
      <c r="D39" s="1030" t="s">
        <v>773</v>
      </c>
      <c r="E39" s="1031"/>
      <c r="F39" s="1032"/>
      <c r="G39" s="1290"/>
      <c r="H39" s="2469"/>
      <c r="I39" s="1303"/>
      <c r="J39" s="1304"/>
      <c r="K39" s="2467"/>
      <c r="L39" s="2469"/>
      <c r="M39" s="2469"/>
    </row>
    <row r="40" spans="1:18" ht="18" customHeight="1">
      <c r="A40" s="289" t="s">
        <v>395</v>
      </c>
      <c r="B40" s="290" t="s">
        <v>774</v>
      </c>
      <c r="C40" s="291" t="e">
        <f ca="1">ROUND(C39*(1-((1+F42)/(1+F40))^F41)/(F40-F42),0)</f>
        <v>#DIV/0!</v>
      </c>
      <c r="D40" s="314" t="s">
        <v>758</v>
      </c>
      <c r="E40" s="292" t="s">
        <v>759</v>
      </c>
      <c r="F40" s="302">
        <f ca="1">INDIRECT("'数据-取费表'!I"&amp;$G$1)</f>
        <v>0</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0</v>
      </c>
      <c r="G41" s="1290"/>
      <c r="H41" s="119"/>
      <c r="I41" s="1303"/>
      <c r="J41" s="1304"/>
      <c r="K41" s="2327"/>
      <c r="L41" s="119"/>
      <c r="M41" s="119"/>
    </row>
    <row r="42" spans="1:18" ht="18" customHeight="1">
      <c r="A42" s="298"/>
      <c r="B42" s="299"/>
      <c r="C42" s="300"/>
      <c r="D42" s="317"/>
      <c r="E42" s="292" t="s">
        <v>766</v>
      </c>
      <c r="F42" s="302">
        <f ca="1">INDIRECT("'数据-取费表'!v"&amp;$G$1)</f>
        <v>0</v>
      </c>
      <c r="G42" s="1290"/>
      <c r="H42" s="119"/>
      <c r="I42" s="1303"/>
      <c r="J42" s="1304"/>
      <c r="K42" s="2327"/>
      <c r="L42" s="119"/>
      <c r="M42" s="119"/>
    </row>
    <row r="43" spans="1:18" ht="18" customHeight="1" thickBot="1">
      <c r="A43" s="323" t="s">
        <v>396</v>
      </c>
      <c r="B43" s="324" t="s">
        <v>776</v>
      </c>
      <c r="C43" s="325" t="e">
        <f ca="1">ROUND(C40/F43,0)</f>
        <v>#DIV/0!</v>
      </c>
      <c r="D43" s="326" t="s">
        <v>777</v>
      </c>
      <c r="E43" s="327" t="s">
        <v>778</v>
      </c>
      <c r="F43" s="328">
        <f ca="1">INDIRECT("'数据-取费表'!k"&amp;$G$1)</f>
        <v>0</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5" t="s">
        <v>3344</v>
      </c>
      <c r="B45" s="1305"/>
      <c r="C45" s="1374" t="e">
        <f ca="1">ROUND((C68-C40)/10000,4)</f>
        <v>#DIV/0!</v>
      </c>
      <c r="D45" s="3126" t="s">
        <v>3345</v>
      </c>
      <c r="E45" s="1305"/>
      <c r="F45" s="1305"/>
      <c r="O45" s="1308" t="s">
        <v>808</v>
      </c>
      <c r="P45" s="1364"/>
      <c r="Q45" s="1364"/>
      <c r="R45" s="1364"/>
    </row>
    <row r="46" spans="1:18" s="1290" customFormat="1" ht="13.8"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8"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3">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3" t="s">
        <v>700</v>
      </c>
      <c r="C53" s="306">
        <f ca="1">ROUND(IF(F53="押一",C49/12*F11,IF(F53="押二",C49/12*2*F11,IF(F53="押三",C49/12*3*F11,C54*F11))),0)</f>
        <v>0</v>
      </c>
      <c r="D53" s="148" t="s">
        <v>2118</v>
      </c>
      <c r="E53" s="303" t="s">
        <v>701</v>
      </c>
      <c r="F53" s="1051"/>
      <c r="I53" s="1342" t="s">
        <v>836</v>
      </c>
      <c r="J53" s="2004">
        <f ca="1">IF(M47="住宅",IF(D1="——",MAX(J51,L48),MAX(J51,L48-'数据-取费表'!B24)),IF(D1="——",MIN(J51,L48),MIN(J51,L48-'数据-取费表'!B24)))</f>
        <v>0</v>
      </c>
      <c r="K53" s="3396" t="s">
        <v>837</v>
      </c>
      <c r="L53" s="3397"/>
      <c r="O53" s="1323" t="s">
        <v>409</v>
      </c>
      <c r="P53" s="1324" t="s">
        <v>838</v>
      </c>
      <c r="Q53" s="1325" t="e">
        <f ca="1">Q47+Q48</f>
        <v>#DIV/0!</v>
      </c>
      <c r="R53" s="1325" t="s">
        <v>410</v>
      </c>
    </row>
    <row r="54" spans="1:18" s="1290" customFormat="1" ht="13.8" thickBot="1">
      <c r="A54" s="919"/>
      <c r="B54" s="1375" t="s">
        <v>891</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6" thickBot="1">
      <c r="A57" s="1354"/>
      <c r="B57" s="894" t="s">
        <v>767</v>
      </c>
      <c r="C57" s="228">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6" thickBot="1">
      <c r="A58" s="305" t="s">
        <v>393</v>
      </c>
      <c r="B58" s="902" t="s">
        <v>714</v>
      </c>
      <c r="C58" s="306">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0">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3328</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5">
        <f t="shared" si="0"/>
        <v>0.75</v>
      </c>
      <c r="I62" s="1365" t="s">
        <v>858</v>
      </c>
      <c r="J62" s="608" t="s">
        <v>859</v>
      </c>
      <c r="K62" s="608" t="s">
        <v>860</v>
      </c>
      <c r="L62" s="608" t="s">
        <v>861</v>
      </c>
      <c r="M62" s="1366" t="s">
        <v>862</v>
      </c>
      <c r="O62" s="1323" t="s">
        <v>409</v>
      </c>
      <c r="P62" s="1324" t="s">
        <v>863</v>
      </c>
      <c r="Q62" s="1325" t="e">
        <f ca="1">Q56+Q57</f>
        <v>#DIV/0!</v>
      </c>
      <c r="R62" s="1325" t="s">
        <v>410</v>
      </c>
    </row>
    <row r="63" spans="1:18" s="1290" customFormat="1" ht="13.8"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ROUND(C57*F64,0)</f>
        <v>0</v>
      </c>
      <c r="D64" s="908" t="s">
        <v>791</v>
      </c>
      <c r="E64" s="894" t="s">
        <v>783</v>
      </c>
      <c r="F64" s="318">
        <f t="shared" ca="1" si="0"/>
        <v>0</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ROUND(C56*F65,0)</f>
        <v>0</v>
      </c>
      <c r="D65" s="908" t="s">
        <v>743</v>
      </c>
      <c r="E65" s="894" t="s">
        <v>744</v>
      </c>
      <c r="F65" s="319">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2" thickBot="1">
      <c r="A66" s="926" t="s">
        <v>793</v>
      </c>
      <c r="B66" s="894" t="s">
        <v>728</v>
      </c>
      <c r="C66" s="21">
        <f ca="1">ROUND(C48*F66,0)</f>
        <v>0</v>
      </c>
      <c r="D66" s="908" t="s">
        <v>794</v>
      </c>
      <c r="E66" s="894" t="s">
        <v>712</v>
      </c>
      <c r="F66" s="302">
        <f t="shared" ca="1" si="0"/>
        <v>0</v>
      </c>
      <c r="O66" s="1323" t="s">
        <v>404</v>
      </c>
      <c r="P66" s="1324" t="s">
        <v>846</v>
      </c>
      <c r="Q66" s="1325" t="e">
        <f ca="1">L60</f>
        <v>#DIV/0!</v>
      </c>
      <c r="R66" s="1325" t="s">
        <v>869</v>
      </c>
    </row>
    <row r="67" spans="1:18" s="1290" customFormat="1" ht="24.6" thickBot="1">
      <c r="A67" s="901" t="s">
        <v>394</v>
      </c>
      <c r="B67" s="911" t="s">
        <v>752</v>
      </c>
      <c r="C67" s="306">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1" t="e">
        <f ca="1">ROUND(C67*(1-((1+F70)/(1+F68))^F69)/(F68-F70),0)</f>
        <v>#DIV/0!</v>
      </c>
      <c r="D68" s="909" t="s">
        <v>758</v>
      </c>
      <c r="E68" s="894" t="s">
        <v>759</v>
      </c>
      <c r="F68" s="302">
        <f ca="1">F40</f>
        <v>0</v>
      </c>
      <c r="O68" s="1332" t="s">
        <v>406</v>
      </c>
      <c r="P68" s="1369" t="s">
        <v>871</v>
      </c>
      <c r="Q68" s="1325">
        <f ca="1">ROUND(Q69-Q70*Q71,0)</f>
        <v>0</v>
      </c>
      <c r="R68" s="1325" t="s">
        <v>414</v>
      </c>
    </row>
    <row r="69" spans="1:18" s="1290" customFormat="1" ht="13.8" thickBot="1">
      <c r="A69" s="895"/>
      <c r="B69" s="896"/>
      <c r="C69" s="296"/>
      <c r="D69" s="914" t="s">
        <v>762</v>
      </c>
      <c r="E69" s="894" t="s">
        <v>763</v>
      </c>
      <c r="F69" s="322">
        <f ca="1">F41</f>
        <v>0</v>
      </c>
      <c r="O69" s="1332" t="s">
        <v>411</v>
      </c>
      <c r="P69" s="1369" t="s">
        <v>872</v>
      </c>
      <c r="Q69" s="1325">
        <f ca="1">C39</f>
        <v>0</v>
      </c>
      <c r="R69" s="1325" t="s">
        <v>818</v>
      </c>
    </row>
    <row r="70" spans="1:18" s="1290" customFormat="1" ht="13.8" thickBot="1">
      <c r="A70" s="898"/>
      <c r="B70" s="899"/>
      <c r="C70" s="300"/>
      <c r="D70" s="910"/>
      <c r="E70" s="894" t="s">
        <v>766</v>
      </c>
      <c r="F70" s="989"/>
      <c r="O70" s="1332" t="s">
        <v>412</v>
      </c>
      <c r="P70" s="1369" t="s">
        <v>873</v>
      </c>
      <c r="Q70" s="1325">
        <f ca="1">C13</f>
        <v>0</v>
      </c>
      <c r="R70" s="1325" t="s">
        <v>818</v>
      </c>
    </row>
    <row r="71" spans="1:18" s="1290" customFormat="1" ht="13.8" thickBot="1">
      <c r="A71" s="915" t="s">
        <v>396</v>
      </c>
      <c r="B71" s="916" t="s">
        <v>776</v>
      </c>
      <c r="C71" s="325" t="e">
        <f ca="1">ROUND(C68/F71,0)</f>
        <v>#DIV/0!</v>
      </c>
      <c r="D71" s="917" t="s">
        <v>777</v>
      </c>
      <c r="E71" s="918" t="s">
        <v>778</v>
      </c>
      <c r="F71" s="328">
        <f ca="1">F43</f>
        <v>0</v>
      </c>
      <c r="O71" s="1332" t="s">
        <v>413</v>
      </c>
      <c r="P71" s="1369" t="s">
        <v>874</v>
      </c>
      <c r="Q71" s="1335">
        <f ca="1">C76</f>
        <v>0</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0</v>
      </c>
      <c r="D75" s="1290"/>
      <c r="E75" s="1290"/>
      <c r="F75" s="1290"/>
      <c r="K75" s="1307"/>
      <c r="L75" s="1290"/>
      <c r="O75" s="1323" t="s">
        <v>409</v>
      </c>
      <c r="P75" s="1324" t="s">
        <v>838</v>
      </c>
      <c r="Q75" s="1325" t="e">
        <f ca="1">Q65+Q66</f>
        <v>#DIV/0!</v>
      </c>
      <c r="R75" s="1325" t="s">
        <v>410</v>
      </c>
    </row>
    <row r="76" spans="1:18">
      <c r="B76" s="331" t="s">
        <v>796</v>
      </c>
      <c r="C76" s="332">
        <f ca="1">INDIRECT("'数据-取费表'!j"&amp;$G$1)</f>
        <v>0</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2" customHeight="1">
      <c r="A2" s="1291" t="s">
        <v>2307</v>
      </c>
      <c r="B2" s="2590" t="e">
        <f>IF(D2="——",C40,C40+E2)</f>
        <v>#DIV/0!</v>
      </c>
      <c r="C2" s="2591" t="s">
        <v>2308</v>
      </c>
      <c r="D2" s="3134" t="s">
        <v>3351</v>
      </c>
      <c r="E2" s="3135"/>
      <c r="F2" s="2593"/>
      <c r="G2" s="2594"/>
      <c r="H2" s="2595"/>
      <c r="I2" s="2596"/>
      <c r="J2" s="3407" t="s">
        <v>2309</v>
      </c>
      <c r="K2" s="3408"/>
      <c r="L2" s="2597" t="s">
        <v>2310</v>
      </c>
      <c r="M2" s="2597" t="s">
        <v>2311</v>
      </c>
      <c r="N2" s="2597" t="s">
        <v>2312</v>
      </c>
      <c r="O2" s="2597" t="s">
        <v>2313</v>
      </c>
      <c r="P2" s="2597" t="s">
        <v>2314</v>
      </c>
      <c r="Q2" s="2598" t="s">
        <v>2315</v>
      </c>
      <c r="R2" s="2599" t="s">
        <v>2316</v>
      </c>
      <c r="S2" s="2588"/>
      <c r="T2" s="2588"/>
      <c r="U2" s="2588"/>
      <c r="V2" s="2596"/>
    </row>
    <row r="3" spans="1:22" s="2600" customFormat="1" ht="13.2" customHeight="1">
      <c r="A3" s="2601" t="s">
        <v>2317</v>
      </c>
      <c r="B3" s="2602" t="e">
        <f>ROUND(B2*10000/B4,0)</f>
        <v>#DIV/0!</v>
      </c>
      <c r="C3" s="2591" t="s">
        <v>2318</v>
      </c>
      <c r="D3" s="2591"/>
      <c r="E3" s="2592"/>
      <c r="F3" s="2593"/>
      <c r="G3" s="2594"/>
      <c r="H3" s="2595"/>
      <c r="I3" s="2596"/>
      <c r="J3" s="3409" t="s">
        <v>2319</v>
      </c>
      <c r="K3" s="3410"/>
      <c r="L3" s="2603"/>
      <c r="M3" s="2603"/>
      <c r="N3" s="2603"/>
      <c r="O3" s="2603"/>
      <c r="P3" s="2603"/>
      <c r="Q3" s="2604"/>
      <c r="R3" s="2605">
        <f>SUM(L3:Q3)</f>
        <v>0</v>
      </c>
      <c r="S3" s="2588"/>
      <c r="T3" s="2588"/>
      <c r="U3" s="2588"/>
      <c r="V3" s="2596"/>
    </row>
    <row r="4" spans="1:22" s="2600" customFormat="1" ht="13.2" customHeight="1">
      <c r="A4" s="2606" t="s">
        <v>2320</v>
      </c>
      <c r="B4" s="2607"/>
      <c r="C4" s="2591"/>
      <c r="D4" s="2591"/>
      <c r="E4" s="2592"/>
      <c r="F4" s="2593"/>
      <c r="G4" s="2594"/>
      <c r="H4" s="2595"/>
      <c r="I4" s="2596"/>
      <c r="J4" s="3409" t="s">
        <v>2321</v>
      </c>
      <c r="K4" s="3410"/>
      <c r="L4" s="2608"/>
      <c r="M4" s="2608"/>
      <c r="N4" s="2608"/>
      <c r="O4" s="2608"/>
      <c r="P4" s="2608"/>
      <c r="Q4" s="2609"/>
      <c r="R4" s="2610">
        <f>SUM(L4:Q4)</f>
        <v>0</v>
      </c>
      <c r="S4" s="2588"/>
      <c r="T4" s="2588"/>
      <c r="U4" s="2588"/>
      <c r="V4" s="2596"/>
    </row>
    <row r="5" spans="1:22" s="2600" customFormat="1" ht="13.2"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2" customHeight="1" thickBot="1">
      <c r="A6" s="3415" t="s">
        <v>2325</v>
      </c>
      <c r="B6" s="3416"/>
      <c r="C6" s="3417"/>
      <c r="D6" s="2617"/>
      <c r="E6" s="2618"/>
      <c r="F6" s="2619"/>
      <c r="G6" s="2620"/>
      <c r="H6" s="2595"/>
      <c r="I6" s="2596"/>
      <c r="J6" s="3401">
        <v>1</v>
      </c>
      <c r="K6" s="3402"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2" customHeight="1">
      <c r="A7" s="2623" t="s">
        <v>2335</v>
      </c>
      <c r="B7" s="2624"/>
      <c r="C7" s="2625"/>
      <c r="D7" s="2626">
        <f>SUM(D9,D10,D11,D17,0)</f>
        <v>0</v>
      </c>
      <c r="E7" s="2627" t="e">
        <f>E9+E10+E11+E17</f>
        <v>#DIV/0!</v>
      </c>
      <c r="F7" s="2628"/>
      <c r="G7" s="2629"/>
      <c r="H7" s="2595"/>
      <c r="I7" s="2596"/>
      <c r="J7" s="3401"/>
      <c r="K7" s="3403"/>
      <c r="L7" s="2630" t="s">
        <v>2336</v>
      </c>
      <c r="M7" s="2631"/>
      <c r="N7" s="2607"/>
      <c r="O7" s="2632"/>
      <c r="P7" s="2632"/>
      <c r="Q7" s="2633">
        <v>365</v>
      </c>
      <c r="R7" s="2634">
        <f>ROUND(M7*N7*O7*P7*Q7/10000,0)</f>
        <v>0</v>
      </c>
      <c r="S7" s="2588"/>
      <c r="T7" s="2588" t="s">
        <v>2337</v>
      </c>
      <c r="U7" s="2588"/>
      <c r="V7" s="2596"/>
    </row>
    <row r="8" spans="1:22" s="2600" customFormat="1" ht="13.2" customHeight="1">
      <c r="A8" s="2635" t="s">
        <v>2338</v>
      </c>
      <c r="B8" s="3418" t="s">
        <v>2339</v>
      </c>
      <c r="C8" s="3419"/>
      <c r="D8" s="2636" t="s">
        <v>2340</v>
      </c>
      <c r="E8" s="2637" t="s">
        <v>2341</v>
      </c>
      <c r="F8" s="2638" t="s">
        <v>2342</v>
      </c>
      <c r="G8" s="2639"/>
      <c r="H8" s="2595"/>
      <c r="I8" s="2596"/>
      <c r="J8" s="3401"/>
      <c r="K8" s="3403"/>
      <c r="L8" s="2630" t="s">
        <v>2343</v>
      </c>
      <c r="M8" s="2631"/>
      <c r="N8" s="2607"/>
      <c r="O8" s="2632"/>
      <c r="P8" s="2632"/>
      <c r="Q8" s="2633">
        <v>365</v>
      </c>
      <c r="R8" s="2634">
        <f t="shared" ref="R8:R13" si="0">ROUND(M8*N8*O8*P8*Q8/10000,0)</f>
        <v>0</v>
      </c>
      <c r="S8" s="2588"/>
      <c r="T8" s="2588" t="s">
        <v>2344</v>
      </c>
      <c r="U8" s="2588"/>
      <c r="V8" s="2596"/>
    </row>
    <row r="9" spans="1:22" s="2600" customFormat="1" ht="13.2" customHeight="1">
      <c r="A9" s="2635">
        <v>1</v>
      </c>
      <c r="B9" s="3418" t="s">
        <v>2345</v>
      </c>
      <c r="C9" s="3419"/>
      <c r="D9" s="2636">
        <f>ROUND(D6*E9,0)</f>
        <v>0</v>
      </c>
      <c r="E9" s="2640"/>
      <c r="F9" s="2641" t="s">
        <v>2346</v>
      </c>
      <c r="G9" s="2620"/>
      <c r="H9" s="2595"/>
      <c r="I9" s="2596"/>
      <c r="J9" s="3401"/>
      <c r="K9" s="3403"/>
      <c r="L9" s="2630" t="s">
        <v>2347</v>
      </c>
      <c r="M9" s="2631"/>
      <c r="N9" s="2607"/>
      <c r="O9" s="2632"/>
      <c r="P9" s="2632"/>
      <c r="Q9" s="2633">
        <v>365</v>
      </c>
      <c r="R9" s="2634">
        <f t="shared" si="0"/>
        <v>0</v>
      </c>
      <c r="S9" s="2588"/>
      <c r="T9" s="2588"/>
      <c r="U9" s="2588"/>
      <c r="V9" s="2596"/>
    </row>
    <row r="10" spans="1:22" s="2600" customFormat="1" ht="13.2" customHeight="1">
      <c r="A10" s="2635">
        <v>2</v>
      </c>
      <c r="B10" s="3418" t="s">
        <v>2348</v>
      </c>
      <c r="C10" s="3419"/>
      <c r="D10" s="2636">
        <f>ROUND(D6*E10,0)</f>
        <v>0</v>
      </c>
      <c r="E10" s="2640"/>
      <c r="F10" s="2641" t="s">
        <v>2349</v>
      </c>
      <c r="G10" s="2620"/>
      <c r="H10" s="2595"/>
      <c r="I10" s="2596"/>
      <c r="J10" s="3401"/>
      <c r="K10" s="3403"/>
      <c r="L10" s="2630" t="s">
        <v>2350</v>
      </c>
      <c r="M10" s="2631"/>
      <c r="N10" s="2607"/>
      <c r="O10" s="2632"/>
      <c r="P10" s="2632"/>
      <c r="Q10" s="2633">
        <v>365</v>
      </c>
      <c r="R10" s="2634">
        <f t="shared" si="0"/>
        <v>0</v>
      </c>
      <c r="S10" s="2588"/>
      <c r="T10" s="2588"/>
      <c r="U10" s="2588"/>
      <c r="V10" s="2596"/>
    </row>
    <row r="11" spans="1:22" s="2600" customFormat="1" ht="13.2" customHeight="1">
      <c r="A11" s="2635">
        <v>3</v>
      </c>
      <c r="B11" s="3418" t="s">
        <v>2351</v>
      </c>
      <c r="C11" s="3419"/>
      <c r="D11" s="2636">
        <f>D12+D14+D15+D16</f>
        <v>0</v>
      </c>
      <c r="E11" s="2642" t="e">
        <f>D11/D6</f>
        <v>#DIV/0!</v>
      </c>
      <c r="F11" s="2638"/>
      <c r="G11" s="2639"/>
      <c r="H11" s="2595"/>
      <c r="I11" s="2596"/>
      <c r="J11" s="3401"/>
      <c r="K11" s="3403"/>
      <c r="L11" s="2630" t="s">
        <v>2352</v>
      </c>
      <c r="M11" s="2631"/>
      <c r="N11" s="2607"/>
      <c r="O11" s="2632"/>
      <c r="P11" s="2632"/>
      <c r="Q11" s="2633">
        <v>365</v>
      </c>
      <c r="R11" s="2634">
        <f t="shared" si="0"/>
        <v>0</v>
      </c>
      <c r="S11" s="2588"/>
      <c r="T11" s="2588"/>
      <c r="U11" s="2588"/>
      <c r="V11" s="2596"/>
    </row>
    <row r="12" spans="1:22" s="2600" customFormat="1" ht="13.2" customHeight="1">
      <c r="A12" s="2643" t="s">
        <v>2353</v>
      </c>
      <c r="B12" s="3411" t="s">
        <v>2354</v>
      </c>
      <c r="C12" s="3412"/>
      <c r="D12" s="2644">
        <f>ROUND(D13*1.2%*(1-30%),0)</f>
        <v>0</v>
      </c>
      <c r="E12" s="2645">
        <v>1.2E-2</v>
      </c>
      <c r="F12" s="2638" t="s">
        <v>2355</v>
      </c>
      <c r="G12" s="2639"/>
      <c r="H12" s="2595"/>
      <c r="I12" s="2596"/>
      <c r="J12" s="3401"/>
      <c r="K12" s="3403"/>
      <c r="L12" s="2630" t="s">
        <v>2356</v>
      </c>
      <c r="M12" s="2631"/>
      <c r="N12" s="2607"/>
      <c r="O12" s="2632"/>
      <c r="P12" s="2632"/>
      <c r="Q12" s="2633">
        <v>365</v>
      </c>
      <c r="R12" s="2634">
        <f t="shared" si="0"/>
        <v>0</v>
      </c>
      <c r="S12" s="2588"/>
      <c r="T12" s="2588"/>
      <c r="U12" s="2588"/>
      <c r="V12" s="2596"/>
    </row>
    <row r="13" spans="1:22" s="2600" customFormat="1" ht="13.2" customHeight="1">
      <c r="A13" s="2643"/>
      <c r="B13" s="2646"/>
      <c r="C13" s="2647" t="s">
        <v>2357</v>
      </c>
      <c r="D13" s="2648"/>
      <c r="E13" s="2649"/>
      <c r="F13" s="2638"/>
      <c r="G13" s="2639"/>
      <c r="H13" s="2595"/>
      <c r="I13" s="2596"/>
      <c r="J13" s="3401"/>
      <c r="K13" s="3403"/>
      <c r="L13" s="2630" t="s">
        <v>2358</v>
      </c>
      <c r="M13" s="2631"/>
      <c r="N13" s="2607"/>
      <c r="O13" s="2632"/>
      <c r="P13" s="2632"/>
      <c r="Q13" s="2633">
        <v>365</v>
      </c>
      <c r="R13" s="2634">
        <f t="shared" si="0"/>
        <v>0</v>
      </c>
      <c r="S13" s="2588"/>
      <c r="T13" s="2588"/>
      <c r="U13" s="2588"/>
      <c r="V13" s="2596"/>
    </row>
    <row r="14" spans="1:22" s="2600" customFormat="1" ht="13.2" customHeight="1">
      <c r="A14" s="2643" t="s">
        <v>2359</v>
      </c>
      <c r="B14" s="3411" t="s">
        <v>2360</v>
      </c>
      <c r="C14" s="3412"/>
      <c r="D14" s="2644">
        <f>ROUND(E14*B5/10000,0)</f>
        <v>0</v>
      </c>
      <c r="E14" s="2633"/>
      <c r="F14" s="2638" t="s">
        <v>2361</v>
      </c>
      <c r="G14" s="2639"/>
      <c r="H14" s="2595"/>
      <c r="I14" s="2596"/>
      <c r="J14" s="3401"/>
      <c r="K14" s="3404"/>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2363</v>
      </c>
      <c r="B15" s="3411" t="s">
        <v>2364</v>
      </c>
      <c r="C15" s="3412"/>
      <c r="D15" s="2644">
        <f>ROUND(D6*E15,0)</f>
        <v>0</v>
      </c>
      <c r="E15" s="2645">
        <v>5.5E-2</v>
      </c>
      <c r="F15" s="2638" t="s">
        <v>2365</v>
      </c>
      <c r="G15" s="2620"/>
      <c r="H15" s="2595"/>
      <c r="I15" s="2596"/>
      <c r="J15" s="3401">
        <v>2</v>
      </c>
      <c r="K15" s="3402"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2" customHeight="1">
      <c r="A16" s="2643" t="s">
        <v>2372</v>
      </c>
      <c r="B16" s="3411" t="s">
        <v>2373</v>
      </c>
      <c r="C16" s="3412"/>
      <c r="D16" s="2655">
        <f>D6*E16</f>
        <v>0</v>
      </c>
      <c r="E16" s="2656"/>
      <c r="F16" s="2641" t="s">
        <v>2374</v>
      </c>
      <c r="G16" s="2620"/>
      <c r="H16" s="2595"/>
      <c r="I16" s="2596"/>
      <c r="J16" s="3401"/>
      <c r="K16" s="3403"/>
      <c r="L16" s="2630" t="s">
        <v>2375</v>
      </c>
      <c r="M16" s="2631"/>
      <c r="N16" s="2631"/>
      <c r="O16" s="2632"/>
      <c r="P16" s="2633">
        <v>365</v>
      </c>
      <c r="Q16" s="2607"/>
      <c r="R16" s="2654">
        <f>ROUND(M16*N16*O16*P16/10000,0)</f>
        <v>0</v>
      </c>
      <c r="S16" s="2588"/>
      <c r="T16" s="2588"/>
      <c r="U16" s="2588"/>
      <c r="V16" s="2596"/>
    </row>
    <row r="17" spans="1:22" s="2600" customFormat="1" ht="13.2" customHeight="1" thickBot="1">
      <c r="A17" s="2657">
        <v>4</v>
      </c>
      <c r="B17" s="3413" t="s">
        <v>2376</v>
      </c>
      <c r="C17" s="3414"/>
      <c r="D17" s="2658">
        <f>ROUND(D6*E17,0)</f>
        <v>0</v>
      </c>
      <c r="E17" s="2659"/>
      <c r="F17" s="2660" t="s">
        <v>2377</v>
      </c>
      <c r="G17" s="2620"/>
      <c r="H17" s="2595"/>
      <c r="I17" s="2596"/>
      <c r="J17" s="3401"/>
      <c r="K17" s="3403"/>
      <c r="L17" s="2630" t="s">
        <v>2378</v>
      </c>
      <c r="M17" s="2631"/>
      <c r="N17" s="2631"/>
      <c r="O17" s="2632"/>
      <c r="P17" s="2633">
        <v>365</v>
      </c>
      <c r="Q17" s="2607"/>
      <c r="R17" s="2654">
        <f>ROUND(M17*N17*O17*P17/10000,0)</f>
        <v>0</v>
      </c>
      <c r="S17" s="2588"/>
      <c r="T17" s="2588"/>
      <c r="U17" s="2588"/>
      <c r="V17" s="2596"/>
    </row>
    <row r="18" spans="1:22" s="2600" customFormat="1" ht="13.2" customHeight="1" thickBot="1">
      <c r="A18" s="2623" t="s">
        <v>2379</v>
      </c>
      <c r="B18" s="2624"/>
      <c r="C18" s="2624"/>
      <c r="D18" s="2661">
        <f>ROUND(D6*E18,0)</f>
        <v>0</v>
      </c>
      <c r="E18" s="2662"/>
      <c r="F18" s="2663" t="s">
        <v>2380</v>
      </c>
      <c r="G18" s="2620"/>
      <c r="H18" s="2595"/>
      <c r="I18" s="2596"/>
      <c r="J18" s="3401"/>
      <c r="K18" s="3403"/>
      <c r="L18" s="2630" t="s">
        <v>2381</v>
      </c>
      <c r="M18" s="2631"/>
      <c r="N18" s="2631"/>
      <c r="O18" s="2632"/>
      <c r="P18" s="2633">
        <v>365</v>
      </c>
      <c r="Q18" s="2607"/>
      <c r="R18" s="2654">
        <f>ROUND(M18*N18*O18*P18/10000,0)</f>
        <v>0</v>
      </c>
      <c r="S18" s="2588"/>
      <c r="T18" s="2588"/>
      <c r="U18" s="2588"/>
      <c r="V18" s="2596"/>
    </row>
    <row r="19" spans="1:22" s="2600" customFormat="1" ht="13.2" customHeight="1" thickBot="1">
      <c r="A19" s="2664" t="s">
        <v>2382</v>
      </c>
      <c r="B19" s="2618"/>
      <c r="C19" s="2618"/>
      <c r="D19" s="2618"/>
      <c r="E19" s="2618"/>
      <c r="F19" s="2619"/>
      <c r="G19" s="2639"/>
      <c r="H19" s="2595"/>
      <c r="I19" s="2596"/>
      <c r="J19" s="3401"/>
      <c r="K19" s="3404"/>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01">
        <v>3</v>
      </c>
      <c r="K20" s="3402"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2" customHeight="1">
      <c r="A21" s="2623"/>
      <c r="B21" s="2624"/>
      <c r="C21" s="2669" t="s">
        <v>2391</v>
      </c>
      <c r="D21" s="2670" t="s">
        <v>2392</v>
      </c>
      <c r="E21" s="2671" t="s">
        <v>2393</v>
      </c>
      <c r="F21" s="2667"/>
      <c r="G21" s="2639"/>
      <c r="H21" s="2595"/>
      <c r="I21" s="2596"/>
      <c r="J21" s="3401"/>
      <c r="K21" s="3403"/>
      <c r="L21" s="2630" t="s">
        <v>2394</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2395</v>
      </c>
      <c r="D22" s="2674" t="s">
        <v>2396</v>
      </c>
      <c r="E22" s="2675" t="s">
        <v>2397</v>
      </c>
      <c r="F22" s="2667"/>
      <c r="G22" s="2588"/>
      <c r="H22" s="2595"/>
      <c r="I22" s="2596"/>
      <c r="J22" s="3401"/>
      <c r="K22" s="3403"/>
      <c r="L22" s="2630" t="s">
        <v>2398</v>
      </c>
      <c r="M22" s="2631"/>
      <c r="N22" s="2631"/>
      <c r="O22" s="2632"/>
      <c r="P22" s="2633">
        <v>365</v>
      </c>
      <c r="Q22" s="2607"/>
      <c r="R22" s="2672">
        <f>ROUND(M22*N22*O22*P22/10000,0)</f>
        <v>0</v>
      </c>
      <c r="S22" s="2588"/>
      <c r="T22" s="2588"/>
      <c r="U22" s="2588"/>
      <c r="V22" s="2596"/>
    </row>
    <row r="23" spans="1:22" s="2600" customFormat="1" ht="13.2" customHeight="1">
      <c r="A23" s="2676">
        <v>1</v>
      </c>
      <c r="B23" s="2677" t="s">
        <v>2399</v>
      </c>
      <c r="C23" s="2678">
        <f>D6</f>
        <v>0</v>
      </c>
      <c r="D23" s="2679">
        <f>C23*(1+D24)</f>
        <v>0</v>
      </c>
      <c r="E23" s="2680">
        <f>D23*(1+E24)</f>
        <v>0</v>
      </c>
      <c r="F23" s="2681"/>
      <c r="G23" s="2682"/>
      <c r="H23" s="2595"/>
      <c r="I23" s="2596"/>
      <c r="J23" s="3401"/>
      <c r="K23" s="3403"/>
      <c r="L23" s="2630" t="s">
        <v>2400</v>
      </c>
      <c r="M23" s="2631"/>
      <c r="N23" s="2631"/>
      <c r="O23" s="2632"/>
      <c r="P23" s="2633">
        <v>365</v>
      </c>
      <c r="Q23" s="2607"/>
      <c r="R23" s="2672">
        <f>ROUND(M23*N23*O23*P23/10000,0)</f>
        <v>0</v>
      </c>
      <c r="S23" s="2588"/>
      <c r="T23" s="2588"/>
      <c r="U23" s="2588"/>
      <c r="V23" s="2596"/>
    </row>
    <row r="24" spans="1:22" s="2600" customFormat="1" ht="13.2" customHeight="1">
      <c r="A24" s="2683"/>
      <c r="B24" s="2684" t="s">
        <v>2401</v>
      </c>
      <c r="C24" s="2685"/>
      <c r="D24" s="2686"/>
      <c r="E24" s="2687"/>
      <c r="F24" s="2688"/>
      <c r="G24" s="2682"/>
      <c r="H24" s="2595"/>
      <c r="I24" s="2596"/>
      <c r="J24" s="3401"/>
      <c r="K24" s="3404"/>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2" customHeight="1">
      <c r="A26" s="2676">
        <v>2</v>
      </c>
      <c r="B26" s="2677" t="s">
        <v>2403</v>
      </c>
      <c r="C26" s="2678">
        <f>D7</f>
        <v>0</v>
      </c>
      <c r="D26" s="2679">
        <f>D23*D27</f>
        <v>0</v>
      </c>
      <c r="E26" s="2680">
        <f>E23*E27</f>
        <v>0</v>
      </c>
      <c r="F26" s="2681"/>
      <c r="G26" s="2682"/>
      <c r="H26" s="2595"/>
      <c r="I26" s="2596"/>
      <c r="J26" s="3405">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2" customHeight="1">
      <c r="A27" s="2683"/>
      <c r="B27" s="2684" t="s">
        <v>2409</v>
      </c>
      <c r="C27" s="2701" t="e">
        <f>E7</f>
        <v>#DIV/0!</v>
      </c>
      <c r="D27" s="2686"/>
      <c r="E27" s="2687"/>
      <c r="F27" s="2688"/>
      <c r="G27" s="2682"/>
      <c r="H27" s="2702"/>
      <c r="I27" s="2694"/>
      <c r="J27" s="3406"/>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2"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2" customHeight="1">
      <c r="A32" s="2676">
        <v>4</v>
      </c>
      <c r="B32" s="2677" t="s">
        <v>2417</v>
      </c>
      <c r="C32" s="2678">
        <f>C23-C26-C29</f>
        <v>0</v>
      </c>
      <c r="D32" s="2679">
        <f>D23-D26-D29</f>
        <v>0</v>
      </c>
      <c r="E32" s="2680">
        <f>E23-E26-E29</f>
        <v>0</v>
      </c>
      <c r="F32" s="2681"/>
      <c r="G32" s="2588"/>
      <c r="H32" s="2595"/>
      <c r="I32" s="2596"/>
      <c r="J32" s="3407" t="s">
        <v>2309</v>
      </c>
      <c r="K32" s="3408"/>
      <c r="L32" s="2597" t="s">
        <v>2310</v>
      </c>
      <c r="M32" s="2597" t="s">
        <v>2311</v>
      </c>
      <c r="N32" s="2597" t="s">
        <v>2312</v>
      </c>
      <c r="O32" s="2597" t="s">
        <v>2313</v>
      </c>
      <c r="P32" s="2597" t="s">
        <v>2314</v>
      </c>
      <c r="Q32" s="2598" t="s">
        <v>2315</v>
      </c>
      <c r="R32" s="2717" t="s">
        <v>2316</v>
      </c>
      <c r="S32" s="2588"/>
      <c r="T32" s="2588"/>
      <c r="U32" s="2588"/>
      <c r="V32" s="2694"/>
    </row>
    <row r="33" spans="1:23" s="2600" customFormat="1" ht="13.2" customHeight="1">
      <c r="A33" s="2676"/>
      <c r="B33" s="2677"/>
      <c r="C33" s="2678"/>
      <c r="D33" s="2718"/>
      <c r="E33" s="2719"/>
      <c r="F33" s="2681"/>
      <c r="G33" s="2588"/>
      <c r="H33" s="2702"/>
      <c r="I33" s="2694"/>
      <c r="J33" s="3409" t="s">
        <v>2319</v>
      </c>
      <c r="K33" s="3410"/>
      <c r="L33" s="2603"/>
      <c r="M33" s="2603"/>
      <c r="N33" s="2603"/>
      <c r="O33" s="2603"/>
      <c r="P33" s="2603"/>
      <c r="Q33" s="2604"/>
      <c r="R33" s="2720">
        <f>SUM(L33:Q33)</f>
        <v>0</v>
      </c>
      <c r="S33" s="2588"/>
      <c r="T33" s="2588"/>
      <c r="U33" s="2588"/>
      <c r="V33" s="2596"/>
    </row>
    <row r="34" spans="1:23" s="2600" customFormat="1" ht="13.2" customHeight="1">
      <c r="A34" s="2676">
        <v>5</v>
      </c>
      <c r="B34" s="2677" t="s">
        <v>2418</v>
      </c>
      <c r="C34" s="2721"/>
      <c r="D34" s="2722"/>
      <c r="E34" s="2723"/>
      <c r="F34" s="2681"/>
      <c r="G34" s="2588"/>
      <c r="H34" s="2702"/>
      <c r="I34" s="2694"/>
      <c r="J34" s="3409" t="s">
        <v>2321</v>
      </c>
      <c r="K34" s="3410"/>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2" customHeight="1" thickBot="1">
      <c r="A36" s="2676">
        <v>7</v>
      </c>
      <c r="B36" s="2730" t="s">
        <v>2420</v>
      </c>
      <c r="C36" s="2731"/>
      <c r="D36" s="2732"/>
      <c r="E36" s="2733"/>
      <c r="F36" s="2734">
        <f>C36+D36+E36</f>
        <v>0</v>
      </c>
      <c r="G36" s="2588"/>
      <c r="H36" s="2595"/>
      <c r="I36" s="2596"/>
      <c r="J36" s="3401">
        <v>1</v>
      </c>
      <c r="K36" s="3402" t="s">
        <v>2421</v>
      </c>
      <c r="L36" s="2621"/>
      <c r="M36" s="2622"/>
      <c r="N36" s="2622"/>
      <c r="O36" s="2622"/>
      <c r="P36" s="2622"/>
      <c r="Q36" s="2622"/>
      <c r="R36" s="2605" t="s">
        <v>2333</v>
      </c>
      <c r="S36" s="2588"/>
      <c r="T36" s="2588" t="s">
        <v>2334</v>
      </c>
      <c r="U36" s="2588"/>
      <c r="V36" s="2596"/>
    </row>
    <row r="37" spans="1:23" s="2600" customFormat="1" ht="13.2" customHeight="1">
      <c r="A37" s="2676"/>
      <c r="B37" s="2677"/>
      <c r="C37" s="2677"/>
      <c r="D37" s="2677"/>
      <c r="E37" s="2677"/>
      <c r="F37" s="2681"/>
      <c r="G37" s="2588"/>
      <c r="H37" s="2595"/>
      <c r="I37" s="2596"/>
      <c r="J37" s="3401"/>
      <c r="K37" s="3403"/>
      <c r="L37" s="2630"/>
      <c r="M37" s="2631"/>
      <c r="N37" s="2607"/>
      <c r="O37" s="2632"/>
      <c r="P37" s="2632"/>
      <c r="Q37" s="2633"/>
      <c r="R37" s="2634"/>
      <c r="S37" s="2588"/>
      <c r="T37" s="2588" t="s">
        <v>2337</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01"/>
      <c r="K38" s="3403"/>
      <c r="L38" s="2630"/>
      <c r="M38" s="2631"/>
      <c r="N38" s="2607"/>
      <c r="O38" s="2632"/>
      <c r="P38" s="2632"/>
      <c r="Q38" s="2633"/>
      <c r="R38" s="2634"/>
      <c r="S38" s="2588"/>
      <c r="T38" s="2588" t="s">
        <v>2344</v>
      </c>
      <c r="U38" s="2588"/>
      <c r="V38" s="2596"/>
    </row>
    <row r="39" spans="1:23" s="2600" customFormat="1" ht="13.2" customHeight="1">
      <c r="A39" s="2676">
        <v>9</v>
      </c>
      <c r="B39" s="2677" t="s">
        <v>2422</v>
      </c>
      <c r="C39" s="2644" t="e">
        <f>C38</f>
        <v>#DIV/0!</v>
      </c>
      <c r="D39" s="2677">
        <f>D38/(1+D34)^C36</f>
        <v>0</v>
      </c>
      <c r="E39" s="2677">
        <f>E38/(1+E34)^(C36+D36)</f>
        <v>0</v>
      </c>
      <c r="F39" s="2681"/>
      <c r="G39" s="2596"/>
      <c r="H39" s="2595"/>
      <c r="I39" s="2596"/>
      <c r="J39" s="3401"/>
      <c r="K39" s="3403"/>
      <c r="L39" s="2630"/>
      <c r="M39" s="2631"/>
      <c r="N39" s="2607"/>
      <c r="O39" s="2632"/>
      <c r="P39" s="2632"/>
      <c r="Q39" s="2633"/>
      <c r="R39" s="2634"/>
      <c r="S39" s="2588"/>
      <c r="T39" s="2588"/>
      <c r="U39" s="2588"/>
      <c r="V39" s="2596"/>
    </row>
    <row r="40" spans="1:23" s="2600" customFormat="1" ht="13.2" customHeight="1">
      <c r="A40" s="2735">
        <v>10</v>
      </c>
      <c r="B40" s="2677" t="s">
        <v>2423</v>
      </c>
      <c r="C40" s="2736" t="e">
        <f>C39+D39+E39</f>
        <v>#DIV/0!</v>
      </c>
      <c r="D40" s="2737"/>
      <c r="E40" s="2737"/>
      <c r="F40" s="2738"/>
      <c r="G40" s="2588"/>
      <c r="H40" s="2595"/>
      <c r="I40" s="2596"/>
      <c r="J40" s="3401"/>
      <c r="K40" s="3404"/>
      <c r="L40" s="2650" t="s">
        <v>2362</v>
      </c>
      <c r="M40" s="2651"/>
      <c r="N40" s="2651"/>
      <c r="O40" s="2652"/>
      <c r="P40" s="2652"/>
      <c r="Q40" s="2653"/>
      <c r="R40" s="2599">
        <f>SUM(R37:R39)</f>
        <v>0</v>
      </c>
      <c r="S40" s="2588"/>
      <c r="T40" s="2588"/>
      <c r="U40" s="2588"/>
      <c r="V40" s="2596"/>
    </row>
    <row r="41" spans="1:23" s="2600" customFormat="1" ht="13.2"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2" customHeight="1">
      <c r="G42" s="2595"/>
      <c r="H42" s="2595"/>
      <c r="I42" s="2596"/>
      <c r="J42" s="3405">
        <v>3</v>
      </c>
      <c r="K42" s="2696" t="s">
        <v>2404</v>
      </c>
      <c r="L42" s="2697"/>
      <c r="M42" s="2698"/>
      <c r="N42" s="2699" t="s">
        <v>2405</v>
      </c>
      <c r="O42" s="2699" t="s">
        <v>2406</v>
      </c>
      <c r="P42" s="2700" t="s">
        <v>2407</v>
      </c>
      <c r="Q42" s="2700" t="s">
        <v>2408</v>
      </c>
      <c r="R42" s="2605" t="s">
        <v>2333</v>
      </c>
      <c r="S42" s="2639"/>
      <c r="T42" s="2639"/>
      <c r="U42" s="2588"/>
      <c r="V42" s="2596"/>
    </row>
    <row r="43" spans="1:23" ht="13.2" customHeight="1">
      <c r="A43" s="2600"/>
      <c r="B43" s="2600"/>
      <c r="C43" s="2600"/>
      <c r="D43" s="2600"/>
      <c r="E43" s="2600"/>
      <c r="F43" s="2600"/>
      <c r="I43" s="2583"/>
      <c r="J43" s="3406"/>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5"/>
      <c r="G1" s="457"/>
      <c r="H1" s="457"/>
      <c r="I1" s="457"/>
      <c r="J1" s="457"/>
      <c r="K1" s="457"/>
      <c r="L1" s="457"/>
      <c r="M1" s="457"/>
      <c r="N1" s="457"/>
      <c r="O1" s="457"/>
      <c r="P1" s="457"/>
      <c r="Q1" s="457"/>
      <c r="R1" s="457"/>
      <c r="S1" s="457"/>
    </row>
    <row r="2" spans="1:22" ht="15.6">
      <c r="A2" s="1726" t="s">
        <v>1462</v>
      </c>
      <c r="B2" s="809">
        <f ca="1">SUMIF(B6:B13,"&lt;&gt;#ref!",B6:B13)</f>
        <v>11837</v>
      </c>
      <c r="C2" s="1727" t="s">
        <v>1651</v>
      </c>
      <c r="D2" s="1728" t="s">
        <v>1652</v>
      </c>
      <c r="E2" s="2389">
        <f>SUM(E6:E13)</f>
        <v>43685.850000000006</v>
      </c>
      <c r="F2" s="2475"/>
      <c r="G2" s="457"/>
      <c r="H2" s="457"/>
      <c r="I2" s="457"/>
      <c r="J2" s="457"/>
      <c r="K2" s="457"/>
      <c r="L2" s="457"/>
      <c r="M2" s="457"/>
      <c r="N2" s="457"/>
      <c r="O2" s="457"/>
      <c r="P2" s="457"/>
      <c r="Q2" s="457"/>
      <c r="R2" s="457"/>
      <c r="S2" s="457"/>
    </row>
    <row r="3" spans="1:22" ht="15.6">
      <c r="A3" s="1726" t="s">
        <v>686</v>
      </c>
      <c r="B3" s="2383">
        <f ca="1">ROUND(B2*10000/E2,0)</f>
        <v>2710</v>
      </c>
      <c r="C3" s="1727" t="s">
        <v>1659</v>
      </c>
      <c r="D3" s="2475"/>
      <c r="E3" s="2478"/>
      <c r="F3" s="2475"/>
      <c r="G3" s="457"/>
      <c r="H3" s="457"/>
      <c r="I3" s="457"/>
      <c r="J3" s="457"/>
      <c r="K3" s="457"/>
      <c r="L3" s="457"/>
      <c r="M3" s="457"/>
      <c r="N3" s="457"/>
      <c r="O3" s="457"/>
      <c r="P3" s="457"/>
      <c r="Q3" s="457"/>
      <c r="R3" s="457"/>
      <c r="S3" s="457"/>
    </row>
    <row r="4" spans="1:22" ht="15.6">
      <c r="A4" s="2479"/>
      <c r="B4" s="2475"/>
      <c r="C4" s="2475"/>
      <c r="D4" s="2475"/>
      <c r="E4" s="2478"/>
      <c r="F4" s="2475"/>
      <c r="G4" s="457"/>
      <c r="H4" s="457"/>
      <c r="I4" s="457"/>
      <c r="J4" s="457"/>
      <c r="K4" s="457"/>
      <c r="L4" s="457"/>
      <c r="M4" s="457"/>
      <c r="N4" s="457"/>
      <c r="O4" s="457"/>
      <c r="P4" s="457"/>
      <c r="Q4" s="457"/>
      <c r="R4" s="457"/>
      <c r="S4" s="457"/>
    </row>
    <row r="5" spans="1:22" ht="14.4">
      <c r="A5" s="2385" t="s">
        <v>1653</v>
      </c>
      <c r="B5" s="3420" t="s">
        <v>1654</v>
      </c>
      <c r="C5" s="3421"/>
      <c r="D5" s="2476"/>
      <c r="E5" s="1729" t="s">
        <v>1655</v>
      </c>
      <c r="F5" s="127" t="s">
        <v>1656</v>
      </c>
      <c r="G5" s="457"/>
      <c r="H5" s="457"/>
      <c r="I5" s="457"/>
      <c r="J5" s="457"/>
      <c r="K5" s="457"/>
      <c r="L5" s="457"/>
      <c r="M5" s="457"/>
      <c r="N5" s="457"/>
      <c r="O5" s="457"/>
      <c r="P5" s="457"/>
      <c r="Q5" s="457"/>
      <c r="R5" s="457"/>
      <c r="S5" s="457"/>
    </row>
    <row r="6" spans="1:22" ht="14.4">
      <c r="A6" s="2386" t="str">
        <f>'数据-取费表'!AN6</f>
        <v>收益法</v>
      </c>
      <c r="B6" s="2384">
        <f ca="1">IF(F6="是",'数据-取费表'!AO6,0)</f>
        <v>11837</v>
      </c>
      <c r="C6" s="1727" t="s">
        <v>1651</v>
      </c>
      <c r="D6" s="2475"/>
      <c r="E6" s="2388">
        <f>IF(OR(A6=0,F6="否"),0,'数据-取费表'!K6+'数据-取费表'!S6)</f>
        <v>43685.850000000006</v>
      </c>
      <c r="F6" s="1730" t="s">
        <v>1657</v>
      </c>
      <c r="G6" s="457"/>
      <c r="H6" s="457"/>
      <c r="I6" s="457"/>
      <c r="J6" s="457"/>
      <c r="K6" s="457"/>
      <c r="L6" s="457"/>
      <c r="M6" s="457"/>
      <c r="N6" s="457"/>
      <c r="O6" s="457"/>
      <c r="P6" s="457"/>
      <c r="Q6" s="457"/>
      <c r="R6" s="457"/>
      <c r="S6" s="457"/>
    </row>
    <row r="7" spans="1:22" ht="14.4">
      <c r="A7" s="2386">
        <f>'数据-取费表'!AN7</f>
        <v>0</v>
      </c>
      <c r="B7" s="2384" t="e">
        <f ca="1">IF(F7="是",'数据-取费表'!AO7,0)</f>
        <v>#REF!</v>
      </c>
      <c r="C7" s="1727" t="s">
        <v>1651</v>
      </c>
      <c r="D7" s="2475"/>
      <c r="E7" s="2388">
        <f>IF(OR(A7=0,F7="否"),0,'数据-取费表'!K7+'数据-取费表'!S7)</f>
        <v>0</v>
      </c>
      <c r="F7" s="1730" t="s">
        <v>1657</v>
      </c>
      <c r="G7" s="457"/>
      <c r="H7" s="457"/>
      <c r="I7" s="457"/>
      <c r="J7" s="457"/>
      <c r="K7" s="457"/>
      <c r="L7" s="457"/>
      <c r="M7" s="457"/>
      <c r="N7" s="457"/>
      <c r="O7" s="457"/>
      <c r="P7" s="457"/>
      <c r="Q7" s="457"/>
      <c r="R7" s="457"/>
      <c r="S7" s="457"/>
    </row>
    <row r="8" spans="1:22" ht="14.4">
      <c r="A8" s="2386">
        <f>'数据-取费表'!AN8</f>
        <v>0</v>
      </c>
      <c r="B8" s="2384" t="e">
        <f ca="1">IF(F8="是",'数据-取费表'!AO8,0)</f>
        <v>#REF!</v>
      </c>
      <c r="C8" s="1727" t="s">
        <v>1651</v>
      </c>
      <c r="D8" s="2475"/>
      <c r="E8" s="2388">
        <f>IF(OR(A8=0,F8="否"),0,'数据-取费表'!K8+'数据-取费表'!S8)</f>
        <v>0</v>
      </c>
      <c r="F8" s="1730" t="s">
        <v>1657</v>
      </c>
      <c r="G8" s="457"/>
      <c r="H8" s="457"/>
      <c r="I8" s="457"/>
      <c r="J8" s="457"/>
      <c r="K8" s="457"/>
      <c r="L8" s="457"/>
      <c r="M8" s="457"/>
      <c r="N8" s="457"/>
      <c r="O8" s="457"/>
      <c r="P8" s="457"/>
      <c r="Q8" s="457"/>
      <c r="R8" s="457"/>
      <c r="S8" s="457"/>
    </row>
    <row r="9" spans="1:22" ht="14.4">
      <c r="A9" s="2386">
        <f>'数据-取费表'!AN9</f>
        <v>0</v>
      </c>
      <c r="B9" s="2384" t="e">
        <f ca="1">IF(F9="是",'数据-取费表'!AO9,0)</f>
        <v>#REF!</v>
      </c>
      <c r="C9" s="1727" t="s">
        <v>1651</v>
      </c>
      <c r="D9" s="2475"/>
      <c r="E9" s="2388">
        <f>IF(OR(A9=0,F9="否"),0,'数据-取费表'!K9+'数据-取费表'!S9)</f>
        <v>0</v>
      </c>
      <c r="F9" s="1730" t="s">
        <v>1657</v>
      </c>
      <c r="G9" s="457"/>
      <c r="H9" s="457"/>
      <c r="I9" s="457"/>
      <c r="J9" s="457"/>
      <c r="K9" s="457"/>
      <c r="L9" s="457"/>
      <c r="M9" s="457"/>
      <c r="N9" s="457"/>
      <c r="O9" s="457"/>
      <c r="P9" s="457"/>
      <c r="Q9" s="457"/>
      <c r="R9" s="457"/>
      <c r="S9" s="457"/>
    </row>
    <row r="10" spans="1:22" ht="14.4">
      <c r="A10" s="2386">
        <f>'数据-取费表'!AN10</f>
        <v>0</v>
      </c>
      <c r="B10" s="2384" t="e">
        <f ca="1">IF(F10="是",'数据-取费表'!AO10,0)</f>
        <v>#REF!</v>
      </c>
      <c r="C10" s="1727" t="s">
        <v>1651</v>
      </c>
      <c r="D10" s="2475"/>
      <c r="E10" s="2388">
        <f>IF(OR(A10=0,F10="否"),0,'数据-取费表'!K10+'数据-取费表'!S10)</f>
        <v>0</v>
      </c>
      <c r="F10" s="1730" t="s">
        <v>1657</v>
      </c>
      <c r="G10" s="457"/>
      <c r="H10" s="457"/>
      <c r="I10" s="457"/>
      <c r="J10" s="457"/>
      <c r="K10" s="457"/>
      <c r="L10" s="457"/>
      <c r="M10" s="457"/>
      <c r="N10" s="457"/>
      <c r="O10" s="457"/>
      <c r="P10" s="457"/>
      <c r="Q10" s="457"/>
      <c r="R10" s="457"/>
      <c r="S10" s="457"/>
    </row>
    <row r="11" spans="1:22" ht="14.4">
      <c r="A11" s="2386">
        <f>'数据-取费表'!AN11</f>
        <v>0</v>
      </c>
      <c r="B11" s="2384" t="e">
        <f ca="1">IF(F11="是",'数据-取费表'!AO11,0)</f>
        <v>#REF!</v>
      </c>
      <c r="C11" s="1727" t="s">
        <v>1651</v>
      </c>
      <c r="D11" s="2475"/>
      <c r="E11" s="2388">
        <f>IF(OR(A11=0,F11="否"),0,'数据-取费表'!K11+'数据-取费表'!S11)</f>
        <v>0</v>
      </c>
      <c r="F11" s="1730" t="s">
        <v>1657</v>
      </c>
      <c r="G11" s="457"/>
      <c r="H11" s="457"/>
      <c r="I11" s="457"/>
      <c r="J11" s="457"/>
      <c r="K11" s="457"/>
      <c r="L11" s="457"/>
      <c r="M11" s="457"/>
      <c r="N11" s="457"/>
      <c r="O11" s="457"/>
      <c r="P11" s="457"/>
      <c r="Q11" s="457"/>
      <c r="R11" s="457"/>
      <c r="S11" s="457"/>
    </row>
    <row r="12" spans="1:22" ht="14.4">
      <c r="A12" s="2386">
        <f>'数据-取费表'!AN12</f>
        <v>0</v>
      </c>
      <c r="B12" s="2384" t="e">
        <f ca="1">IF(F12="是",'数据-取费表'!AO12,0)</f>
        <v>#REF!</v>
      </c>
      <c r="C12" s="1727" t="s">
        <v>1651</v>
      </c>
      <c r="D12" s="2475"/>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43685.850000000006</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3" t="s">
        <v>1666</v>
      </c>
      <c r="B4" s="344"/>
      <c r="C4" s="3351" t="s">
        <v>1667</v>
      </c>
      <c r="D4" s="3377"/>
      <c r="E4" s="3378" t="s">
        <v>1668</v>
      </c>
      <c r="F4" s="3379"/>
      <c r="G4" s="3351" t="s">
        <v>1669</v>
      </c>
      <c r="H4" s="3377"/>
      <c r="I4" s="3351" t="s">
        <v>1670</v>
      </c>
      <c r="J4" s="3377"/>
      <c r="K4" s="1742" t="s">
        <v>1671</v>
      </c>
      <c r="L4" s="2482"/>
      <c r="M4" s="2483"/>
      <c r="N4" s="2483"/>
      <c r="O4" s="2483"/>
      <c r="P4" s="3380" t="s">
        <v>1672</v>
      </c>
      <c r="Q4" s="3381"/>
      <c r="R4" s="3357" t="s">
        <v>1668</v>
      </c>
      <c r="S4" s="3358"/>
      <c r="T4" s="3357" t="s">
        <v>1669</v>
      </c>
      <c r="U4" s="3358"/>
      <c r="V4" s="3370" t="s">
        <v>1670</v>
      </c>
      <c r="W4" s="3370"/>
      <c r="X4" s="1263"/>
      <c r="Y4" s="3357" t="s">
        <v>1672</v>
      </c>
      <c r="Z4" s="3358"/>
      <c r="AA4" s="3374" t="s">
        <v>1668</v>
      </c>
      <c r="AB4" s="3374" t="s">
        <v>1669</v>
      </c>
      <c r="AC4" s="3374" t="s">
        <v>1670</v>
      </c>
    </row>
    <row r="5" spans="1:29">
      <c r="A5" s="346"/>
      <c r="B5" s="347"/>
      <c r="C5" s="3361" t="s">
        <v>1673</v>
      </c>
      <c r="D5" s="3362"/>
      <c r="E5" s="3386" t="s">
        <v>1674</v>
      </c>
      <c r="F5" s="3387"/>
      <c r="G5" s="3361" t="s">
        <v>1675</v>
      </c>
      <c r="H5" s="3362"/>
      <c r="I5" s="3361" t="s">
        <v>1676</v>
      </c>
      <c r="J5" s="3362"/>
      <c r="K5" s="1743"/>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1743" t="s">
        <v>1678</v>
      </c>
      <c r="L6" s="2482"/>
      <c r="M6" s="2483"/>
      <c r="N6" s="2483"/>
      <c r="O6" s="2483"/>
      <c r="P6" s="3384"/>
      <c r="Q6" s="3385"/>
      <c r="R6" s="3359"/>
      <c r="S6" s="3360"/>
      <c r="T6" s="3368"/>
      <c r="U6" s="3369"/>
      <c r="V6" s="3370"/>
      <c r="W6" s="3370"/>
      <c r="X6" s="1263"/>
      <c r="Y6" s="3368"/>
      <c r="Z6" s="3369"/>
      <c r="AA6" s="3376"/>
      <c r="AB6" s="3376"/>
      <c r="AC6" s="3376"/>
    </row>
    <row r="7" spans="1:29" s="101" customFormat="1" ht="15" thickBot="1">
      <c r="A7" s="350" t="s">
        <v>1679</v>
      </c>
      <c r="B7" s="351"/>
      <c r="C7" s="352">
        <f>'数据-取费表'!B2</f>
        <v>45649</v>
      </c>
      <c r="D7" s="353">
        <v>100</v>
      </c>
      <c r="E7" s="354"/>
      <c r="F7" s="355">
        <f>SUMIF(58:58,YEAR(E7)&amp;"-"&amp;MONTH(E7),59:59)</f>
        <v>0</v>
      </c>
      <c r="G7" s="354"/>
      <c r="H7" s="353">
        <f>SUMIF(58:58,YEAR(G7)&amp;"-"&amp;MONTH(G7),59:59)</f>
        <v>0</v>
      </c>
      <c r="I7" s="354"/>
      <c r="J7" s="353">
        <f>SUMIF(58:58,YEAR(I7)&amp;"-"&amp;MONTH(I7),59:59)</f>
        <v>0</v>
      </c>
      <c r="K7" s="1744"/>
      <c r="L7" s="2484"/>
      <c r="M7" s="2436"/>
      <c r="N7" s="2436"/>
      <c r="O7" s="2436"/>
      <c r="P7" s="3355" t="s">
        <v>1680</v>
      </c>
      <c r="Q7" s="3365"/>
      <c r="R7" s="662" t="s">
        <v>20</v>
      </c>
      <c r="S7" s="663">
        <f t="shared" ref="S7:S15" si="0">F7</f>
        <v>0</v>
      </c>
      <c r="T7" s="662" t="s">
        <v>20</v>
      </c>
      <c r="U7" s="663">
        <f t="shared" ref="U7:U15" si="1">H7</f>
        <v>0</v>
      </c>
      <c r="V7" s="662" t="s">
        <v>20</v>
      </c>
      <c r="W7" s="663">
        <f t="shared" ref="W7:W15" si="2">J7</f>
        <v>0</v>
      </c>
      <c r="X7" s="664"/>
      <c r="Y7" s="3355" t="s">
        <v>1680</v>
      </c>
      <c r="Z7" s="3356"/>
      <c r="AA7" s="50" t="e">
        <f>D7/F7</f>
        <v>#DIV/0!</v>
      </c>
      <c r="AB7" s="50" t="e">
        <f>D7/H7</f>
        <v>#DIV/0!</v>
      </c>
      <c r="AC7" s="50" t="e">
        <f>D7/J7</f>
        <v>#DIV/0!</v>
      </c>
    </row>
    <row r="8" spans="1:29" s="101" customFormat="1" ht="1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4"/>
      <c r="M8" s="2436"/>
      <c r="N8" s="2436"/>
      <c r="O8" s="2436"/>
      <c r="P8" s="3355" t="s">
        <v>1683</v>
      </c>
      <c r="Q8" s="3356"/>
      <c r="R8" s="662" t="s">
        <v>20</v>
      </c>
      <c r="S8" s="663">
        <f t="shared" si="0"/>
        <v>100</v>
      </c>
      <c r="T8" s="662" t="s">
        <v>20</v>
      </c>
      <c r="U8" s="663">
        <f t="shared" si="1"/>
        <v>100</v>
      </c>
      <c r="V8" s="662" t="s">
        <v>20</v>
      </c>
      <c r="W8" s="663">
        <f t="shared" si="2"/>
        <v>100</v>
      </c>
      <c r="X8" s="664"/>
      <c r="Y8" s="3355" t="s">
        <v>1683</v>
      </c>
      <c r="Z8" s="3356"/>
      <c r="AA8" s="50">
        <f t="shared" ref="AA8:AA19" si="3">D8/F8</f>
        <v>1</v>
      </c>
      <c r="AB8" s="50">
        <f t="shared" ref="AB8:AB19" si="4">D8/H8</f>
        <v>1</v>
      </c>
      <c r="AC8" s="50">
        <f t="shared" ref="AC8:AC19" si="5">D8/J8</f>
        <v>1</v>
      </c>
    </row>
    <row r="9" spans="1:29" s="101"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4"/>
      <c r="M9" s="2436"/>
      <c r="N9" s="2436"/>
      <c r="O9" s="2436"/>
      <c r="P9" s="3353"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1744"/>
      <c r="L10" s="2485"/>
      <c r="M10" s="2486"/>
      <c r="N10" s="2486"/>
      <c r="O10" s="2486"/>
      <c r="P10" s="3353"/>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7"/>
      <c r="M11" s="2483"/>
      <c r="N11" s="2483"/>
      <c r="O11" s="2483"/>
      <c r="P11" s="3353"/>
      <c r="Q11" s="528" t="str">
        <f t="shared" si="6"/>
        <v>容积率</v>
      </c>
      <c r="R11" s="662" t="s">
        <v>18</v>
      </c>
      <c r="S11" s="663" t="e">
        <f t="shared" si="0"/>
        <v>#N/A</v>
      </c>
      <c r="T11" s="662" t="s">
        <v>18</v>
      </c>
      <c r="U11" s="663" t="e">
        <f t="shared" si="1"/>
        <v>#N/A</v>
      </c>
      <c r="V11" s="662" t="s">
        <v>18</v>
      </c>
      <c r="W11" s="663" t="e">
        <f t="shared" si="2"/>
        <v>#N/A</v>
      </c>
      <c r="X11" s="664"/>
      <c r="Y11" s="3258"/>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4"/>
      <c r="M12" s="2436"/>
      <c r="N12" s="2436"/>
      <c r="O12" s="2436"/>
      <c r="P12" s="3353"/>
      <c r="Q12" s="528">
        <f t="shared" si="6"/>
        <v>111</v>
      </c>
      <c r="R12" s="662" t="s">
        <v>18</v>
      </c>
      <c r="S12" s="663">
        <f t="shared" si="0"/>
        <v>100</v>
      </c>
      <c r="T12" s="662" t="s">
        <v>18</v>
      </c>
      <c r="U12" s="663">
        <f t="shared" si="1"/>
        <v>100</v>
      </c>
      <c r="V12" s="662" t="s">
        <v>18</v>
      </c>
      <c r="W12" s="663">
        <f t="shared" si="2"/>
        <v>100</v>
      </c>
      <c r="X12" s="664"/>
      <c r="Y12" s="325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8"/>
      <c r="M13" s="2483"/>
      <c r="N13" s="2483"/>
      <c r="O13" s="2483"/>
      <c r="P13" s="3353"/>
      <c r="Q13" s="528">
        <f t="shared" si="6"/>
        <v>111</v>
      </c>
      <c r="R13" s="662" t="s">
        <v>18</v>
      </c>
      <c r="S13" s="663">
        <f t="shared" si="0"/>
        <v>100</v>
      </c>
      <c r="T13" s="662" t="s">
        <v>18</v>
      </c>
      <c r="U13" s="663">
        <f t="shared" si="1"/>
        <v>100</v>
      </c>
      <c r="V13" s="662" t="s">
        <v>18</v>
      </c>
      <c r="W13" s="663">
        <f t="shared" si="2"/>
        <v>100</v>
      </c>
      <c r="X13" s="664"/>
      <c r="Y13" s="3258"/>
      <c r="Z13" s="50">
        <f t="shared" si="7"/>
        <v>111</v>
      </c>
      <c r="AA13" s="50">
        <f t="shared" si="3"/>
        <v>1</v>
      </c>
      <c r="AB13" s="50">
        <f t="shared" si="4"/>
        <v>1</v>
      </c>
      <c r="AC13" s="50">
        <f t="shared" si="5"/>
        <v>1</v>
      </c>
    </row>
    <row r="14" spans="1:29" ht="15.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8"/>
      <c r="M14" s="2483"/>
      <c r="N14" s="2483"/>
      <c r="O14" s="2483"/>
      <c r="P14" s="3353"/>
      <c r="Q14" s="528">
        <f t="shared" si="6"/>
        <v>111</v>
      </c>
      <c r="R14" s="662" t="s">
        <v>18</v>
      </c>
      <c r="S14" s="663">
        <f t="shared" si="0"/>
        <v>100</v>
      </c>
      <c r="T14" s="662" t="s">
        <v>18</v>
      </c>
      <c r="U14" s="663">
        <f t="shared" si="1"/>
        <v>100</v>
      </c>
      <c r="V14" s="662" t="s">
        <v>18</v>
      </c>
      <c r="W14" s="663">
        <f t="shared" si="2"/>
        <v>100</v>
      </c>
      <c r="X14" s="664"/>
      <c r="Y14" s="3258"/>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8"/>
      <c r="M15" s="2483"/>
      <c r="N15" s="2483"/>
      <c r="O15" s="2483"/>
      <c r="P15" s="3427" t="s">
        <v>1691</v>
      </c>
      <c r="Q15" s="1261" t="str">
        <f t="shared" si="6"/>
        <v>居住社区成熟度</v>
      </c>
      <c r="R15" s="665" t="s">
        <v>18</v>
      </c>
      <c r="S15" s="666">
        <f t="shared" si="0"/>
        <v>100</v>
      </c>
      <c r="T15" s="665" t="s">
        <v>18</v>
      </c>
      <c r="U15" s="666">
        <f t="shared" si="1"/>
        <v>100</v>
      </c>
      <c r="V15" s="665" t="s">
        <v>18</v>
      </c>
      <c r="W15" s="666">
        <f t="shared" si="2"/>
        <v>100</v>
      </c>
      <c r="X15" s="1263"/>
      <c r="Y15" s="3371"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8"/>
      <c r="M16" s="2483"/>
      <c r="N16" s="2483"/>
      <c r="O16" s="2483"/>
      <c r="P16" s="3428"/>
      <c r="Q16" s="1261"/>
      <c r="R16" s="665"/>
      <c r="S16" s="666"/>
      <c r="T16" s="665"/>
      <c r="U16" s="666"/>
      <c r="V16" s="665"/>
      <c r="W16" s="666"/>
      <c r="X16" s="1263"/>
      <c r="Y16" s="3372"/>
      <c r="Z16" s="1262"/>
      <c r="AA16" s="1262">
        <v>1</v>
      </c>
      <c r="AB16" s="1262">
        <v>1</v>
      </c>
      <c r="AC16" s="1262">
        <v>1</v>
      </c>
    </row>
    <row r="17" spans="1:29" ht="15">
      <c r="A17" s="365"/>
      <c r="B17" s="388" t="s">
        <v>1259</v>
      </c>
      <c r="C17" s="1752">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88"/>
      <c r="M17" s="2483"/>
      <c r="N17" s="2483"/>
      <c r="O17" s="2483"/>
      <c r="P17" s="3428"/>
      <c r="Q17" s="1261" t="str">
        <f>B17</f>
        <v>交通便捷度</v>
      </c>
      <c r="R17" s="665" t="s">
        <v>18</v>
      </c>
      <c r="S17" s="666">
        <f>F17</f>
        <v>100</v>
      </c>
      <c r="T17" s="665" t="s">
        <v>18</v>
      </c>
      <c r="U17" s="666">
        <f>H17</f>
        <v>100</v>
      </c>
      <c r="V17" s="665" t="s">
        <v>18</v>
      </c>
      <c r="W17" s="666">
        <f>J17</f>
        <v>100</v>
      </c>
      <c r="X17" s="1263"/>
      <c r="Y17" s="3372"/>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8"/>
      <c r="M18" s="2483"/>
      <c r="N18" s="2483"/>
      <c r="O18" s="2483"/>
      <c r="P18" s="3428"/>
      <c r="Q18" s="1261"/>
      <c r="R18" s="665"/>
      <c r="S18" s="666"/>
      <c r="T18" s="665"/>
      <c r="U18" s="666"/>
      <c r="V18" s="665"/>
      <c r="W18" s="666"/>
      <c r="X18" s="1263"/>
      <c r="Y18" s="3372"/>
      <c r="Z18" s="1262"/>
      <c r="AA18" s="1262">
        <v>1</v>
      </c>
      <c r="AB18" s="1262">
        <v>1</v>
      </c>
      <c r="AC18" s="1262">
        <v>1</v>
      </c>
    </row>
    <row r="19" spans="1:29" ht="15">
      <c r="A19" s="365"/>
      <c r="B19" s="388" t="s">
        <v>1258</v>
      </c>
      <c r="C19" s="1752">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88"/>
      <c r="M19" s="2483"/>
      <c r="N19" s="2483"/>
      <c r="O19" s="2483"/>
      <c r="P19" s="3428"/>
      <c r="Q19" s="1261" t="str">
        <f>B19</f>
        <v>公共配套设施</v>
      </c>
      <c r="R19" s="665" t="s">
        <v>18</v>
      </c>
      <c r="S19" s="666">
        <f>F19</f>
        <v>100</v>
      </c>
      <c r="T19" s="665" t="s">
        <v>18</v>
      </c>
      <c r="U19" s="666">
        <f>H19</f>
        <v>100</v>
      </c>
      <c r="V19" s="665" t="s">
        <v>18</v>
      </c>
      <c r="W19" s="666">
        <f>J19</f>
        <v>100</v>
      </c>
      <c r="X19" s="1263"/>
      <c r="Y19" s="3372"/>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8"/>
      <c r="M20" s="2483"/>
      <c r="N20" s="2483"/>
      <c r="O20" s="2483"/>
      <c r="P20" s="3428"/>
      <c r="Q20" s="1261"/>
      <c r="R20" s="665"/>
      <c r="S20" s="666"/>
      <c r="T20" s="665"/>
      <c r="U20" s="666"/>
      <c r="V20" s="665"/>
      <c r="W20" s="666"/>
      <c r="X20" s="1263"/>
      <c r="Y20" s="3372"/>
      <c r="Z20" s="1262"/>
      <c r="AA20" s="1262">
        <v>1</v>
      </c>
      <c r="AB20" s="1262">
        <v>1</v>
      </c>
      <c r="AC20" s="1262">
        <v>1</v>
      </c>
    </row>
    <row r="21" spans="1:29" ht="15">
      <c r="A21" s="365"/>
      <c r="B21" s="584" t="s">
        <v>1260</v>
      </c>
      <c r="C21" s="1752">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88"/>
      <c r="M21" s="2483"/>
      <c r="N21" s="2483"/>
      <c r="O21" s="2483"/>
      <c r="P21" s="3428"/>
      <c r="Q21" s="1261" t="str">
        <f>B21</f>
        <v>基础设施水平</v>
      </c>
      <c r="R21" s="665" t="s">
        <v>14</v>
      </c>
      <c r="S21" s="666">
        <f>F21</f>
        <v>100</v>
      </c>
      <c r="T21" s="665" t="s">
        <v>14</v>
      </c>
      <c r="U21" s="666">
        <f>H21</f>
        <v>100</v>
      </c>
      <c r="V21" s="665" t="s">
        <v>14</v>
      </c>
      <c r="W21" s="666">
        <f>J21</f>
        <v>100</v>
      </c>
      <c r="X21" s="1263"/>
      <c r="Y21" s="3372"/>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8"/>
      <c r="M22" s="2483"/>
      <c r="N22" s="2483"/>
      <c r="O22" s="2483"/>
      <c r="P22" s="3428"/>
      <c r="Q22" s="1261"/>
      <c r="R22" s="665"/>
      <c r="S22" s="666"/>
      <c r="T22" s="665"/>
      <c r="U22" s="666"/>
      <c r="V22" s="665"/>
      <c r="W22" s="666"/>
      <c r="X22" s="1263"/>
      <c r="Y22" s="3372"/>
      <c r="Z22" s="1262"/>
      <c r="AA22" s="1262">
        <v>1</v>
      </c>
      <c r="AB22" s="1262">
        <v>1</v>
      </c>
      <c r="AC22" s="1262">
        <v>1</v>
      </c>
    </row>
    <row r="23" spans="1:29" ht="15">
      <c r="A23" s="365"/>
      <c r="B23" s="388" t="s">
        <v>1261</v>
      </c>
      <c r="C23" s="1752">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88"/>
      <c r="M23" s="2483"/>
      <c r="N23" s="2483"/>
      <c r="O23" s="2483"/>
      <c r="P23" s="3428"/>
      <c r="Q23" s="1261" t="str">
        <f>B23</f>
        <v>自然及人文环境</v>
      </c>
      <c r="R23" s="665" t="s">
        <v>18</v>
      </c>
      <c r="S23" s="666">
        <f>F23</f>
        <v>100</v>
      </c>
      <c r="T23" s="665" t="s">
        <v>18</v>
      </c>
      <c r="U23" s="666">
        <f>H23</f>
        <v>100</v>
      </c>
      <c r="V23" s="665" t="s">
        <v>18</v>
      </c>
      <c r="W23" s="666">
        <f>J23</f>
        <v>100</v>
      </c>
      <c r="X23" s="1263"/>
      <c r="Y23" s="3372"/>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8"/>
      <c r="M24" s="2483"/>
      <c r="N24" s="2483"/>
      <c r="O24" s="2483"/>
      <c r="P24" s="3428"/>
      <c r="Q24" s="1261"/>
      <c r="R24" s="665"/>
      <c r="S24" s="666"/>
      <c r="T24" s="665"/>
      <c r="U24" s="666"/>
      <c r="V24" s="665"/>
      <c r="W24" s="666"/>
      <c r="X24" s="1263"/>
      <c r="Y24" s="3372"/>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8"/>
      <c r="M25" s="2483"/>
      <c r="N25" s="2483"/>
      <c r="O25" s="2483"/>
      <c r="P25" s="3428"/>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372"/>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8"/>
      <c r="M26" s="2483"/>
      <c r="N26" s="2483"/>
      <c r="O26" s="2483"/>
      <c r="P26" s="3428"/>
      <c r="Q26" s="1261" t="str">
        <f t="shared" si="11"/>
        <v>朝向</v>
      </c>
      <c r="R26" s="665" t="s">
        <v>18</v>
      </c>
      <c r="S26" s="666">
        <f t="shared" si="12"/>
        <v>100</v>
      </c>
      <c r="T26" s="665" t="s">
        <v>18</v>
      </c>
      <c r="U26" s="666">
        <f t="shared" si="13"/>
        <v>100</v>
      </c>
      <c r="V26" s="665" t="s">
        <v>18</v>
      </c>
      <c r="W26" s="666">
        <f t="shared" si="14"/>
        <v>100</v>
      </c>
      <c r="X26" s="1263"/>
      <c r="Y26" s="3372"/>
      <c r="Z26" s="1262" t="str">
        <f>Q26</f>
        <v>朝向</v>
      </c>
      <c r="AA26" s="1262">
        <f t="shared" si="15"/>
        <v>1</v>
      </c>
      <c r="AB26" s="1262">
        <f t="shared" si="16"/>
        <v>1</v>
      </c>
      <c r="AC26" s="1262">
        <f t="shared" si="17"/>
        <v>1</v>
      </c>
    </row>
    <row r="27" spans="1:29" s="101"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4"/>
      <c r="M27" s="2436"/>
      <c r="N27" s="2436"/>
      <c r="O27" s="2436"/>
      <c r="P27" s="3428"/>
      <c r="Q27" s="528">
        <f t="shared" si="11"/>
        <v>111</v>
      </c>
      <c r="R27" s="662" t="s">
        <v>18</v>
      </c>
      <c r="S27" s="663">
        <f t="shared" si="12"/>
        <v>100</v>
      </c>
      <c r="T27" s="662" t="s">
        <v>18</v>
      </c>
      <c r="U27" s="663">
        <f t="shared" si="13"/>
        <v>100</v>
      </c>
      <c r="V27" s="662" t="s">
        <v>18</v>
      </c>
      <c r="W27" s="663">
        <f t="shared" si="14"/>
        <v>100</v>
      </c>
      <c r="X27" s="664"/>
      <c r="Y27" s="3372"/>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8"/>
      <c r="M28" s="2483"/>
      <c r="N28" s="2483"/>
      <c r="O28" s="2483"/>
      <c r="P28" s="3428"/>
      <c r="Q28" s="1261">
        <f t="shared" si="11"/>
        <v>111</v>
      </c>
      <c r="R28" s="665" t="s">
        <v>18</v>
      </c>
      <c r="S28" s="666">
        <f t="shared" si="12"/>
        <v>100</v>
      </c>
      <c r="T28" s="665" t="s">
        <v>18</v>
      </c>
      <c r="U28" s="666">
        <f t="shared" si="13"/>
        <v>100</v>
      </c>
      <c r="V28" s="665" t="s">
        <v>18</v>
      </c>
      <c r="W28" s="666">
        <f t="shared" si="14"/>
        <v>100</v>
      </c>
      <c r="X28" s="1263"/>
      <c r="Y28" s="3372"/>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8"/>
      <c r="M29" s="2483"/>
      <c r="N29" s="2483"/>
      <c r="O29" s="2483"/>
      <c r="P29" s="3428"/>
      <c r="Q29" s="1261">
        <f t="shared" si="11"/>
        <v>111</v>
      </c>
      <c r="R29" s="665" t="s">
        <v>18</v>
      </c>
      <c r="S29" s="666">
        <f t="shared" si="12"/>
        <v>100</v>
      </c>
      <c r="T29" s="665" t="s">
        <v>18</v>
      </c>
      <c r="U29" s="666">
        <f t="shared" si="13"/>
        <v>100</v>
      </c>
      <c r="V29" s="665" t="s">
        <v>18</v>
      </c>
      <c r="W29" s="666">
        <f t="shared" si="14"/>
        <v>100</v>
      </c>
      <c r="X29" s="1263"/>
      <c r="Y29" s="3372"/>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8"/>
      <c r="M30" s="2483"/>
      <c r="N30" s="2483"/>
      <c r="O30" s="2483"/>
      <c r="P30" s="3428"/>
      <c r="Q30" s="1261">
        <f t="shared" si="11"/>
        <v>111</v>
      </c>
      <c r="R30" s="665" t="s">
        <v>18</v>
      </c>
      <c r="S30" s="666">
        <f t="shared" si="12"/>
        <v>100</v>
      </c>
      <c r="T30" s="665" t="s">
        <v>18</v>
      </c>
      <c r="U30" s="666">
        <f t="shared" si="13"/>
        <v>100</v>
      </c>
      <c r="V30" s="665" t="s">
        <v>18</v>
      </c>
      <c r="W30" s="666">
        <f t="shared" si="14"/>
        <v>100</v>
      </c>
      <c r="X30" s="1263"/>
      <c r="Y30" s="3372"/>
      <c r="Z30" s="1262">
        <f t="shared" si="18"/>
        <v>111</v>
      </c>
      <c r="AA30" s="1262">
        <f t="shared" si="15"/>
        <v>1</v>
      </c>
      <c r="AB30" s="1262">
        <f t="shared" si="16"/>
        <v>1</v>
      </c>
      <c r="AC30" s="1262">
        <f t="shared" si="17"/>
        <v>1</v>
      </c>
    </row>
    <row r="31" spans="1:29" ht="15.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8"/>
      <c r="M31" s="2483"/>
      <c r="N31" s="2483"/>
      <c r="O31" s="2483"/>
      <c r="P31" s="3428"/>
      <c r="Q31" s="1261">
        <f t="shared" si="11"/>
        <v>111</v>
      </c>
      <c r="R31" s="665" t="s">
        <v>18</v>
      </c>
      <c r="S31" s="666">
        <f t="shared" si="12"/>
        <v>100</v>
      </c>
      <c r="T31" s="665" t="s">
        <v>18</v>
      </c>
      <c r="U31" s="666">
        <f t="shared" si="13"/>
        <v>100</v>
      </c>
      <c r="V31" s="665" t="s">
        <v>18</v>
      </c>
      <c r="W31" s="666">
        <f t="shared" si="14"/>
        <v>100</v>
      </c>
      <c r="X31" s="1263"/>
      <c r="Y31" s="3372"/>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8"/>
      <c r="M32" s="2483"/>
      <c r="N32" s="2483"/>
      <c r="O32" s="2483"/>
      <c r="P32" s="3423" t="s">
        <v>1696</v>
      </c>
      <c r="Q32" s="1261" t="str">
        <f t="shared" si="11"/>
        <v>建筑类型</v>
      </c>
      <c r="R32" s="665" t="s">
        <v>18</v>
      </c>
      <c r="S32" s="666">
        <f t="shared" si="12"/>
        <v>100</v>
      </c>
      <c r="T32" s="665" t="s">
        <v>18</v>
      </c>
      <c r="U32" s="666">
        <f t="shared" si="13"/>
        <v>100</v>
      </c>
      <c r="V32" s="665" t="s">
        <v>18</v>
      </c>
      <c r="W32" s="666">
        <f t="shared" si="14"/>
        <v>100</v>
      </c>
      <c r="X32" s="1263"/>
      <c r="Y32" s="3373"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7"/>
      <c r="M33" s="2489"/>
      <c r="N33" s="2489"/>
      <c r="O33" s="2489"/>
      <c r="P33" s="3424"/>
      <c r="Q33" s="529" t="str">
        <f t="shared" si="11"/>
        <v>项目建筑规模</v>
      </c>
      <c r="R33" s="667" t="s">
        <v>18</v>
      </c>
      <c r="S33" s="668" t="e">
        <f t="shared" si="12"/>
        <v>#N/A</v>
      </c>
      <c r="T33" s="667" t="s">
        <v>18</v>
      </c>
      <c r="U33" s="668" t="e">
        <f t="shared" si="13"/>
        <v>#N/A</v>
      </c>
      <c r="V33" s="667" t="s">
        <v>18</v>
      </c>
      <c r="W33" s="668" t="e">
        <f t="shared" si="14"/>
        <v>#N/A</v>
      </c>
      <c r="X33" s="669"/>
      <c r="Y33" s="3373"/>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8"/>
      <c r="M34" s="2483"/>
      <c r="N34" s="2483"/>
      <c r="O34" s="2483"/>
      <c r="P34" s="3424"/>
      <c r="Q34" s="1261" t="str">
        <f t="shared" si="11"/>
        <v>建筑结构</v>
      </c>
      <c r="R34" s="665" t="s">
        <v>18</v>
      </c>
      <c r="S34" s="666">
        <f t="shared" si="12"/>
        <v>100</v>
      </c>
      <c r="T34" s="665" t="s">
        <v>18</v>
      </c>
      <c r="U34" s="666">
        <f t="shared" si="13"/>
        <v>100</v>
      </c>
      <c r="V34" s="665" t="s">
        <v>18</v>
      </c>
      <c r="W34" s="666">
        <f t="shared" si="14"/>
        <v>100</v>
      </c>
      <c r="X34" s="1263"/>
      <c r="Y34" s="3373"/>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8"/>
      <c r="M35" s="2483"/>
      <c r="N35" s="2483"/>
      <c r="O35" s="2483"/>
      <c r="P35" s="3424"/>
      <c r="Q35" s="1261" t="str">
        <f t="shared" si="11"/>
        <v>建筑品质</v>
      </c>
      <c r="R35" s="665" t="s">
        <v>18</v>
      </c>
      <c r="S35" s="666">
        <f t="shared" si="12"/>
        <v>100</v>
      </c>
      <c r="T35" s="665" t="s">
        <v>18</v>
      </c>
      <c r="U35" s="666">
        <f t="shared" si="13"/>
        <v>100</v>
      </c>
      <c r="V35" s="665" t="s">
        <v>18</v>
      </c>
      <c r="W35" s="666">
        <f t="shared" si="14"/>
        <v>100</v>
      </c>
      <c r="X35" s="1263"/>
      <c r="Y35" s="3373"/>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8"/>
      <c r="M36" s="2483"/>
      <c r="N36" s="2483"/>
      <c r="O36" s="2483"/>
      <c r="P36" s="3424"/>
      <c r="Q36" s="1261" t="str">
        <f t="shared" si="11"/>
        <v>公共部分装修</v>
      </c>
      <c r="R36" s="665" t="s">
        <v>18</v>
      </c>
      <c r="S36" s="666">
        <f t="shared" si="12"/>
        <v>100</v>
      </c>
      <c r="T36" s="665" t="s">
        <v>18</v>
      </c>
      <c r="U36" s="666">
        <f t="shared" si="13"/>
        <v>100</v>
      </c>
      <c r="V36" s="665" t="s">
        <v>18</v>
      </c>
      <c r="W36" s="666">
        <f t="shared" si="14"/>
        <v>100</v>
      </c>
      <c r="X36" s="1263"/>
      <c r="Y36" s="3373"/>
      <c r="Z36" s="1262" t="str">
        <f t="shared" si="18"/>
        <v>公共部分装修</v>
      </c>
      <c r="AA36" s="1262">
        <f t="shared" si="15"/>
        <v>1</v>
      </c>
      <c r="AB36" s="1262">
        <f t="shared" si="16"/>
        <v>1</v>
      </c>
      <c r="AC36" s="1262">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4"/>
      <c r="M37" s="2436"/>
      <c r="N37" s="2436"/>
      <c r="O37" s="2436"/>
      <c r="P37" s="3424"/>
      <c r="Q37" s="528" t="str">
        <f t="shared" si="11"/>
        <v>成新度</v>
      </c>
      <c r="R37" s="662" t="s">
        <v>18</v>
      </c>
      <c r="S37" s="663" t="e">
        <f t="shared" si="12"/>
        <v>#N/A</v>
      </c>
      <c r="T37" s="662" t="s">
        <v>18</v>
      </c>
      <c r="U37" s="663" t="e">
        <f t="shared" si="13"/>
        <v>#N/A</v>
      </c>
      <c r="V37" s="662" t="s">
        <v>18</v>
      </c>
      <c r="W37" s="663" t="e">
        <f t="shared" si="14"/>
        <v>#N/A</v>
      </c>
      <c r="X37" s="664"/>
      <c r="Y37" s="3373"/>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8"/>
      <c r="M38" s="2483"/>
      <c r="N38" s="2483"/>
      <c r="O38" s="2483"/>
      <c r="P38" s="3424" t="s">
        <v>1696</v>
      </c>
      <c r="Q38" s="1261" t="str">
        <f t="shared" si="11"/>
        <v>物业管理</v>
      </c>
      <c r="R38" s="665" t="s">
        <v>18</v>
      </c>
      <c r="S38" s="666">
        <f t="shared" si="12"/>
        <v>100</v>
      </c>
      <c r="T38" s="665" t="s">
        <v>18</v>
      </c>
      <c r="U38" s="666">
        <f t="shared" si="13"/>
        <v>100</v>
      </c>
      <c r="V38" s="665" t="s">
        <v>18</v>
      </c>
      <c r="W38" s="666">
        <f t="shared" si="14"/>
        <v>100</v>
      </c>
      <c r="X38" s="1263"/>
      <c r="Y38" s="3373"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8"/>
      <c r="M39" s="2483"/>
      <c r="N39" s="2483"/>
      <c r="O39" s="2483"/>
      <c r="P39" s="3424"/>
      <c r="Q39" s="1261" t="str">
        <f t="shared" si="11"/>
        <v>市政基础设施</v>
      </c>
      <c r="R39" s="665" t="s">
        <v>18</v>
      </c>
      <c r="S39" s="666">
        <f t="shared" si="12"/>
        <v>100</v>
      </c>
      <c r="T39" s="665" t="s">
        <v>18</v>
      </c>
      <c r="U39" s="666">
        <f t="shared" si="13"/>
        <v>100</v>
      </c>
      <c r="V39" s="665" t="s">
        <v>18</v>
      </c>
      <c r="W39" s="666">
        <f t="shared" si="14"/>
        <v>100</v>
      </c>
      <c r="X39" s="1263"/>
      <c r="Y39" s="3373"/>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8"/>
      <c r="M40" s="2483"/>
      <c r="N40" s="2483"/>
      <c r="O40" s="2483"/>
      <c r="P40" s="3424"/>
      <c r="Q40" s="1261" t="str">
        <f t="shared" si="11"/>
        <v>房型</v>
      </c>
      <c r="R40" s="665" t="s">
        <v>18</v>
      </c>
      <c r="S40" s="666">
        <f t="shared" si="12"/>
        <v>100</v>
      </c>
      <c r="T40" s="665" t="s">
        <v>18</v>
      </c>
      <c r="U40" s="666">
        <f t="shared" si="13"/>
        <v>100</v>
      </c>
      <c r="V40" s="665" t="s">
        <v>18</v>
      </c>
      <c r="W40" s="666">
        <f t="shared" si="14"/>
        <v>100</v>
      </c>
      <c r="X40" s="1263"/>
      <c r="Y40" s="3373"/>
      <c r="Z40" s="1262" t="str">
        <f t="shared" si="18"/>
        <v>房型</v>
      </c>
      <c r="AA40" s="1262">
        <f t="shared" si="15"/>
        <v>1</v>
      </c>
      <c r="AB40" s="1262">
        <f t="shared" si="16"/>
        <v>1</v>
      </c>
      <c r="AC40" s="1262">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7"/>
      <c r="M41" s="2489"/>
      <c r="N41" s="2489"/>
      <c r="O41" s="2489"/>
      <c r="P41" s="3424"/>
      <c r="Q41" s="529" t="str">
        <f t="shared" si="11"/>
        <v>单套/主力户型建筑面积</v>
      </c>
      <c r="R41" s="667" t="s">
        <v>18</v>
      </c>
      <c r="S41" s="668">
        <f t="shared" si="12"/>
        <v>100</v>
      </c>
      <c r="T41" s="667" t="s">
        <v>18</v>
      </c>
      <c r="U41" s="668">
        <f t="shared" si="13"/>
        <v>100</v>
      </c>
      <c r="V41" s="667" t="s">
        <v>18</v>
      </c>
      <c r="W41" s="668">
        <f t="shared" si="14"/>
        <v>100</v>
      </c>
      <c r="X41" s="669"/>
      <c r="Y41" s="3373"/>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8"/>
      <c r="M42" s="2483"/>
      <c r="N42" s="2483"/>
      <c r="O42" s="2483"/>
      <c r="P42" s="3424"/>
      <c r="Q42" s="1261" t="str">
        <f t="shared" si="11"/>
        <v>内部装修</v>
      </c>
      <c r="R42" s="665" t="s">
        <v>18</v>
      </c>
      <c r="S42" s="666">
        <f t="shared" si="12"/>
        <v>100</v>
      </c>
      <c r="T42" s="665" t="s">
        <v>18</v>
      </c>
      <c r="U42" s="666">
        <f t="shared" si="13"/>
        <v>100</v>
      </c>
      <c r="V42" s="665" t="s">
        <v>18</v>
      </c>
      <c r="W42" s="666">
        <f t="shared" si="14"/>
        <v>100</v>
      </c>
      <c r="X42" s="1263"/>
      <c r="Y42" s="3373"/>
      <c r="Z42" s="1262" t="str">
        <f t="shared" si="18"/>
        <v>内部装修</v>
      </c>
      <c r="AA42" s="1262">
        <f t="shared" si="15"/>
        <v>1</v>
      </c>
      <c r="AB42" s="1262">
        <f t="shared" si="16"/>
        <v>1</v>
      </c>
      <c r="AC42" s="1262">
        <f t="shared" si="17"/>
        <v>1</v>
      </c>
    </row>
    <row r="43" spans="1:29" ht="28.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8"/>
      <c r="M43" s="2483"/>
      <c r="N43" s="2483"/>
      <c r="O43" s="2483"/>
      <c r="P43" s="3424"/>
      <c r="Q43" s="1261" t="str">
        <f t="shared" si="11"/>
        <v>内部装修维护情况</v>
      </c>
      <c r="R43" s="665" t="s">
        <v>18</v>
      </c>
      <c r="S43" s="666">
        <f t="shared" si="12"/>
        <v>100</v>
      </c>
      <c r="T43" s="665" t="s">
        <v>18</v>
      </c>
      <c r="U43" s="666">
        <f t="shared" si="13"/>
        <v>100</v>
      </c>
      <c r="V43" s="665" t="s">
        <v>18</v>
      </c>
      <c r="W43" s="666">
        <f t="shared" si="14"/>
        <v>100</v>
      </c>
      <c r="X43" s="1263"/>
      <c r="Y43" s="3373"/>
      <c r="Z43" s="1262" t="str">
        <f t="shared" si="18"/>
        <v>内部装修维护情况</v>
      </c>
      <c r="AA43" s="1262">
        <f t="shared" si="15"/>
        <v>1</v>
      </c>
      <c r="AB43" s="1262">
        <f t="shared" si="16"/>
        <v>1</v>
      </c>
      <c r="AC43" s="1262">
        <f t="shared" si="17"/>
        <v>1</v>
      </c>
    </row>
    <row r="44" spans="1:29" s="101"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4"/>
      <c r="M44" s="2436"/>
      <c r="N44" s="2436"/>
      <c r="O44" s="2436"/>
      <c r="P44" s="3424"/>
      <c r="Q44" s="528">
        <f t="shared" si="11"/>
        <v>111</v>
      </c>
      <c r="R44" s="662" t="s">
        <v>18</v>
      </c>
      <c r="S44" s="663">
        <f t="shared" si="12"/>
        <v>100</v>
      </c>
      <c r="T44" s="662" t="s">
        <v>18</v>
      </c>
      <c r="U44" s="663">
        <f t="shared" si="13"/>
        <v>100</v>
      </c>
      <c r="V44" s="662" t="s">
        <v>18</v>
      </c>
      <c r="W44" s="663">
        <f t="shared" si="14"/>
        <v>100</v>
      </c>
      <c r="X44" s="664"/>
      <c r="Y44" s="3373"/>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8"/>
      <c r="M45" s="2483"/>
      <c r="N45" s="2483"/>
      <c r="O45" s="2483"/>
      <c r="P45" s="3424"/>
      <c r="Q45" s="1261">
        <f t="shared" si="11"/>
        <v>111</v>
      </c>
      <c r="R45" s="665" t="s">
        <v>18</v>
      </c>
      <c r="S45" s="666">
        <f t="shared" si="12"/>
        <v>100</v>
      </c>
      <c r="T45" s="665" t="s">
        <v>18</v>
      </c>
      <c r="U45" s="666">
        <f t="shared" si="13"/>
        <v>100</v>
      </c>
      <c r="V45" s="665" t="s">
        <v>18</v>
      </c>
      <c r="W45" s="666">
        <f t="shared" si="14"/>
        <v>100</v>
      </c>
      <c r="X45" s="1263"/>
      <c r="Y45" s="3373"/>
      <c r="Z45" s="1262">
        <f t="shared" si="18"/>
        <v>111</v>
      </c>
      <c r="AA45" s="1262">
        <f t="shared" si="15"/>
        <v>1</v>
      </c>
      <c r="AB45" s="1262">
        <f t="shared" si="16"/>
        <v>1</v>
      </c>
      <c r="AC45" s="1262">
        <f t="shared" si="17"/>
        <v>1</v>
      </c>
    </row>
    <row r="46" spans="1:29" ht="15.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8"/>
      <c r="M46" s="2483"/>
      <c r="N46" s="2483"/>
      <c r="O46" s="2483"/>
      <c r="P46" s="3425"/>
      <c r="Q46" s="1261">
        <f t="shared" si="11"/>
        <v>111</v>
      </c>
      <c r="R46" s="665" t="s">
        <v>17</v>
      </c>
      <c r="S46" s="666">
        <f t="shared" si="12"/>
        <v>100</v>
      </c>
      <c r="T46" s="665" t="s">
        <v>17</v>
      </c>
      <c r="U46" s="666">
        <f t="shared" si="13"/>
        <v>100</v>
      </c>
      <c r="V46" s="665" t="s">
        <v>17</v>
      </c>
      <c r="W46" s="666">
        <f t="shared" si="14"/>
        <v>100</v>
      </c>
      <c r="X46" s="1263"/>
      <c r="Y46" s="3426"/>
      <c r="Z46" s="1262">
        <f t="shared" si="18"/>
        <v>111</v>
      </c>
      <c r="AA46" s="1262">
        <f t="shared" si="15"/>
        <v>1</v>
      </c>
      <c r="AB46" s="1262">
        <f t="shared" si="16"/>
        <v>1</v>
      </c>
      <c r="AC46" s="1262">
        <f t="shared" si="17"/>
        <v>1</v>
      </c>
    </row>
    <row r="47" spans="1:29" ht="14.4">
      <c r="A47" s="414" t="s">
        <v>1708</v>
      </c>
      <c r="B47" s="415"/>
      <c r="C47" s="1079" t="s">
        <v>16</v>
      </c>
      <c r="D47" s="416"/>
      <c r="E47" s="417"/>
      <c r="F47" s="418"/>
      <c r="G47" s="419"/>
      <c r="H47" s="420"/>
      <c r="I47" s="417"/>
      <c r="J47" s="420"/>
      <c r="K47" s="1765"/>
      <c r="L47" s="2490"/>
      <c r="M47" s="2483"/>
      <c r="N47" s="2483"/>
      <c r="O47" s="2483"/>
      <c r="P47" s="3354" t="str">
        <f>A47</f>
        <v>成交单价（元/平方米）</v>
      </c>
      <c r="Q47" s="3354"/>
      <c r="R47" s="3370">
        <f>E47</f>
        <v>0</v>
      </c>
      <c r="S47" s="3370"/>
      <c r="T47" s="3370">
        <f>G47</f>
        <v>0</v>
      </c>
      <c r="U47" s="3370"/>
      <c r="V47" s="3370">
        <f>I47</f>
        <v>0</v>
      </c>
      <c r="W47" s="3370"/>
      <c r="X47" s="383"/>
      <c r="Y47" s="671"/>
      <c r="Z47" s="383"/>
      <c r="AA47" s="383"/>
      <c r="AB47" s="383"/>
      <c r="AC47" s="383"/>
    </row>
    <row r="48" spans="1:29" ht="15" thickBot="1">
      <c r="A48" s="421" t="s">
        <v>1709</v>
      </c>
      <c r="B48" s="422"/>
      <c r="C48" s="1080" t="e">
        <f>R49</f>
        <v>#DIV/0!</v>
      </c>
      <c r="D48" s="2139" t="s">
        <v>2137</v>
      </c>
      <c r="E48" s="1081" t="e">
        <f>R48</f>
        <v>#DIV/0!</v>
      </c>
      <c r="F48" s="2140"/>
      <c r="G48" s="1080" t="e">
        <f>T48</f>
        <v>#DIV/0!</v>
      </c>
      <c r="H48" s="2140"/>
      <c r="I48" s="1081" t="e">
        <f>V48</f>
        <v>#DIV/0!</v>
      </c>
      <c r="J48" s="2140"/>
      <c r="K48" s="2141">
        <f>F48+H48+J48</f>
        <v>0</v>
      </c>
      <c r="L48" s="2490"/>
      <c r="M48" s="2483"/>
      <c r="N48" s="2483"/>
      <c r="O48" s="2483"/>
      <c r="P48" s="3354" t="str">
        <f>A48</f>
        <v>比较价值（元/平方米）</v>
      </c>
      <c r="Q48" s="3354"/>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3"/>
      <c r="Y48" s="383"/>
      <c r="Z48" s="383"/>
      <c r="AA48" s="383"/>
      <c r="AB48" s="383"/>
      <c r="AC48" s="383"/>
    </row>
    <row r="49" spans="1:29" ht="15" thickBot="1">
      <c r="A49" s="425" t="s">
        <v>1710</v>
      </c>
      <c r="B49" s="426"/>
      <c r="C49" s="1082" t="e">
        <f>R49</f>
        <v>#DIV/0!</v>
      </c>
      <c r="D49" s="349"/>
      <c r="E49" s="349"/>
      <c r="F49" s="349"/>
      <c r="G49" s="349"/>
      <c r="H49" s="349"/>
      <c r="I49" s="349"/>
      <c r="J49" s="349"/>
      <c r="K49" s="1766"/>
      <c r="L49" s="2490"/>
      <c r="M49" s="2483"/>
      <c r="N49" s="2483"/>
      <c r="O49" s="2483"/>
      <c r="P49" s="3389" t="str">
        <f>A49</f>
        <v>估价对象XX用房的比较价值（楼面单价，元/平方米）</v>
      </c>
      <c r="Q49" s="3390"/>
      <c r="R49" s="3422" t="e">
        <f>IF(F1="售价",ROUND(IF(D48="简单平均",AVERAGE(R48:V48),R48*F48+T48*H48+V48*J48),0),ROUND(IF(D48="简单平均",AVERAGE(R48:V48),R48*F48+T48*H48+V48*J48),1))</f>
        <v>#DIV/0!</v>
      </c>
      <c r="S49" s="3422"/>
      <c r="T49" s="3422"/>
      <c r="U49" s="3422"/>
      <c r="V49" s="3422"/>
      <c r="W49" s="3422"/>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row>
    <row r="53" spans="1:29" ht="13.5" customHeight="1">
      <c r="A53" s="2483"/>
      <c r="B53" s="2483"/>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row>
    <row r="54" spans="1:29" s="435" customFormat="1" ht="13.5" customHeight="1">
      <c r="A54" s="2493"/>
      <c r="B54" s="2493"/>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1768"/>
    </row>
    <row r="55" spans="1:29" s="435"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6" t="s">
        <v>1714</v>
      </c>
      <c r="B57" s="383"/>
      <c r="C57" s="657"/>
      <c r="D57" s="657"/>
      <c r="E57" s="657"/>
      <c r="F57" s="658"/>
      <c r="G57" s="658"/>
      <c r="H57" s="657"/>
      <c r="I57" s="657"/>
      <c r="J57" s="657"/>
      <c r="K57" s="885"/>
      <c r="L57" s="886"/>
      <c r="M57" s="884"/>
      <c r="N57" s="884"/>
      <c r="O57" s="884"/>
      <c r="P57" s="1769"/>
      <c r="Q57" s="437"/>
    </row>
    <row r="58" spans="1:29" s="440" customFormat="1" ht="14.4">
      <c r="A58" s="438" t="s">
        <v>1715</v>
      </c>
      <c r="B58" s="439"/>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c r="A59" s="441"/>
      <c r="B59" s="1770"/>
      <c r="C59" s="1100">
        <v>100</v>
      </c>
      <c r="D59" s="443"/>
      <c r="E59" s="444"/>
      <c r="F59" s="444"/>
      <c r="G59" s="444"/>
      <c r="H59" s="444"/>
      <c r="I59" s="444"/>
      <c r="J59" s="444"/>
      <c r="K59" s="444"/>
      <c r="L59" s="444"/>
      <c r="M59" s="445"/>
      <c r="N59" s="444"/>
      <c r="O59" s="445"/>
      <c r="P59" s="1771"/>
    </row>
    <row r="60" spans="1:29" s="101" customFormat="1" ht="15" thickBot="1">
      <c r="A60" s="447" t="s">
        <v>1716</v>
      </c>
      <c r="B60" s="448"/>
      <c r="C60" s="449"/>
      <c r="D60" s="450"/>
      <c r="E60" s="450"/>
      <c r="F60" s="450"/>
      <c r="G60" s="450"/>
      <c r="H60" s="450"/>
      <c r="I60" s="450"/>
      <c r="J60" s="450"/>
      <c r="K60" s="450"/>
      <c r="L60" s="450"/>
      <c r="M60" s="451"/>
      <c r="N60" s="450"/>
      <c r="O60" s="451"/>
      <c r="P60" s="1771"/>
      <c r="Q60" s="437"/>
    </row>
    <row r="61" spans="1:29" s="101" customFormat="1" ht="14.4">
      <c r="A61" s="453" t="s">
        <v>1717</v>
      </c>
      <c r="B61" s="442"/>
      <c r="C61" s="454" t="s">
        <v>1718</v>
      </c>
      <c r="D61" s="31"/>
      <c r="E61" s="31"/>
      <c r="F61" s="31"/>
      <c r="G61" s="31"/>
      <c r="H61" s="31"/>
      <c r="I61" s="31"/>
      <c r="J61" s="31"/>
      <c r="K61" s="31"/>
      <c r="L61" s="455"/>
      <c r="M61" s="456"/>
      <c r="N61" s="876"/>
      <c r="O61" s="876"/>
      <c r="P61" s="1772"/>
      <c r="Q61" s="437"/>
    </row>
    <row r="62" spans="1:29" s="101" customFormat="1" ht="14.4" thickBot="1">
      <c r="A62" s="453"/>
      <c r="B62" s="442"/>
      <c r="C62" s="443">
        <v>100</v>
      </c>
      <c r="D62" s="444"/>
      <c r="E62" s="444"/>
      <c r="F62" s="444"/>
      <c r="G62" s="444"/>
      <c r="H62" s="444"/>
      <c r="I62" s="444"/>
      <c r="J62" s="444"/>
      <c r="K62" s="444"/>
      <c r="L62" s="444"/>
      <c r="M62" s="446"/>
      <c r="N62" s="876"/>
      <c r="O62" s="876"/>
      <c r="P62" s="1771"/>
      <c r="Q62" s="437"/>
    </row>
    <row r="63" spans="1:29" ht="14.4">
      <c r="A63" s="377" t="s">
        <v>1719</v>
      </c>
      <c r="B63" s="458" t="s">
        <v>1685</v>
      </c>
      <c r="C63" s="459">
        <f>C9</f>
        <v>0</v>
      </c>
      <c r="D63" s="460"/>
      <c r="E63" s="460"/>
      <c r="F63" s="460"/>
      <c r="G63" s="460"/>
      <c r="H63" s="460"/>
      <c r="I63" s="460"/>
      <c r="J63" s="460"/>
      <c r="K63" s="461"/>
      <c r="L63" s="462"/>
      <c r="M63" s="463"/>
      <c r="N63" s="877"/>
      <c r="O63" s="877"/>
      <c r="P63" s="1773"/>
      <c r="Q63" s="437"/>
    </row>
    <row r="64" spans="1:29" ht="14.4" thickBot="1">
      <c r="A64" s="365"/>
      <c r="B64" s="464"/>
      <c r="C64" s="465">
        <v>100</v>
      </c>
      <c r="D64" s="465"/>
      <c r="E64" s="465"/>
      <c r="F64" s="465"/>
      <c r="G64" s="465"/>
      <c r="H64" s="465"/>
      <c r="I64" s="465"/>
      <c r="J64" s="465"/>
      <c r="K64" s="465"/>
      <c r="L64" s="465"/>
      <c r="M64" s="466"/>
      <c r="N64" s="878"/>
      <c r="O64" s="878"/>
      <c r="P64" s="1773"/>
      <c r="Q64" s="437"/>
    </row>
    <row r="65" spans="1:17" ht="29.4" thickTop="1">
      <c r="A65" s="365"/>
      <c r="B65" s="467" t="s">
        <v>1688</v>
      </c>
      <c r="C65" s="511"/>
      <c r="D65" s="511"/>
      <c r="E65" s="511"/>
      <c r="F65" s="511"/>
      <c r="G65" s="511"/>
      <c r="H65" s="511"/>
      <c r="I65" s="511"/>
      <c r="J65" s="511"/>
      <c r="K65" s="511"/>
      <c r="L65" s="511"/>
      <c r="M65" s="511"/>
      <c r="N65" s="878"/>
      <c r="O65" s="878"/>
      <c r="P65" s="1773"/>
      <c r="Q65" s="437"/>
    </row>
    <row r="66" spans="1:17" ht="14.4" thickBot="1">
      <c r="A66" s="365"/>
      <c r="B66" s="472"/>
      <c r="C66" s="465"/>
      <c r="D66" s="465"/>
      <c r="E66" s="465"/>
      <c r="F66" s="465"/>
      <c r="G66" s="465"/>
      <c r="H66" s="465"/>
      <c r="I66" s="465"/>
      <c r="J66" s="465"/>
      <c r="K66" s="465"/>
      <c r="L66" s="465"/>
      <c r="M66" s="466"/>
      <c r="N66" s="878"/>
      <c r="O66" s="878"/>
      <c r="P66" s="1773"/>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4" thickTop="1">
      <c r="A70" s="482"/>
      <c r="B70" s="467">
        <f>B12</f>
        <v>111</v>
      </c>
      <c r="C70" s="483"/>
      <c r="D70" s="483"/>
      <c r="E70" s="483"/>
      <c r="F70" s="483"/>
      <c r="G70" s="483"/>
      <c r="H70" s="484"/>
      <c r="I70" s="484"/>
      <c r="J70" s="484"/>
      <c r="K70" s="484"/>
      <c r="L70" s="485"/>
      <c r="M70" s="486"/>
      <c r="N70" s="879"/>
      <c r="O70" s="879"/>
      <c r="P70" s="1774"/>
      <c r="Q70" s="488"/>
    </row>
    <row r="71" spans="1:17" s="406" customFormat="1" ht="14.4" thickBot="1">
      <c r="A71" s="482"/>
      <c r="B71" s="472"/>
      <c r="C71" s="489"/>
      <c r="D71" s="465"/>
      <c r="E71" s="465"/>
      <c r="F71" s="465"/>
      <c r="G71" s="465"/>
      <c r="H71" s="465"/>
      <c r="I71" s="465"/>
      <c r="J71" s="465"/>
      <c r="K71" s="465"/>
      <c r="L71" s="465"/>
      <c r="M71" s="466"/>
      <c r="N71" s="878"/>
      <c r="O71" s="878"/>
      <c r="P71" s="1774"/>
      <c r="Q71" s="488"/>
    </row>
    <row r="72" spans="1:17" s="406" customFormat="1" ht="14.4" thickTop="1">
      <c r="A72" s="482"/>
      <c r="B72" s="467">
        <f>B13</f>
        <v>111</v>
      </c>
      <c r="C72" s="483"/>
      <c r="D72" s="483"/>
      <c r="E72" s="483"/>
      <c r="F72" s="483"/>
      <c r="G72" s="483"/>
      <c r="H72" s="484"/>
      <c r="I72" s="484"/>
      <c r="J72" s="484"/>
      <c r="K72" s="484"/>
      <c r="L72" s="485"/>
      <c r="M72" s="486"/>
      <c r="N72" s="879"/>
      <c r="O72" s="879"/>
      <c r="P72" s="1775"/>
      <c r="Q72" s="490"/>
    </row>
    <row r="73" spans="1:17" s="406" customFormat="1" ht="14.4" thickBot="1">
      <c r="A73" s="482"/>
      <c r="B73" s="472"/>
      <c r="C73" s="489"/>
      <c r="D73" s="489"/>
      <c r="E73" s="489"/>
      <c r="F73" s="489"/>
      <c r="G73" s="489"/>
      <c r="H73" s="491"/>
      <c r="I73" s="491"/>
      <c r="J73" s="491"/>
      <c r="K73" s="491"/>
      <c r="L73" s="491"/>
      <c r="M73" s="492"/>
      <c r="N73" s="879"/>
      <c r="O73" s="879"/>
      <c r="P73" s="1774"/>
      <c r="Q73" s="488"/>
    </row>
    <row r="74" spans="1:17" s="406" customFormat="1" ht="14.4" thickTop="1">
      <c r="A74" s="482"/>
      <c r="B74" s="475">
        <f>B14</f>
        <v>111</v>
      </c>
      <c r="C74" s="483"/>
      <c r="D74" s="483"/>
      <c r="E74" s="483"/>
      <c r="F74" s="483"/>
      <c r="G74" s="31"/>
      <c r="H74" s="493"/>
      <c r="I74" s="493"/>
      <c r="J74" s="493"/>
      <c r="K74" s="493"/>
      <c r="L74" s="494"/>
      <c r="M74" s="495"/>
      <c r="N74" s="879"/>
      <c r="O74" s="879"/>
      <c r="P74" s="1776"/>
      <c r="Q74" s="488"/>
    </row>
    <row r="75" spans="1:17" s="406" customFormat="1" ht="14.4" thickBot="1">
      <c r="A75" s="497"/>
      <c r="B75" s="498"/>
      <c r="C75" s="499"/>
      <c r="D75" s="499"/>
      <c r="E75" s="499"/>
      <c r="F75" s="499"/>
      <c r="G75" s="499"/>
      <c r="H75" s="500"/>
      <c r="I75" s="500"/>
      <c r="J75" s="500"/>
      <c r="K75" s="500"/>
      <c r="L75" s="500"/>
      <c r="M75" s="501"/>
      <c r="N75" s="879"/>
      <c r="O75" s="879"/>
      <c r="P75" s="1774"/>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1" customFormat="1" ht="15" thickTop="1">
      <c r="A86" s="368"/>
      <c r="B86" s="467" t="s">
        <v>1734</v>
      </c>
      <c r="C86" s="483"/>
      <c r="D86" s="483"/>
      <c r="E86" s="483"/>
      <c r="F86" s="483"/>
      <c r="G86" s="483"/>
      <c r="H86" s="483"/>
      <c r="I86" s="483"/>
      <c r="J86" s="483"/>
      <c r="K86" s="483"/>
      <c r="L86" s="508"/>
      <c r="M86" s="509"/>
      <c r="N86" s="876"/>
      <c r="O86" s="876"/>
      <c r="P86" s="1773"/>
      <c r="Q86" s="437"/>
    </row>
    <row r="87" spans="1:17" s="101"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1" customFormat="1" ht="15" thickTop="1">
      <c r="A88" s="368"/>
      <c r="B88" s="467" t="s">
        <v>1735</v>
      </c>
      <c r="C88" s="483"/>
      <c r="D88" s="483"/>
      <c r="E88" s="483"/>
      <c r="F88" s="1778"/>
      <c r="G88" s="483"/>
      <c r="H88" s="483"/>
      <c r="I88" s="483"/>
      <c r="J88" s="483"/>
      <c r="K88" s="483"/>
      <c r="L88" s="483"/>
      <c r="M88" s="509"/>
      <c r="N88" s="876"/>
      <c r="O88" s="876"/>
      <c r="P88" s="1773"/>
      <c r="Q88" s="437"/>
    </row>
    <row r="89" spans="1:17" s="101"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4" thickTop="1">
      <c r="A90" s="482"/>
      <c r="B90" s="467">
        <f>B27</f>
        <v>111</v>
      </c>
      <c r="C90" s="483"/>
      <c r="D90" s="483"/>
      <c r="E90" s="483"/>
      <c r="F90" s="483"/>
      <c r="G90" s="483"/>
      <c r="H90" s="484"/>
      <c r="I90" s="484"/>
      <c r="J90" s="484"/>
      <c r="K90" s="484"/>
      <c r="L90" s="485"/>
      <c r="M90" s="486"/>
      <c r="N90" s="879"/>
      <c r="O90" s="879"/>
      <c r="P90" s="1774"/>
      <c r="Q90" s="488"/>
    </row>
    <row r="91" spans="1:17" s="406" customFormat="1" ht="14.4" thickBot="1">
      <c r="A91" s="482"/>
      <c r="B91" s="472"/>
      <c r="C91" s="489"/>
      <c r="D91" s="489"/>
      <c r="E91" s="489"/>
      <c r="F91" s="489"/>
      <c r="G91" s="489"/>
      <c r="H91" s="491"/>
      <c r="I91" s="491"/>
      <c r="J91" s="491"/>
      <c r="K91" s="491"/>
      <c r="L91" s="491"/>
      <c r="M91" s="492"/>
      <c r="N91" s="879"/>
      <c r="O91" s="879"/>
      <c r="P91" s="1774"/>
      <c r="Q91" s="488"/>
    </row>
    <row r="92" spans="1:17" ht="14.4" thickTop="1">
      <c r="A92" s="365"/>
      <c r="B92" s="467">
        <f>B28</f>
        <v>111</v>
      </c>
      <c r="C92" s="483"/>
      <c r="D92" s="483"/>
      <c r="E92" s="483"/>
      <c r="F92" s="483"/>
      <c r="G92" s="511"/>
      <c r="H92" s="511"/>
      <c r="I92" s="511"/>
      <c r="J92" s="511"/>
      <c r="K92" s="512"/>
      <c r="L92" s="513"/>
      <c r="M92" s="514"/>
      <c r="N92" s="877"/>
      <c r="O92" s="877"/>
      <c r="P92" s="1773"/>
      <c r="Q92" s="437"/>
    </row>
    <row r="93" spans="1:17" ht="14.4" thickBot="1">
      <c r="A93" s="365"/>
      <c r="B93" s="472"/>
      <c r="C93" s="489"/>
      <c r="D93" s="465"/>
      <c r="E93" s="465"/>
      <c r="F93" s="465"/>
      <c r="G93" s="465"/>
      <c r="H93" s="465"/>
      <c r="I93" s="465"/>
      <c r="J93" s="465"/>
      <c r="K93" s="465"/>
      <c r="L93" s="465"/>
      <c r="M93" s="466"/>
      <c r="N93" s="878"/>
      <c r="O93" s="878"/>
      <c r="P93" s="1773"/>
      <c r="Q93" s="437"/>
    </row>
    <row r="94" spans="1:17" ht="14.4" thickTop="1">
      <c r="A94" s="365"/>
      <c r="B94" s="467">
        <f>B29</f>
        <v>111</v>
      </c>
      <c r="C94" s="483"/>
      <c r="D94" s="483"/>
      <c r="E94" s="483"/>
      <c r="F94" s="483"/>
      <c r="G94" s="511"/>
      <c r="H94" s="511"/>
      <c r="I94" s="511"/>
      <c r="J94" s="511"/>
      <c r="K94" s="512"/>
      <c r="L94" s="513"/>
      <c r="M94" s="514"/>
      <c r="N94" s="877"/>
      <c r="O94" s="877"/>
      <c r="P94" s="1773"/>
      <c r="Q94" s="437"/>
    </row>
    <row r="95" spans="1:17" ht="14.4" thickBot="1">
      <c r="A95" s="365"/>
      <c r="B95" s="472"/>
      <c r="C95" s="489"/>
      <c r="D95" s="489"/>
      <c r="E95" s="489"/>
      <c r="F95" s="489"/>
      <c r="G95" s="465"/>
      <c r="H95" s="465"/>
      <c r="I95" s="465"/>
      <c r="J95" s="465"/>
      <c r="K95" s="465"/>
      <c r="L95" s="465"/>
      <c r="M95" s="466"/>
      <c r="N95" s="878"/>
      <c r="O95" s="878"/>
      <c r="P95" s="1773"/>
      <c r="Q95" s="437"/>
    </row>
    <row r="96" spans="1:17" ht="14.4" thickTop="1">
      <c r="A96" s="365"/>
      <c r="B96" s="467">
        <f>B30</f>
        <v>111</v>
      </c>
      <c r="C96" s="483"/>
      <c r="D96" s="483"/>
      <c r="E96" s="483"/>
      <c r="F96" s="483"/>
      <c r="G96" s="511"/>
      <c r="H96" s="511"/>
      <c r="I96" s="511"/>
      <c r="J96" s="511"/>
      <c r="K96" s="512"/>
      <c r="L96" s="513"/>
      <c r="M96" s="514"/>
      <c r="N96" s="877"/>
      <c r="O96" s="877"/>
      <c r="P96" s="1773"/>
      <c r="Q96" s="437"/>
    </row>
    <row r="97" spans="1:17" ht="14.4" thickBot="1">
      <c r="A97" s="365"/>
      <c r="B97" s="472"/>
      <c r="C97" s="499"/>
      <c r="D97" s="499"/>
      <c r="E97" s="499"/>
      <c r="F97" s="499"/>
      <c r="G97" s="465"/>
      <c r="H97" s="465"/>
      <c r="I97" s="465"/>
      <c r="J97" s="465"/>
      <c r="K97" s="465"/>
      <c r="L97" s="465"/>
      <c r="M97" s="466"/>
      <c r="N97" s="878"/>
      <c r="O97" s="878"/>
      <c r="P97" s="1773"/>
      <c r="Q97" s="437"/>
    </row>
    <row r="98" spans="1:17" ht="14.4" thickTop="1">
      <c r="A98" s="365"/>
      <c r="B98" s="475">
        <f>B31</f>
        <v>111</v>
      </c>
      <c r="C98" s="515"/>
      <c r="D98" s="515"/>
      <c r="E98" s="515"/>
      <c r="F98" s="515"/>
      <c r="G98" s="515"/>
      <c r="H98" s="515"/>
      <c r="I98" s="515"/>
      <c r="J98" s="515"/>
      <c r="K98" s="516"/>
      <c r="L98" s="517"/>
      <c r="M98" s="518"/>
      <c r="N98" s="877"/>
      <c r="O98" s="877"/>
      <c r="P98" s="1773"/>
      <c r="Q98" s="437"/>
    </row>
    <row r="99" spans="1:17" ht="14.4" thickBot="1">
      <c r="A99" s="373"/>
      <c r="B99" s="498"/>
      <c r="C99" s="519"/>
      <c r="D99" s="519"/>
      <c r="E99" s="519"/>
      <c r="F99" s="519"/>
      <c r="G99" s="519"/>
      <c r="H99" s="519"/>
      <c r="I99" s="519"/>
      <c r="J99" s="519"/>
      <c r="K99" s="519"/>
      <c r="L99" s="519"/>
      <c r="M99" s="520"/>
      <c r="N99" s="878"/>
      <c r="O99" s="878"/>
      <c r="P99" s="1773"/>
      <c r="Q99" s="437"/>
    </row>
    <row r="100" spans="1:17" ht="14.4">
      <c r="A100" s="377" t="s">
        <v>1694</v>
      </c>
      <c r="B100" s="458" t="s">
        <v>1736</v>
      </c>
      <c r="C100" s="460"/>
      <c r="D100" s="460"/>
      <c r="E100" s="460"/>
      <c r="F100" s="460"/>
      <c r="G100" s="460"/>
      <c r="H100" s="460"/>
      <c r="I100" s="460"/>
      <c r="J100" s="460"/>
      <c r="K100" s="461"/>
      <c r="L100" s="462"/>
      <c r="M100" s="463"/>
      <c r="N100" s="877"/>
      <c r="O100" s="877"/>
      <c r="P100" s="1773"/>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4"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4"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4" thickBot="1">
      <c r="A127" s="482"/>
      <c r="B127" s="472"/>
      <c r="C127" s="489"/>
      <c r="D127" s="465"/>
      <c r="E127" s="465"/>
      <c r="F127" s="465"/>
      <c r="G127" s="489"/>
      <c r="H127" s="491"/>
      <c r="I127" s="491"/>
      <c r="J127" s="491"/>
      <c r="K127" s="491"/>
      <c r="L127" s="491"/>
      <c r="M127" s="492"/>
      <c r="N127" s="879"/>
      <c r="O127" s="879"/>
      <c r="P127" s="1774"/>
      <c r="Q127" s="488"/>
    </row>
    <row r="128" spans="1:17" ht="14.4" thickTop="1">
      <c r="A128" s="407"/>
      <c r="B128" s="467">
        <f>B45</f>
        <v>111</v>
      </c>
      <c r="C128" s="483"/>
      <c r="D128" s="483"/>
      <c r="E128" s="483"/>
      <c r="F128" s="483"/>
      <c r="G128" s="511"/>
      <c r="H128" s="511"/>
      <c r="I128" s="511"/>
      <c r="J128" s="511"/>
      <c r="K128" s="512"/>
      <c r="L128" s="513"/>
      <c r="M128" s="514"/>
      <c r="N128" s="877"/>
      <c r="O128" s="877"/>
      <c r="P128" s="1773"/>
      <c r="Q128" s="437"/>
    </row>
    <row r="129" spans="1:17" ht="14.4" thickBot="1">
      <c r="A129" s="365"/>
      <c r="B129" s="472"/>
      <c r="C129" s="489"/>
      <c r="D129" s="489"/>
      <c r="E129" s="489"/>
      <c r="F129" s="489"/>
      <c r="G129" s="465"/>
      <c r="H129" s="465"/>
      <c r="I129" s="465"/>
      <c r="J129" s="465"/>
      <c r="K129" s="465"/>
      <c r="L129" s="465"/>
      <c r="M129" s="466"/>
      <c r="N129" s="878"/>
      <c r="O129" s="878"/>
      <c r="P129" s="1773"/>
      <c r="Q129" s="437"/>
    </row>
    <row r="130" spans="1:17" ht="14.4" thickTop="1">
      <c r="A130" s="407"/>
      <c r="B130" s="475">
        <f>B46</f>
        <v>111</v>
      </c>
      <c r="C130" s="483"/>
      <c r="D130" s="483"/>
      <c r="E130" s="483"/>
      <c r="F130" s="483"/>
      <c r="G130" s="515"/>
      <c r="H130" s="515"/>
      <c r="I130" s="515"/>
      <c r="J130" s="515"/>
      <c r="K130" s="31"/>
      <c r="L130" s="455"/>
      <c r="M130" s="518"/>
      <c r="N130" s="877"/>
      <c r="O130" s="877"/>
      <c r="P130" s="1773"/>
      <c r="Q130" s="437"/>
    </row>
    <row r="131" spans="1:17" ht="14.4"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受贵公司委托，我公司对北京市怀来县存瑞镇头二营村、葫芦套村三期房地产抵押价值进行了预评估。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估价对象为北京市怀来县存瑞镇头二营村、葫芦套村三期房地产，为所有。根据《国有土地使用证》[]，估价对象（分摊）出让国有建设用地使用权面积为35316.97平方米，建筑面积为43685.85平方米。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来县存瑞镇头二营村、葫芦套村三期房地产,为开发建设的工业项目，该项目尚在开发建设中。根据《国有土地使用证》[]，估价对象（分摊）出让国有建设用地使用权面积为35316.97平方米，规划建筑面积为43685.85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怀来县存瑞镇头二营村、葫芦套村三期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2024年12月23日（评估专业人员实地查勘之日）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1766</v>
      </c>
      <c r="C1" s="1153" t="s">
        <v>1662</v>
      </c>
      <c r="D1" s="1140"/>
      <c r="E1" s="3120"/>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43685.850000000006</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0" t="s">
        <v>1772</v>
      </c>
      <c r="AC4" s="3374" t="s">
        <v>1773</v>
      </c>
    </row>
    <row r="5" spans="1:29">
      <c r="A5" s="346"/>
      <c r="B5" s="347"/>
      <c r="C5" s="3361" t="s">
        <v>1673</v>
      </c>
      <c r="D5" s="3362"/>
      <c r="E5" s="3386" t="s">
        <v>1674</v>
      </c>
      <c r="F5" s="3387"/>
      <c r="G5" s="3361" t="s">
        <v>1675</v>
      </c>
      <c r="H5" s="3362"/>
      <c r="I5" s="3361" t="s">
        <v>1676</v>
      </c>
      <c r="J5" s="3362"/>
      <c r="K5" s="535"/>
      <c r="L5" s="2482"/>
      <c r="M5" s="2483"/>
      <c r="N5" s="2483"/>
      <c r="O5" s="2483"/>
      <c r="P5" s="3382"/>
      <c r="Q5" s="3383"/>
      <c r="R5" s="3359"/>
      <c r="S5" s="3360"/>
      <c r="T5" s="3359"/>
      <c r="U5" s="3360"/>
      <c r="V5" s="3370"/>
      <c r="W5" s="3370"/>
      <c r="X5" s="1263"/>
      <c r="Y5" s="3359"/>
      <c r="Z5" s="3360"/>
      <c r="AA5" s="3375"/>
      <c r="AB5" s="3370"/>
      <c r="AC5" s="3375"/>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384"/>
      <c r="Q6" s="3385"/>
      <c r="R6" s="3359"/>
      <c r="S6" s="3360"/>
      <c r="T6" s="3368"/>
      <c r="U6" s="3369"/>
      <c r="V6" s="3370"/>
      <c r="W6" s="3370"/>
      <c r="X6" s="1263"/>
      <c r="Y6" s="3368"/>
      <c r="Z6" s="3369"/>
      <c r="AA6" s="3376"/>
      <c r="AB6" s="3370"/>
      <c r="AC6" s="3376"/>
    </row>
    <row r="7" spans="1:29" s="101" customFormat="1" ht="15" thickBot="1">
      <c r="A7" s="350" t="s">
        <v>1679</v>
      </c>
      <c r="B7" s="351"/>
      <c r="C7" s="352">
        <f>'数据-取费表'!B2</f>
        <v>45649</v>
      </c>
      <c r="D7" s="353">
        <v>100</v>
      </c>
      <c r="E7" s="354"/>
      <c r="F7" s="355">
        <f>SUMIF(58:58,YEAR(E7)&amp;"-"&amp;MONTH(E7),59:59)</f>
        <v>0</v>
      </c>
      <c r="G7" s="354"/>
      <c r="H7" s="353">
        <f>SUMIF(58:58,YEAR(G7)&amp;"-"&amp;MONTH(G7),59:59)</f>
        <v>0</v>
      </c>
      <c r="I7" s="354"/>
      <c r="J7" s="353">
        <f>SUMIF(58:58,YEAR(I7)&amp;"-"&amp;MONTH(I7),59:59)</f>
        <v>0</v>
      </c>
      <c r="K7" s="38"/>
      <c r="L7" s="2484"/>
      <c r="M7" s="2436"/>
      <c r="N7" s="2436"/>
      <c r="O7" s="2436"/>
      <c r="P7" s="3355" t="s">
        <v>1680</v>
      </c>
      <c r="Q7" s="3365"/>
      <c r="R7" s="662" t="s">
        <v>14</v>
      </c>
      <c r="S7" s="663">
        <f t="shared" ref="S7:S15" si="0">F7</f>
        <v>0</v>
      </c>
      <c r="T7" s="662" t="s">
        <v>14</v>
      </c>
      <c r="U7" s="663">
        <f t="shared" ref="U7:U15" si="1">H7</f>
        <v>0</v>
      </c>
      <c r="V7" s="662" t="s">
        <v>14</v>
      </c>
      <c r="W7" s="663">
        <f t="shared" ref="W7:W15" si="2">J7</f>
        <v>0</v>
      </c>
      <c r="X7" s="664"/>
      <c r="Y7" s="3355" t="s">
        <v>1680</v>
      </c>
      <c r="Z7" s="3356"/>
      <c r="AA7" s="50" t="e">
        <f>D7/F7</f>
        <v>#DIV/0!</v>
      </c>
      <c r="AB7" s="50" t="e">
        <f>D7/H7</f>
        <v>#DIV/0!</v>
      </c>
      <c r="AC7" s="50" t="e">
        <f>D7/J7</f>
        <v>#DIV/0!</v>
      </c>
    </row>
    <row r="8" spans="1:29" s="101"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4"/>
      <c r="M8" s="2436"/>
      <c r="N8" s="2436"/>
      <c r="O8" s="2436"/>
      <c r="P8" s="3355" t="s">
        <v>1683</v>
      </c>
      <c r="Q8" s="3356"/>
      <c r="R8" s="662" t="s">
        <v>14</v>
      </c>
      <c r="S8" s="663">
        <f t="shared" si="0"/>
        <v>100</v>
      </c>
      <c r="T8" s="662" t="s">
        <v>14</v>
      </c>
      <c r="U8" s="663">
        <f t="shared" si="1"/>
        <v>100</v>
      </c>
      <c r="V8" s="662" t="s">
        <v>14</v>
      </c>
      <c r="W8" s="663">
        <f t="shared" si="2"/>
        <v>100</v>
      </c>
      <c r="X8" s="664"/>
      <c r="Y8" s="3355" t="s">
        <v>1683</v>
      </c>
      <c r="Z8" s="3356"/>
      <c r="AA8" s="50">
        <f t="shared" ref="AA8:AA46" si="3">D8/F8</f>
        <v>1</v>
      </c>
      <c r="AB8" s="50">
        <f t="shared" ref="AB8:AB46" si="4">D8/H8</f>
        <v>1</v>
      </c>
      <c r="AC8" s="50">
        <f t="shared" ref="AC8:AC46" si="5">D8/J8</f>
        <v>1</v>
      </c>
    </row>
    <row r="9" spans="1:29" s="101"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4"/>
      <c r="M9" s="2436"/>
      <c r="N9" s="2436"/>
      <c r="O9" s="2436"/>
      <c r="P9" s="3353"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38"/>
      <c r="L10" s="2485"/>
      <c r="M10" s="2486"/>
      <c r="N10" s="2486"/>
      <c r="O10" s="2486"/>
      <c r="P10" s="3353"/>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7"/>
      <c r="M11" s="2483"/>
      <c r="N11" s="2483"/>
      <c r="O11" s="2483"/>
      <c r="P11" s="3353"/>
      <c r="Q11" s="528" t="str">
        <f t="shared" si="6"/>
        <v>容积率</v>
      </c>
      <c r="R11" s="662" t="s">
        <v>14</v>
      </c>
      <c r="S11" s="663" t="e">
        <f t="shared" si="0"/>
        <v>#N/A</v>
      </c>
      <c r="T11" s="662" t="s">
        <v>14</v>
      </c>
      <c r="U11" s="663" t="e">
        <f t="shared" si="1"/>
        <v>#N/A</v>
      </c>
      <c r="V11" s="662" t="s">
        <v>14</v>
      </c>
      <c r="W11" s="663" t="e">
        <f t="shared" si="2"/>
        <v>#N/A</v>
      </c>
      <c r="X11" s="664"/>
      <c r="Y11" s="3258"/>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4"/>
      <c r="M12" s="2436"/>
      <c r="N12" s="2436"/>
      <c r="O12" s="2436"/>
      <c r="P12" s="3353"/>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8"/>
      <c r="M13" s="2483"/>
      <c r="N13" s="2483"/>
      <c r="O13" s="2483"/>
      <c r="P13" s="3353"/>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8"/>
      <c r="M14" s="2483"/>
      <c r="N14" s="2483"/>
      <c r="O14" s="2483"/>
      <c r="P14" s="3353"/>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8"/>
      <c r="M15" s="2483"/>
      <c r="N15" s="2483"/>
      <c r="O15" s="2483"/>
      <c r="P15" s="3427" t="s">
        <v>1691</v>
      </c>
      <c r="Q15" s="1261" t="str">
        <f t="shared" si="6"/>
        <v>商业繁华度</v>
      </c>
      <c r="R15" s="665" t="s">
        <v>14</v>
      </c>
      <c r="S15" s="666">
        <f t="shared" si="0"/>
        <v>100</v>
      </c>
      <c r="T15" s="665" t="s">
        <v>14</v>
      </c>
      <c r="U15" s="666">
        <f t="shared" si="1"/>
        <v>100</v>
      </c>
      <c r="V15" s="665" t="s">
        <v>14</v>
      </c>
      <c r="W15" s="666">
        <f t="shared" si="2"/>
        <v>100</v>
      </c>
      <c r="X15" s="1263"/>
      <c r="Y15" s="3371"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8"/>
      <c r="M16" s="2483"/>
      <c r="N16" s="2483"/>
      <c r="O16" s="2483"/>
      <c r="P16" s="3428"/>
      <c r="Q16" s="1261"/>
      <c r="R16" s="665"/>
      <c r="S16" s="666"/>
      <c r="T16" s="665"/>
      <c r="U16" s="666"/>
      <c r="V16" s="665"/>
      <c r="W16" s="666"/>
      <c r="X16" s="1263"/>
      <c r="Y16" s="3372"/>
      <c r="Z16" s="1262"/>
      <c r="AA16" s="1262">
        <v>1</v>
      </c>
      <c r="AB16" s="1262">
        <v>1</v>
      </c>
      <c r="AC16" s="1262">
        <v>1</v>
      </c>
    </row>
    <row r="17" spans="1:29" ht="15">
      <c r="A17" s="365"/>
      <c r="B17" s="388" t="s">
        <v>1259</v>
      </c>
      <c r="C17" s="1752">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88"/>
      <c r="M17" s="2483"/>
      <c r="N17" s="2483"/>
      <c r="O17" s="2483"/>
      <c r="P17" s="3428"/>
      <c r="Q17" s="1261" t="str">
        <f>B17</f>
        <v>交通便捷度</v>
      </c>
      <c r="R17" s="665" t="s">
        <v>14</v>
      </c>
      <c r="S17" s="666">
        <f>F17</f>
        <v>100</v>
      </c>
      <c r="T17" s="665" t="s">
        <v>14</v>
      </c>
      <c r="U17" s="666">
        <f>H17</f>
        <v>100</v>
      </c>
      <c r="V17" s="665" t="s">
        <v>14</v>
      </c>
      <c r="W17" s="666">
        <f>J17</f>
        <v>100</v>
      </c>
      <c r="X17" s="1263"/>
      <c r="Y17" s="3372"/>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8"/>
      <c r="M18" s="2483"/>
      <c r="N18" s="2483"/>
      <c r="O18" s="2483"/>
      <c r="P18" s="3428"/>
      <c r="Q18" s="1261"/>
      <c r="R18" s="665"/>
      <c r="S18" s="666"/>
      <c r="T18" s="665"/>
      <c r="U18" s="666"/>
      <c r="V18" s="665"/>
      <c r="W18" s="666"/>
      <c r="X18" s="1263"/>
      <c r="Y18" s="3372"/>
      <c r="Z18" s="1262"/>
      <c r="AA18" s="1262">
        <v>1</v>
      </c>
      <c r="AB18" s="1262">
        <v>1</v>
      </c>
      <c r="AC18" s="1262">
        <v>1</v>
      </c>
    </row>
    <row r="19" spans="1:29" ht="15">
      <c r="A19" s="365"/>
      <c r="B19" s="388" t="s">
        <v>1778</v>
      </c>
      <c r="C19" s="1752">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88"/>
      <c r="M19" s="2483"/>
      <c r="N19" s="2483"/>
      <c r="O19" s="2483"/>
      <c r="P19" s="3428"/>
      <c r="Q19" s="1261" t="str">
        <f>B19</f>
        <v>公共配套设施</v>
      </c>
      <c r="R19" s="665" t="s">
        <v>14</v>
      </c>
      <c r="S19" s="666">
        <f>F19</f>
        <v>100</v>
      </c>
      <c r="T19" s="665" t="s">
        <v>14</v>
      </c>
      <c r="U19" s="666">
        <f>H19</f>
        <v>100</v>
      </c>
      <c r="V19" s="665" t="s">
        <v>14</v>
      </c>
      <c r="W19" s="666">
        <f>J19</f>
        <v>100</v>
      </c>
      <c r="X19" s="1263"/>
      <c r="Y19" s="3372"/>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8"/>
      <c r="M20" s="2483"/>
      <c r="N20" s="2483"/>
      <c r="O20" s="2483"/>
      <c r="P20" s="3428"/>
      <c r="Q20" s="1261"/>
      <c r="R20" s="665"/>
      <c r="S20" s="666"/>
      <c r="T20" s="665"/>
      <c r="U20" s="666"/>
      <c r="V20" s="665"/>
      <c r="W20" s="666"/>
      <c r="X20" s="1263"/>
      <c r="Y20" s="3372"/>
      <c r="Z20" s="1262"/>
      <c r="AA20" s="1262">
        <v>1</v>
      </c>
      <c r="AB20" s="1262">
        <v>1</v>
      </c>
      <c r="AC20" s="1262">
        <v>1</v>
      </c>
    </row>
    <row r="21" spans="1:29" ht="15">
      <c r="A21" s="365"/>
      <c r="B21" s="584" t="s">
        <v>1779</v>
      </c>
      <c r="C21" s="1752">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88"/>
      <c r="M21" s="2483"/>
      <c r="N21" s="2483"/>
      <c r="O21" s="2483"/>
      <c r="P21" s="3428"/>
      <c r="Q21" s="1261" t="str">
        <f>B21</f>
        <v>基础设施水平</v>
      </c>
      <c r="R21" s="665" t="s">
        <v>14</v>
      </c>
      <c r="S21" s="666">
        <f>F21</f>
        <v>100</v>
      </c>
      <c r="T21" s="665" t="s">
        <v>14</v>
      </c>
      <c r="U21" s="666">
        <f>H21</f>
        <v>100</v>
      </c>
      <c r="V21" s="665" t="s">
        <v>14</v>
      </c>
      <c r="W21" s="666">
        <f>J21</f>
        <v>100</v>
      </c>
      <c r="X21" s="1263"/>
      <c r="Y21" s="3372"/>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8"/>
      <c r="M22" s="2483"/>
      <c r="N22" s="2483"/>
      <c r="O22" s="2483"/>
      <c r="P22" s="3428"/>
      <c r="Q22" s="1261"/>
      <c r="R22" s="665"/>
      <c r="S22" s="666"/>
      <c r="T22" s="665"/>
      <c r="U22" s="666"/>
      <c r="V22" s="665"/>
      <c r="W22" s="666"/>
      <c r="X22" s="1263"/>
      <c r="Y22" s="3372"/>
      <c r="Z22" s="1262"/>
      <c r="AA22" s="1262">
        <v>1</v>
      </c>
      <c r="AB22" s="1262">
        <v>1</v>
      </c>
      <c r="AC22" s="1262">
        <v>1</v>
      </c>
    </row>
    <row r="23" spans="1:29" ht="15">
      <c r="A23" s="365"/>
      <c r="B23" s="388" t="s">
        <v>1261</v>
      </c>
      <c r="C23" s="1804">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88"/>
      <c r="M23" s="2483"/>
      <c r="N23" s="2483"/>
      <c r="O23" s="2483"/>
      <c r="P23" s="3428"/>
      <c r="Q23" s="1261" t="str">
        <f>B23</f>
        <v>自然及人文环境</v>
      </c>
      <c r="R23" s="665" t="s">
        <v>14</v>
      </c>
      <c r="S23" s="666">
        <f>F23</f>
        <v>100</v>
      </c>
      <c r="T23" s="665" t="s">
        <v>14</v>
      </c>
      <c r="U23" s="666">
        <f>H23</f>
        <v>100</v>
      </c>
      <c r="V23" s="665" t="s">
        <v>14</v>
      </c>
      <c r="W23" s="666">
        <f>J23</f>
        <v>100</v>
      </c>
      <c r="X23" s="1263"/>
      <c r="Y23" s="3372"/>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8"/>
      <c r="M24" s="2483"/>
      <c r="N24" s="2483"/>
      <c r="O24" s="2483"/>
      <c r="P24" s="3428"/>
      <c r="Q24" s="1261"/>
      <c r="R24" s="665"/>
      <c r="S24" s="666"/>
      <c r="T24" s="665"/>
      <c r="U24" s="666"/>
      <c r="V24" s="665"/>
      <c r="W24" s="666"/>
      <c r="X24" s="1263"/>
      <c r="Y24" s="3372"/>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8"/>
      <c r="M25" s="2483"/>
      <c r="N25" s="2483"/>
      <c r="O25" s="2483"/>
      <c r="P25" s="3428"/>
      <c r="Q25" s="1261" t="str">
        <f t="shared" ref="Q25:Q46" si="11">B25</f>
        <v>临街状况</v>
      </c>
      <c r="R25" s="665" t="s">
        <v>14</v>
      </c>
      <c r="S25" s="666">
        <f>F25</f>
        <v>100</v>
      </c>
      <c r="T25" s="665" t="s">
        <v>14</v>
      </c>
      <c r="U25" s="666">
        <f>H25</f>
        <v>100</v>
      </c>
      <c r="V25" s="665" t="s">
        <v>14</v>
      </c>
      <c r="W25" s="666">
        <f>J25</f>
        <v>100</v>
      </c>
      <c r="X25" s="1263"/>
      <c r="Y25" s="3372"/>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8"/>
      <c r="M26" s="2483"/>
      <c r="N26" s="2483"/>
      <c r="O26" s="2483"/>
      <c r="P26" s="3428"/>
      <c r="Q26" s="1261" t="str">
        <f t="shared" si="11"/>
        <v>平面位置/可视性</v>
      </c>
      <c r="R26" s="665" t="s">
        <v>14</v>
      </c>
      <c r="S26" s="666">
        <f>F26</f>
        <v>100</v>
      </c>
      <c r="T26" s="665" t="s">
        <v>14</v>
      </c>
      <c r="U26" s="666">
        <f>H26</f>
        <v>100</v>
      </c>
      <c r="V26" s="665" t="s">
        <v>14</v>
      </c>
      <c r="W26" s="666">
        <f>J26</f>
        <v>100</v>
      </c>
      <c r="X26" s="1263"/>
      <c r="Y26" s="3372"/>
      <c r="Z26" s="1262" t="str">
        <f>Q26</f>
        <v>平面位置/可视性</v>
      </c>
      <c r="AA26" s="1262">
        <f t="shared" si="3"/>
        <v>1</v>
      </c>
      <c r="AB26" s="1262">
        <f t="shared" si="4"/>
        <v>1</v>
      </c>
      <c r="AC26" s="1262">
        <f t="shared" si="5"/>
        <v>1</v>
      </c>
    </row>
    <row r="27" spans="1:29" s="101"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4"/>
      <c r="M27" s="2436"/>
      <c r="N27" s="2436"/>
      <c r="O27" s="2436"/>
      <c r="P27" s="3428"/>
      <c r="Q27" s="528" t="str">
        <f t="shared" si="11"/>
        <v>人流量</v>
      </c>
      <c r="R27" s="662" t="s">
        <v>14</v>
      </c>
      <c r="S27" s="663">
        <f>F27</f>
        <v>100</v>
      </c>
      <c r="T27" s="662" t="s">
        <v>14</v>
      </c>
      <c r="U27" s="663">
        <f>H27</f>
        <v>100</v>
      </c>
      <c r="V27" s="662" t="s">
        <v>14</v>
      </c>
      <c r="W27" s="663">
        <f>J27</f>
        <v>100</v>
      </c>
      <c r="X27" s="664"/>
      <c r="Y27" s="3372"/>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8"/>
      <c r="M28" s="2483"/>
      <c r="N28" s="2483"/>
      <c r="O28" s="2483"/>
      <c r="P28" s="3428"/>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72"/>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8"/>
      <c r="M29" s="2483"/>
      <c r="N29" s="2483"/>
      <c r="O29" s="2483"/>
      <c r="P29" s="3428"/>
      <c r="Q29" s="1261">
        <f t="shared" si="11"/>
        <v>111</v>
      </c>
      <c r="R29" s="665" t="s">
        <v>14</v>
      </c>
      <c r="S29" s="666">
        <f t="shared" si="12"/>
        <v>100</v>
      </c>
      <c r="T29" s="665" t="s">
        <v>14</v>
      </c>
      <c r="U29" s="666">
        <f t="shared" si="13"/>
        <v>100</v>
      </c>
      <c r="V29" s="665" t="s">
        <v>14</v>
      </c>
      <c r="W29" s="666">
        <f t="shared" si="14"/>
        <v>100</v>
      </c>
      <c r="X29" s="1263"/>
      <c r="Y29" s="3372"/>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8"/>
      <c r="M30" s="2483"/>
      <c r="N30" s="2483"/>
      <c r="O30" s="2483"/>
      <c r="P30" s="3428"/>
      <c r="Q30" s="1261">
        <f t="shared" si="11"/>
        <v>111</v>
      </c>
      <c r="R30" s="665" t="s">
        <v>14</v>
      </c>
      <c r="S30" s="666">
        <f t="shared" si="12"/>
        <v>100</v>
      </c>
      <c r="T30" s="665" t="s">
        <v>14</v>
      </c>
      <c r="U30" s="666">
        <f t="shared" si="13"/>
        <v>100</v>
      </c>
      <c r="V30" s="665" t="s">
        <v>14</v>
      </c>
      <c r="W30" s="666">
        <f t="shared" si="14"/>
        <v>100</v>
      </c>
      <c r="X30" s="1263"/>
      <c r="Y30" s="3372"/>
      <c r="Z30" s="1262">
        <f t="shared" si="15"/>
        <v>111</v>
      </c>
      <c r="AA30" s="1262">
        <f t="shared" si="3"/>
        <v>1</v>
      </c>
      <c r="AB30" s="1262">
        <f t="shared" si="4"/>
        <v>1</v>
      </c>
      <c r="AC30" s="1262">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8"/>
      <c r="M31" s="2483"/>
      <c r="N31" s="2483"/>
      <c r="O31" s="2483"/>
      <c r="P31" s="3428"/>
      <c r="Q31" s="1261">
        <f t="shared" si="11"/>
        <v>111</v>
      </c>
      <c r="R31" s="665" t="s">
        <v>14</v>
      </c>
      <c r="S31" s="666">
        <f t="shared" si="12"/>
        <v>100</v>
      </c>
      <c r="T31" s="665" t="s">
        <v>14</v>
      </c>
      <c r="U31" s="666">
        <f t="shared" si="13"/>
        <v>100</v>
      </c>
      <c r="V31" s="665" t="s">
        <v>14</v>
      </c>
      <c r="W31" s="666">
        <f t="shared" si="14"/>
        <v>100</v>
      </c>
      <c r="X31" s="1263"/>
      <c r="Y31" s="3372"/>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8"/>
      <c r="M32" s="2483"/>
      <c r="N32" s="2483"/>
      <c r="O32" s="2483"/>
      <c r="P32" s="3423" t="s">
        <v>1696</v>
      </c>
      <c r="Q32" s="1261" t="str">
        <f t="shared" si="11"/>
        <v>商业类型</v>
      </c>
      <c r="R32" s="665" t="s">
        <v>14</v>
      </c>
      <c r="S32" s="666">
        <f t="shared" si="12"/>
        <v>100</v>
      </c>
      <c r="T32" s="665" t="s">
        <v>14</v>
      </c>
      <c r="U32" s="666">
        <f t="shared" si="13"/>
        <v>100</v>
      </c>
      <c r="V32" s="665" t="s">
        <v>14</v>
      </c>
      <c r="W32" s="666">
        <f t="shared" si="14"/>
        <v>100</v>
      </c>
      <c r="X32" s="1263"/>
      <c r="Y32" s="3373"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7"/>
      <c r="M33" s="2489"/>
      <c r="N33" s="2489"/>
      <c r="O33" s="2489"/>
      <c r="P33" s="3424"/>
      <c r="Q33" s="529" t="str">
        <f t="shared" si="11"/>
        <v>项目建筑规模</v>
      </c>
      <c r="R33" s="667" t="s">
        <v>14</v>
      </c>
      <c r="S33" s="668" t="e">
        <f t="shared" si="12"/>
        <v>#N/A</v>
      </c>
      <c r="T33" s="667" t="s">
        <v>14</v>
      </c>
      <c r="U33" s="668" t="e">
        <f t="shared" si="13"/>
        <v>#N/A</v>
      </c>
      <c r="V33" s="667" t="s">
        <v>14</v>
      </c>
      <c r="W33" s="668" t="e">
        <f t="shared" si="14"/>
        <v>#N/A</v>
      </c>
      <c r="X33" s="669"/>
      <c r="Y33" s="3373"/>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8"/>
      <c r="M34" s="2483"/>
      <c r="N34" s="2483"/>
      <c r="O34" s="2483"/>
      <c r="P34" s="3424"/>
      <c r="Q34" s="1261" t="str">
        <f t="shared" si="11"/>
        <v>建筑结构</v>
      </c>
      <c r="R34" s="665" t="s">
        <v>14</v>
      </c>
      <c r="S34" s="666">
        <f t="shared" si="12"/>
        <v>100</v>
      </c>
      <c r="T34" s="665" t="s">
        <v>14</v>
      </c>
      <c r="U34" s="666">
        <f t="shared" si="13"/>
        <v>100</v>
      </c>
      <c r="V34" s="665" t="s">
        <v>14</v>
      </c>
      <c r="W34" s="666">
        <f t="shared" si="14"/>
        <v>100</v>
      </c>
      <c r="X34" s="1263"/>
      <c r="Y34" s="3373"/>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8"/>
      <c r="M35" s="2483"/>
      <c r="N35" s="2483"/>
      <c r="O35" s="2483"/>
      <c r="P35" s="3424"/>
      <c r="Q35" s="1261" t="str">
        <f t="shared" si="11"/>
        <v>公共部分装修</v>
      </c>
      <c r="R35" s="665" t="s">
        <v>14</v>
      </c>
      <c r="S35" s="666">
        <f t="shared" si="12"/>
        <v>100</v>
      </c>
      <c r="T35" s="665" t="s">
        <v>14</v>
      </c>
      <c r="U35" s="666">
        <f t="shared" si="13"/>
        <v>100</v>
      </c>
      <c r="V35" s="665" t="s">
        <v>14</v>
      </c>
      <c r="W35" s="666">
        <f t="shared" si="14"/>
        <v>100</v>
      </c>
      <c r="X35" s="1263"/>
      <c r="Y35" s="3373"/>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8"/>
      <c r="M36" s="2483"/>
      <c r="N36" s="2483"/>
      <c r="O36" s="2483"/>
      <c r="P36" s="3424"/>
      <c r="Q36" s="1261" t="str">
        <f t="shared" si="11"/>
        <v>成新度</v>
      </c>
      <c r="R36" s="665" t="s">
        <v>14</v>
      </c>
      <c r="S36" s="666" t="e">
        <f t="shared" si="12"/>
        <v>#N/A</v>
      </c>
      <c r="T36" s="665" t="s">
        <v>14</v>
      </c>
      <c r="U36" s="666" t="e">
        <f t="shared" si="13"/>
        <v>#N/A</v>
      </c>
      <c r="V36" s="665" t="s">
        <v>14</v>
      </c>
      <c r="W36" s="666" t="e">
        <f t="shared" si="14"/>
        <v>#N/A</v>
      </c>
      <c r="X36" s="1263"/>
      <c r="Y36" s="3373"/>
      <c r="Z36" s="1262" t="str">
        <f t="shared" si="15"/>
        <v>成新度</v>
      </c>
      <c r="AA36" s="1262" t="e">
        <f t="shared" si="3"/>
        <v>#N/A</v>
      </c>
      <c r="AB36" s="1262" t="e">
        <f t="shared" si="4"/>
        <v>#N/A</v>
      </c>
      <c r="AC36" s="1262" t="e">
        <f t="shared" si="5"/>
        <v>#N/A</v>
      </c>
    </row>
    <row r="37" spans="1:29" s="101"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4"/>
      <c r="M37" s="2436"/>
      <c r="N37" s="2436"/>
      <c r="O37" s="2436"/>
      <c r="P37" s="3424"/>
      <c r="Q37" s="528" t="str">
        <f t="shared" si="11"/>
        <v>市政基础设施</v>
      </c>
      <c r="R37" s="662" t="s">
        <v>14</v>
      </c>
      <c r="S37" s="663">
        <f t="shared" si="12"/>
        <v>100</v>
      </c>
      <c r="T37" s="662" t="s">
        <v>14</v>
      </c>
      <c r="U37" s="663">
        <f t="shared" si="13"/>
        <v>100</v>
      </c>
      <c r="V37" s="662" t="s">
        <v>14</v>
      </c>
      <c r="W37" s="663">
        <f t="shared" si="14"/>
        <v>100</v>
      </c>
      <c r="X37" s="664"/>
      <c r="Y37" s="3373"/>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8"/>
      <c r="M38" s="2483"/>
      <c r="N38" s="2483"/>
      <c r="O38" s="2483"/>
      <c r="P38" s="3424" t="s">
        <v>1696</v>
      </c>
      <c r="Q38" s="1261" t="str">
        <f t="shared" si="11"/>
        <v>业态</v>
      </c>
      <c r="R38" s="665" t="s">
        <v>14</v>
      </c>
      <c r="S38" s="666">
        <f t="shared" si="12"/>
        <v>100</v>
      </c>
      <c r="T38" s="665" t="s">
        <v>14</v>
      </c>
      <c r="U38" s="666">
        <f t="shared" si="13"/>
        <v>100</v>
      </c>
      <c r="V38" s="665" t="s">
        <v>14</v>
      </c>
      <c r="W38" s="666">
        <f t="shared" si="14"/>
        <v>100</v>
      </c>
      <c r="X38" s="1263"/>
      <c r="Y38" s="3373"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8"/>
      <c r="M39" s="2483"/>
      <c r="N39" s="2483"/>
      <c r="O39" s="2483"/>
      <c r="P39" s="3424"/>
      <c r="Q39" s="1261" t="str">
        <f t="shared" si="11"/>
        <v>层高</v>
      </c>
      <c r="R39" s="665" t="s">
        <v>14</v>
      </c>
      <c r="S39" s="666">
        <f t="shared" si="12"/>
        <v>100</v>
      </c>
      <c r="T39" s="665" t="s">
        <v>14</v>
      </c>
      <c r="U39" s="666">
        <f t="shared" si="13"/>
        <v>100</v>
      </c>
      <c r="V39" s="665" t="s">
        <v>14</v>
      </c>
      <c r="W39" s="666">
        <f t="shared" si="14"/>
        <v>100</v>
      </c>
      <c r="X39" s="1263"/>
      <c r="Y39" s="3373"/>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8"/>
      <c r="M40" s="2483"/>
      <c r="N40" s="2483"/>
      <c r="O40" s="2483"/>
      <c r="P40" s="3424"/>
      <c r="Q40" s="1261" t="str">
        <f t="shared" si="11"/>
        <v>单套建筑面积</v>
      </c>
      <c r="R40" s="665" t="s">
        <v>14</v>
      </c>
      <c r="S40" s="666">
        <f t="shared" si="12"/>
        <v>100</v>
      </c>
      <c r="T40" s="665" t="s">
        <v>14</v>
      </c>
      <c r="U40" s="666">
        <f t="shared" si="13"/>
        <v>100</v>
      </c>
      <c r="V40" s="665" t="s">
        <v>14</v>
      </c>
      <c r="W40" s="666">
        <f t="shared" si="14"/>
        <v>100</v>
      </c>
      <c r="X40" s="1263"/>
      <c r="Y40" s="3373"/>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7"/>
      <c r="M41" s="2489"/>
      <c r="N41" s="2489"/>
      <c r="O41" s="2489"/>
      <c r="P41" s="3424"/>
      <c r="Q41" s="529" t="str">
        <f t="shared" si="11"/>
        <v>进深比</v>
      </c>
      <c r="R41" s="667" t="s">
        <v>14</v>
      </c>
      <c r="S41" s="668">
        <f t="shared" si="12"/>
        <v>100</v>
      </c>
      <c r="T41" s="667" t="s">
        <v>14</v>
      </c>
      <c r="U41" s="668">
        <f t="shared" si="13"/>
        <v>100</v>
      </c>
      <c r="V41" s="667" t="s">
        <v>14</v>
      </c>
      <c r="W41" s="668">
        <f t="shared" si="14"/>
        <v>100</v>
      </c>
      <c r="X41" s="669"/>
      <c r="Y41" s="3373"/>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8"/>
      <c r="M42" s="2483"/>
      <c r="N42" s="2483"/>
      <c r="O42" s="2483"/>
      <c r="P42" s="3424"/>
      <c r="Q42" s="1261" t="str">
        <f t="shared" si="11"/>
        <v>内部装修</v>
      </c>
      <c r="R42" s="665" t="s">
        <v>14</v>
      </c>
      <c r="S42" s="666">
        <f t="shared" si="12"/>
        <v>100</v>
      </c>
      <c r="T42" s="665" t="s">
        <v>14</v>
      </c>
      <c r="U42" s="666">
        <f t="shared" si="13"/>
        <v>100</v>
      </c>
      <c r="V42" s="665" t="s">
        <v>14</v>
      </c>
      <c r="W42" s="666">
        <f t="shared" si="14"/>
        <v>100</v>
      </c>
      <c r="X42" s="1263"/>
      <c r="Y42" s="3373"/>
      <c r="Z42" s="1262" t="str">
        <f t="shared" si="15"/>
        <v>内部装修</v>
      </c>
      <c r="AA42" s="1262">
        <f t="shared" si="3"/>
        <v>1</v>
      </c>
      <c r="AB42" s="1262">
        <f t="shared" si="4"/>
        <v>1</v>
      </c>
      <c r="AC42" s="1262">
        <f t="shared" si="5"/>
        <v>1</v>
      </c>
    </row>
    <row r="43" spans="1:29" ht="28.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8"/>
      <c r="M43" s="2483"/>
      <c r="N43" s="2483"/>
      <c r="O43" s="2483"/>
      <c r="P43" s="3424"/>
      <c r="Q43" s="1261" t="str">
        <f t="shared" si="11"/>
        <v>内部装修维护情况</v>
      </c>
      <c r="R43" s="665" t="s">
        <v>14</v>
      </c>
      <c r="S43" s="666">
        <f t="shared" si="12"/>
        <v>100</v>
      </c>
      <c r="T43" s="665" t="s">
        <v>14</v>
      </c>
      <c r="U43" s="666">
        <f t="shared" si="13"/>
        <v>100</v>
      </c>
      <c r="V43" s="665" t="s">
        <v>14</v>
      </c>
      <c r="W43" s="666">
        <f t="shared" si="14"/>
        <v>100</v>
      </c>
      <c r="X43" s="1263"/>
      <c r="Y43" s="3373"/>
      <c r="Z43" s="1262" t="str">
        <f t="shared" si="15"/>
        <v>内部装修维护情况</v>
      </c>
      <c r="AA43" s="1262">
        <f t="shared" si="3"/>
        <v>1</v>
      </c>
      <c r="AB43" s="1262">
        <f t="shared" si="4"/>
        <v>1</v>
      </c>
      <c r="AC43" s="1262">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4"/>
      <c r="M44" s="2436"/>
      <c r="N44" s="2436"/>
      <c r="O44" s="2436"/>
      <c r="P44" s="3424"/>
      <c r="Q44" s="528">
        <f t="shared" si="11"/>
        <v>111</v>
      </c>
      <c r="R44" s="662" t="s">
        <v>14</v>
      </c>
      <c r="S44" s="663">
        <f t="shared" si="12"/>
        <v>100</v>
      </c>
      <c r="T44" s="662" t="s">
        <v>14</v>
      </c>
      <c r="U44" s="663">
        <f t="shared" si="13"/>
        <v>100</v>
      </c>
      <c r="V44" s="662" t="s">
        <v>14</v>
      </c>
      <c r="W44" s="663">
        <f t="shared" si="14"/>
        <v>100</v>
      </c>
      <c r="X44" s="664"/>
      <c r="Y44" s="3373"/>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8"/>
      <c r="M45" s="2483"/>
      <c r="N45" s="2483"/>
      <c r="O45" s="2483"/>
      <c r="P45" s="3424"/>
      <c r="Q45" s="1261">
        <f t="shared" si="11"/>
        <v>111</v>
      </c>
      <c r="R45" s="665" t="s">
        <v>14</v>
      </c>
      <c r="S45" s="666">
        <f t="shared" si="12"/>
        <v>100</v>
      </c>
      <c r="T45" s="665" t="s">
        <v>14</v>
      </c>
      <c r="U45" s="666">
        <f t="shared" si="13"/>
        <v>100</v>
      </c>
      <c r="V45" s="665" t="s">
        <v>14</v>
      </c>
      <c r="W45" s="666">
        <f t="shared" si="14"/>
        <v>100</v>
      </c>
      <c r="X45" s="1263"/>
      <c r="Y45" s="3373"/>
      <c r="Z45" s="1262">
        <f t="shared" si="15"/>
        <v>111</v>
      </c>
      <c r="AA45" s="1262">
        <f t="shared" si="3"/>
        <v>1</v>
      </c>
      <c r="AB45" s="1262">
        <f t="shared" si="4"/>
        <v>1</v>
      </c>
      <c r="AC45" s="1262">
        <f t="shared" si="5"/>
        <v>1</v>
      </c>
    </row>
    <row r="46" spans="1:29" ht="15.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8"/>
      <c r="M46" s="2483"/>
      <c r="N46" s="2483"/>
      <c r="O46" s="2483"/>
      <c r="P46" s="3425"/>
      <c r="Q46" s="1261">
        <f t="shared" si="11"/>
        <v>111</v>
      </c>
      <c r="R46" s="665" t="s">
        <v>14</v>
      </c>
      <c r="S46" s="666">
        <f t="shared" si="12"/>
        <v>100</v>
      </c>
      <c r="T46" s="665" t="s">
        <v>14</v>
      </c>
      <c r="U46" s="666">
        <f t="shared" si="13"/>
        <v>100</v>
      </c>
      <c r="V46" s="665" t="s">
        <v>14</v>
      </c>
      <c r="W46" s="666">
        <f t="shared" si="14"/>
        <v>100</v>
      </c>
      <c r="X46" s="1263"/>
      <c r="Y46" s="3426"/>
      <c r="Z46" s="1262">
        <f t="shared" si="15"/>
        <v>111</v>
      </c>
      <c r="AA46" s="1262">
        <f t="shared" si="3"/>
        <v>1</v>
      </c>
      <c r="AB46" s="1262">
        <f t="shared" si="4"/>
        <v>1</v>
      </c>
      <c r="AC46" s="1262">
        <f t="shared" si="5"/>
        <v>1</v>
      </c>
    </row>
    <row r="47" spans="1:29" ht="14.4">
      <c r="A47" s="414" t="s">
        <v>1708</v>
      </c>
      <c r="B47" s="415"/>
      <c r="C47" s="1079" t="s">
        <v>0</v>
      </c>
      <c r="D47" s="416"/>
      <c r="E47" s="417"/>
      <c r="F47" s="418"/>
      <c r="G47" s="419"/>
      <c r="H47" s="420"/>
      <c r="I47" s="417"/>
      <c r="J47" s="420"/>
      <c r="K47" s="672"/>
      <c r="L47" s="2490"/>
      <c r="M47" s="2483"/>
      <c r="N47" s="2483"/>
      <c r="O47" s="2483"/>
      <c r="P47" s="3354" t="str">
        <f>A47</f>
        <v>成交单价（元/平方米）</v>
      </c>
      <c r="Q47" s="3354"/>
      <c r="R47" s="3370">
        <f>E47</f>
        <v>0</v>
      </c>
      <c r="S47" s="3370"/>
      <c r="T47" s="3370">
        <f>G47</f>
        <v>0</v>
      </c>
      <c r="U47" s="3370"/>
      <c r="V47" s="3370">
        <f>I47</f>
        <v>0</v>
      </c>
      <c r="W47" s="3370"/>
      <c r="X47" s="383"/>
      <c r="Y47" s="671"/>
      <c r="Z47" s="383"/>
      <c r="AA47" s="383"/>
      <c r="AB47" s="383"/>
      <c r="AC47" s="383"/>
    </row>
    <row r="48" spans="1:29" ht="15" thickBot="1">
      <c r="A48" s="421" t="s">
        <v>1793</v>
      </c>
      <c r="B48" s="422"/>
      <c r="C48" s="1080" t="e">
        <f>R49</f>
        <v>#DIV/0!</v>
      </c>
      <c r="D48" s="2139" t="s">
        <v>2137</v>
      </c>
      <c r="E48" s="1081" t="e">
        <f>R48</f>
        <v>#DIV/0!</v>
      </c>
      <c r="F48" s="2140"/>
      <c r="G48" s="1080" t="e">
        <f>T48</f>
        <v>#DIV/0!</v>
      </c>
      <c r="H48" s="2140"/>
      <c r="I48" s="1081" t="e">
        <f>V48</f>
        <v>#DIV/0!</v>
      </c>
      <c r="J48" s="2140"/>
      <c r="K48" s="2142">
        <f>F48+H48+J48</f>
        <v>0</v>
      </c>
      <c r="L48" s="2490"/>
      <c r="M48" s="2483"/>
      <c r="N48" s="2483"/>
      <c r="O48" s="2483"/>
      <c r="P48" s="3354" t="str">
        <f>A48</f>
        <v>比较价值（元/平方米）</v>
      </c>
      <c r="Q48" s="3354"/>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90"/>
      <c r="M49" s="2483"/>
      <c r="N49" s="2483"/>
      <c r="O49" s="2483"/>
      <c r="P49" s="3389" t="str">
        <f>A49</f>
        <v>估价对象XX用房的比较价值（楼面单价，元/平方米）</v>
      </c>
      <c r="Q49" s="3390"/>
      <c r="R49" s="3422" t="e">
        <f>IF(F1="售价",ROUND(IF(D48="简单平均",AVERAGE(R48:V48),R48*F48+T48*H48+V48*J48),0),ROUND(IF(D48="简单平均",AVERAGE(R48:V48),R48*F48+T48*H48+V48*J48),1))</f>
        <v>#DIV/0!</v>
      </c>
      <c r="S49" s="3422"/>
      <c r="T49" s="3422"/>
      <c r="U49" s="3422"/>
      <c r="V49" s="3422"/>
      <c r="W49" s="3422"/>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6" t="s">
        <v>1798</v>
      </c>
      <c r="B57" s="383"/>
      <c r="C57" s="657"/>
      <c r="D57" s="657"/>
      <c r="E57" s="657"/>
      <c r="F57" s="658"/>
      <c r="G57" s="658"/>
      <c r="H57" s="657"/>
      <c r="I57" s="657"/>
      <c r="J57" s="657"/>
      <c r="K57" s="659"/>
      <c r="L57" s="886"/>
      <c r="M57" s="884"/>
      <c r="N57" s="884"/>
      <c r="O57" s="884"/>
      <c r="P57" s="2503"/>
      <c r="Q57" s="2504"/>
      <c r="R57" s="2483"/>
      <c r="S57" s="2483"/>
      <c r="T57" s="2483"/>
      <c r="U57" s="2483"/>
      <c r="V57" s="2483"/>
      <c r="W57" s="2483"/>
      <c r="X57" s="2483"/>
      <c r="Y57" s="2483"/>
      <c r="Z57" s="2483"/>
      <c r="AA57" s="2483"/>
      <c r="AB57" s="2483"/>
      <c r="AC57" s="2483"/>
    </row>
    <row r="58" spans="1:29" s="440" customFormat="1" ht="14.4">
      <c r="A58" s="438" t="s">
        <v>1679</v>
      </c>
      <c r="B58" s="439"/>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5"/>
      <c r="Q58" s="2506"/>
      <c r="R58" s="2506"/>
      <c r="S58" s="2506"/>
      <c r="T58" s="2506"/>
      <c r="U58" s="2506"/>
      <c r="V58" s="2506"/>
      <c r="W58" s="2506"/>
      <c r="X58" s="2506"/>
      <c r="Y58" s="2506"/>
      <c r="Z58" s="2506"/>
      <c r="AA58" s="2506"/>
      <c r="AB58" s="2506"/>
      <c r="AC58" s="2506"/>
    </row>
    <row r="59" spans="1:29" s="101" customFormat="1">
      <c r="A59" s="441"/>
      <c r="B59" s="442"/>
      <c r="C59" s="1100">
        <v>100</v>
      </c>
      <c r="D59" s="444"/>
      <c r="E59" s="444"/>
      <c r="F59" s="444"/>
      <c r="G59" s="444"/>
      <c r="H59" s="444"/>
      <c r="I59" s="444"/>
      <c r="J59" s="444"/>
      <c r="K59" s="444"/>
      <c r="L59" s="444"/>
      <c r="M59" s="445"/>
      <c r="N59" s="444"/>
      <c r="O59" s="445"/>
      <c r="P59" s="2507"/>
      <c r="Q59" s="2436"/>
      <c r="R59" s="2436"/>
      <c r="S59" s="2436"/>
      <c r="T59" s="2436"/>
      <c r="U59" s="2436"/>
      <c r="V59" s="2436"/>
      <c r="W59" s="2436"/>
      <c r="X59" s="2436"/>
      <c r="Y59" s="2436"/>
      <c r="Z59" s="2436"/>
      <c r="AA59" s="2436"/>
      <c r="AB59" s="2436"/>
      <c r="AC59" s="2436"/>
    </row>
    <row r="60" spans="1:29" s="101" customFormat="1" ht="15" thickBot="1">
      <c r="A60" s="447" t="s">
        <v>1716</v>
      </c>
      <c r="B60" s="448"/>
      <c r="C60" s="449"/>
      <c r="D60" s="450"/>
      <c r="E60" s="450"/>
      <c r="F60" s="450"/>
      <c r="G60" s="450"/>
      <c r="H60" s="450"/>
      <c r="I60" s="450"/>
      <c r="J60" s="450"/>
      <c r="K60" s="450"/>
      <c r="L60" s="450"/>
      <c r="M60" s="451"/>
      <c r="N60" s="450"/>
      <c r="O60" s="451"/>
      <c r="P60" s="2507"/>
      <c r="Q60" s="2504"/>
      <c r="R60" s="2436"/>
      <c r="S60" s="2436"/>
      <c r="T60" s="2436"/>
      <c r="U60" s="2436"/>
      <c r="V60" s="2436"/>
      <c r="W60" s="2436"/>
      <c r="X60" s="2436"/>
      <c r="Y60" s="2436"/>
      <c r="Z60" s="2436"/>
      <c r="AA60" s="2436"/>
      <c r="AB60" s="2436"/>
      <c r="AC60" s="2436"/>
    </row>
    <row r="61" spans="1:29" s="101" customFormat="1" ht="14.4">
      <c r="A61" s="453" t="s">
        <v>1681</v>
      </c>
      <c r="B61" s="442"/>
      <c r="C61" s="454" t="s">
        <v>1776</v>
      </c>
      <c r="D61" s="31"/>
      <c r="E61" s="31"/>
      <c r="F61" s="31"/>
      <c r="G61" s="31"/>
      <c r="H61" s="31"/>
      <c r="I61" s="31"/>
      <c r="J61" s="31"/>
      <c r="K61" s="31"/>
      <c r="L61" s="455"/>
      <c r="M61" s="456"/>
      <c r="N61" s="2516"/>
      <c r="O61" s="2516"/>
      <c r="P61" s="2508"/>
      <c r="Q61" s="2504"/>
      <c r="R61" s="2436"/>
      <c r="S61" s="2436"/>
      <c r="T61" s="2436"/>
      <c r="U61" s="2436"/>
      <c r="V61" s="2436"/>
      <c r="W61" s="2436"/>
      <c r="X61" s="2436"/>
      <c r="Y61" s="2436"/>
      <c r="Z61" s="2436"/>
      <c r="AA61" s="2436"/>
      <c r="AB61" s="2436"/>
      <c r="AC61" s="2436"/>
    </row>
    <row r="62" spans="1:29" s="101" customFormat="1" ht="14.4" thickBot="1">
      <c r="A62" s="453"/>
      <c r="B62" s="442"/>
      <c r="C62" s="443">
        <v>100</v>
      </c>
      <c r="D62" s="444"/>
      <c r="E62" s="444"/>
      <c r="F62" s="444"/>
      <c r="G62" s="444"/>
      <c r="H62" s="444"/>
      <c r="I62" s="444"/>
      <c r="J62" s="444"/>
      <c r="K62" s="444"/>
      <c r="L62" s="444"/>
      <c r="M62" s="446"/>
      <c r="N62" s="2516"/>
      <c r="O62" s="2516"/>
      <c r="P62" s="2507"/>
      <c r="Q62" s="2504"/>
      <c r="R62" s="2436"/>
      <c r="S62" s="2436"/>
      <c r="T62" s="2436"/>
      <c r="U62" s="2436"/>
      <c r="V62" s="2436"/>
      <c r="W62" s="2436"/>
      <c r="X62" s="2436"/>
      <c r="Y62" s="2436"/>
      <c r="Z62" s="2436"/>
      <c r="AA62" s="2436"/>
      <c r="AB62" s="2436"/>
      <c r="AC62" s="2436"/>
    </row>
    <row r="63" spans="1:29" ht="14.4">
      <c r="A63" s="377"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4.4" thickBot="1">
      <c r="A64" s="365"/>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9.4" thickTop="1">
      <c r="A65" s="365"/>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4.4" thickBot="1">
      <c r="A66" s="365"/>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8"/>
      <c r="O67" s="2518"/>
      <c r="P67" s="2509"/>
      <c r="Q67" s="2504"/>
      <c r="R67" s="2483"/>
      <c r="S67" s="2483"/>
      <c r="T67" s="2483"/>
      <c r="U67" s="2483"/>
      <c r="V67" s="2483"/>
      <c r="W67" s="2483"/>
      <c r="X67" s="2483"/>
      <c r="Y67" s="2483"/>
      <c r="Z67" s="2483"/>
      <c r="AA67" s="2483"/>
      <c r="AB67" s="2483"/>
      <c r="AC67" s="2483"/>
    </row>
    <row r="68" spans="1:29">
      <c r="A68" s="365"/>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6" customFormat="1" ht="14.4"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6" customFormat="1" ht="14.4"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6" customFormat="1" ht="14.4"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6" customFormat="1" ht="14.4"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6" customFormat="1" ht="14.4"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6" customFormat="1" ht="14.4"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ht="14.4">
      <c r="A76" s="377"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 thickTop="1">
      <c r="A78" s="365"/>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 thickTop="1">
      <c r="A80" s="365"/>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 thickTop="1">
      <c r="A82" s="365"/>
      <c r="B82" s="475" t="s">
        <v>1779</v>
      </c>
      <c r="C82" s="579" t="s">
        <v>1799</v>
      </c>
      <c r="D82" s="579" t="s">
        <v>1800</v>
      </c>
      <c r="E82" s="579" t="s">
        <v>1801</v>
      </c>
      <c r="F82" s="579" t="s">
        <v>1802</v>
      </c>
      <c r="G82" s="579" t="s">
        <v>1803</v>
      </c>
      <c r="H82" s="468"/>
      <c r="I82" s="468"/>
      <c r="J82" s="468"/>
      <c r="K82" s="468"/>
      <c r="L82" s="468"/>
      <c r="M82" s="1061"/>
      <c r="N82" s="2518"/>
      <c r="O82" s="2518"/>
      <c r="P82" s="2509"/>
      <c r="Q82" s="2504"/>
      <c r="R82" s="2483"/>
      <c r="S82" s="2483"/>
      <c r="T82" s="2483"/>
      <c r="U82" s="2483"/>
      <c r="V82" s="2483"/>
      <c r="W82" s="2483"/>
      <c r="X82" s="2483"/>
      <c r="Y82" s="2483"/>
      <c r="Z82" s="2483"/>
      <c r="AA82" s="2483"/>
      <c r="AB82" s="2483"/>
      <c r="AC82" s="2483"/>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8"/>
      <c r="O83" s="2518"/>
      <c r="P83" s="2509"/>
      <c r="Q83" s="2504"/>
      <c r="R83" s="2483"/>
      <c r="S83" s="2483"/>
      <c r="T83" s="2483"/>
      <c r="U83" s="2483"/>
      <c r="V83" s="2483"/>
      <c r="W83" s="2483"/>
      <c r="X83" s="2483"/>
      <c r="Y83" s="2483"/>
      <c r="Z83" s="2483"/>
      <c r="AA83" s="2483"/>
      <c r="AB83" s="2483"/>
      <c r="AC83" s="2483"/>
    </row>
    <row r="84" spans="1:29" ht="15" thickTop="1">
      <c r="A84" s="365"/>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1" customFormat="1" ht="15" thickTop="1">
      <c r="A86" s="368"/>
      <c r="B86" s="467" t="s">
        <v>1804</v>
      </c>
      <c r="C86" s="483"/>
      <c r="D86" s="483"/>
      <c r="E86" s="483"/>
      <c r="F86" s="483"/>
      <c r="G86" s="483"/>
      <c r="H86" s="483"/>
      <c r="I86" s="483"/>
      <c r="J86" s="483"/>
      <c r="K86" s="483"/>
      <c r="L86" s="508"/>
      <c r="M86" s="509"/>
      <c r="N86" s="2516"/>
      <c r="O86" s="2516"/>
      <c r="P86" s="2509"/>
      <c r="Q86" s="2504"/>
      <c r="R86" s="2436"/>
      <c r="S86" s="2436"/>
      <c r="T86" s="2436"/>
      <c r="U86" s="2436"/>
      <c r="V86" s="2436"/>
      <c r="W86" s="2436"/>
      <c r="X86" s="2436"/>
      <c r="Y86" s="2436"/>
      <c r="Z86" s="2436"/>
      <c r="AA86" s="2436"/>
      <c r="AB86" s="2436"/>
      <c r="AC86" s="2436"/>
    </row>
    <row r="87" spans="1:29" s="101"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6"/>
      <c r="S87" s="2436"/>
      <c r="T87" s="2436"/>
      <c r="U87" s="2436"/>
      <c r="V87" s="2436"/>
      <c r="W87" s="2436"/>
      <c r="X87" s="2436"/>
      <c r="Y87" s="2436"/>
      <c r="Z87" s="2436"/>
      <c r="AA87" s="2436"/>
      <c r="AB87" s="2436"/>
      <c r="AC87" s="2436"/>
    </row>
    <row r="88" spans="1:29" s="101" customFormat="1" ht="14.4" thickTop="1">
      <c r="A88" s="368"/>
      <c r="B88" s="467" t="str">
        <f>B26</f>
        <v>平面位置/可视性</v>
      </c>
      <c r="C88" s="483"/>
      <c r="D88" s="483"/>
      <c r="E88" s="483"/>
      <c r="F88" s="1778"/>
      <c r="G88" s="483"/>
      <c r="H88" s="483"/>
      <c r="I88" s="483"/>
      <c r="J88" s="483"/>
      <c r="K88" s="483"/>
      <c r="L88" s="483"/>
      <c r="M88" s="509"/>
      <c r="N88" s="2516"/>
      <c r="O88" s="2516"/>
      <c r="P88" s="2509"/>
      <c r="Q88" s="2504"/>
      <c r="R88" s="2436"/>
      <c r="S88" s="2436"/>
      <c r="T88" s="2436"/>
      <c r="U88" s="2436"/>
      <c r="V88" s="2436"/>
      <c r="W88" s="2436"/>
      <c r="X88" s="2436"/>
      <c r="Y88" s="2436"/>
      <c r="Z88" s="2436"/>
      <c r="AA88" s="2436"/>
      <c r="AB88" s="2436"/>
      <c r="AC88" s="2436"/>
    </row>
    <row r="89" spans="1:29" s="101" customFormat="1" ht="14.4" thickBot="1">
      <c r="A89" s="368"/>
      <c r="B89" s="472"/>
      <c r="C89" s="489"/>
      <c r="D89" s="465"/>
      <c r="E89" s="465"/>
      <c r="F89" s="465"/>
      <c r="G89" s="465"/>
      <c r="H89" s="465"/>
      <c r="I89" s="465"/>
      <c r="J89" s="465"/>
      <c r="K89" s="465"/>
      <c r="L89" s="465"/>
      <c r="M89" s="465"/>
      <c r="N89" s="2518"/>
      <c r="O89" s="2518"/>
      <c r="P89" s="2509"/>
      <c r="Q89" s="2504"/>
      <c r="R89" s="2436"/>
      <c r="S89" s="2436"/>
      <c r="T89" s="2436"/>
      <c r="U89" s="2436"/>
      <c r="V89" s="2436"/>
      <c r="W89" s="2436"/>
      <c r="X89" s="2436"/>
      <c r="Y89" s="2436"/>
      <c r="Z89" s="2436"/>
      <c r="AA89" s="2436"/>
      <c r="AB89" s="2436"/>
      <c r="AC89" s="2436"/>
    </row>
    <row r="90" spans="1:29" s="406" customFormat="1" ht="14.4"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5"/>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4.4" thickBot="1">
      <c r="A93" s="365"/>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4.4" thickTop="1">
      <c r="A94" s="365"/>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4.4" thickBot="1">
      <c r="A95" s="365"/>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4.4" thickTop="1">
      <c r="A96" s="365"/>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4.4" thickBot="1">
      <c r="A97" s="365"/>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4.4" thickTop="1">
      <c r="A98" s="365"/>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4.4" thickBot="1">
      <c r="A99" s="373"/>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ht="14.4">
      <c r="A100" s="377"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6" customFormat="1">
      <c r="A103" s="404"/>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6" customFormat="1" ht="14.4"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7"/>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7"/>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7"/>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6" customFormat="1" ht="15" thickTop="1">
      <c r="A112" s="404"/>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7"/>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7"/>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7"/>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4.4" thickBot="1">
      <c r="A119" s="365"/>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6" customFormat="1" ht="15" thickTop="1">
      <c r="A120" s="404"/>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7"/>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6" customFormat="1" ht="14.4" thickTop="1">
      <c r="A126" s="404"/>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6" customFormat="1" ht="14.4"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4.4" thickTop="1">
      <c r="A128" s="407"/>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4.4" thickBot="1">
      <c r="A129" s="365"/>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4.4" thickTop="1">
      <c r="A130" s="407"/>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4.4" thickBot="1">
      <c r="A131" s="373"/>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43685.850000000006</v>
      </c>
      <c r="E3" s="1803"/>
      <c r="F3" s="854"/>
      <c r="G3" s="853"/>
      <c r="H3" s="853"/>
      <c r="I3" s="853"/>
      <c r="J3" s="853"/>
      <c r="K3" s="855"/>
      <c r="L3" s="2499"/>
      <c r="M3" s="2500"/>
      <c r="N3" s="2500"/>
      <c r="O3" s="2500"/>
      <c r="P3" s="339"/>
      <c r="Q3" s="339"/>
      <c r="R3" s="339"/>
      <c r="S3" s="339"/>
      <c r="T3" s="339"/>
      <c r="U3" s="339"/>
      <c r="V3" s="339"/>
      <c r="W3" s="339"/>
      <c r="X3" s="339"/>
      <c r="Y3" s="339"/>
      <c r="Z3" s="339"/>
      <c r="AA3" s="339"/>
      <c r="AB3" s="339"/>
      <c r="AC3" s="661"/>
    </row>
    <row r="4" spans="1:29" ht="14.4">
      <c r="A4" s="343" t="s">
        <v>1769</v>
      </c>
      <c r="B4" s="344"/>
      <c r="C4" s="3351" t="s">
        <v>1770</v>
      </c>
      <c r="D4" s="3377"/>
      <c r="E4" s="3378" t="s">
        <v>1771</v>
      </c>
      <c r="F4" s="3379"/>
      <c r="G4" s="3351" t="s">
        <v>1772</v>
      </c>
      <c r="H4" s="3377"/>
      <c r="I4" s="3351" t="s">
        <v>1773</v>
      </c>
      <c r="J4" s="3377"/>
      <c r="K4" s="535" t="s">
        <v>1774</v>
      </c>
      <c r="L4" s="2482"/>
      <c r="M4" s="2483"/>
      <c r="N4" s="2483"/>
      <c r="O4" s="2483"/>
      <c r="P4" s="3439" t="s">
        <v>1775</v>
      </c>
      <c r="Q4" s="3440"/>
      <c r="R4" s="3443" t="s">
        <v>1771</v>
      </c>
      <c r="S4" s="3444"/>
      <c r="T4" s="3443" t="s">
        <v>1772</v>
      </c>
      <c r="U4" s="3444"/>
      <c r="V4" s="3445" t="s">
        <v>1773</v>
      </c>
      <c r="W4" s="3445"/>
      <c r="X4" s="1807"/>
      <c r="Y4" s="3443" t="s">
        <v>1775</v>
      </c>
      <c r="Z4" s="3444"/>
      <c r="AA4" s="3447" t="s">
        <v>1771</v>
      </c>
      <c r="AB4" s="3447" t="s">
        <v>1772</v>
      </c>
      <c r="AC4" s="3436" t="s">
        <v>1773</v>
      </c>
    </row>
    <row r="5" spans="1:29">
      <c r="A5" s="346"/>
      <c r="B5" s="347"/>
      <c r="C5" s="3361" t="s">
        <v>1673</v>
      </c>
      <c r="D5" s="3362"/>
      <c r="E5" s="3386" t="s">
        <v>1674</v>
      </c>
      <c r="F5" s="3387"/>
      <c r="G5" s="3361" t="s">
        <v>1675</v>
      </c>
      <c r="H5" s="3362"/>
      <c r="I5" s="3361" t="s">
        <v>1676</v>
      </c>
      <c r="J5" s="3362"/>
      <c r="K5" s="535"/>
      <c r="L5" s="2482"/>
      <c r="M5" s="2483"/>
      <c r="N5" s="2483"/>
      <c r="O5" s="2483"/>
      <c r="P5" s="3441"/>
      <c r="Q5" s="3383"/>
      <c r="R5" s="3359"/>
      <c r="S5" s="3360"/>
      <c r="T5" s="3359"/>
      <c r="U5" s="3360"/>
      <c r="V5" s="3370"/>
      <c r="W5" s="3370"/>
      <c r="X5" s="1263"/>
      <c r="Y5" s="3359"/>
      <c r="Z5" s="3360"/>
      <c r="AA5" s="3375"/>
      <c r="AB5" s="3375"/>
      <c r="AC5" s="3437"/>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442"/>
      <c r="Q6" s="3385"/>
      <c r="R6" s="3359"/>
      <c r="S6" s="3360"/>
      <c r="T6" s="3368"/>
      <c r="U6" s="3369"/>
      <c r="V6" s="3370"/>
      <c r="W6" s="3370"/>
      <c r="X6" s="1263"/>
      <c r="Y6" s="3368"/>
      <c r="Z6" s="3369"/>
      <c r="AA6" s="3376"/>
      <c r="AB6" s="3376"/>
      <c r="AC6" s="3438"/>
    </row>
    <row r="7" spans="1:29" s="101" customFormat="1" ht="15" thickBot="1">
      <c r="A7" s="350" t="s">
        <v>1679</v>
      </c>
      <c r="B7" s="351"/>
      <c r="C7" s="352">
        <f>'数据-取费表'!B2</f>
        <v>45649</v>
      </c>
      <c r="D7" s="353">
        <v>100</v>
      </c>
      <c r="E7" s="354"/>
      <c r="F7" s="355">
        <f>SUMIF(59:59,YEAR(E7)&amp;"-"&amp;MONTH(E7),60:60)</f>
        <v>0</v>
      </c>
      <c r="G7" s="354"/>
      <c r="H7" s="353">
        <f>SUMIF(59:59,YEAR(G7)&amp;"-"&amp;MONTH(G7),60:60)</f>
        <v>0</v>
      </c>
      <c r="I7" s="354"/>
      <c r="J7" s="353">
        <f>SUMIF(59:59,YEAR(I7)&amp;"-"&amp;MONTH(I7),60:60)</f>
        <v>0</v>
      </c>
      <c r="K7" s="38"/>
      <c r="L7" s="2484"/>
      <c r="M7" s="2436"/>
      <c r="N7" s="2436"/>
      <c r="O7" s="2436"/>
      <c r="P7" s="3446" t="s">
        <v>1680</v>
      </c>
      <c r="Q7" s="3365"/>
      <c r="R7" s="662" t="s">
        <v>14</v>
      </c>
      <c r="S7" s="663">
        <f t="shared" ref="S7:S15" si="0">F7</f>
        <v>0</v>
      </c>
      <c r="T7" s="662" t="s">
        <v>14</v>
      </c>
      <c r="U7" s="663">
        <f t="shared" ref="U7:U15" si="1">H7</f>
        <v>0</v>
      </c>
      <c r="V7" s="662" t="s">
        <v>14</v>
      </c>
      <c r="W7" s="663">
        <f t="shared" ref="W7:W15" si="2">J7</f>
        <v>0</v>
      </c>
      <c r="X7" s="664"/>
      <c r="Y7" s="3355" t="s">
        <v>1680</v>
      </c>
      <c r="Z7" s="3356"/>
      <c r="AA7" s="50" t="e">
        <f>D7/F7</f>
        <v>#DIV/0!</v>
      </c>
      <c r="AB7" s="50" t="e">
        <f>D7/H7</f>
        <v>#DIV/0!</v>
      </c>
      <c r="AC7" s="800" t="e">
        <f>D7/J7</f>
        <v>#DIV/0!</v>
      </c>
    </row>
    <row r="8" spans="1:29" s="101"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4"/>
      <c r="M8" s="2436"/>
      <c r="N8" s="2436"/>
      <c r="O8" s="2436"/>
      <c r="P8" s="3446" t="s">
        <v>1683</v>
      </c>
      <c r="Q8" s="3356"/>
      <c r="R8" s="662" t="s">
        <v>14</v>
      </c>
      <c r="S8" s="663">
        <f t="shared" si="0"/>
        <v>100</v>
      </c>
      <c r="T8" s="662" t="s">
        <v>14</v>
      </c>
      <c r="U8" s="663">
        <f t="shared" si="1"/>
        <v>100</v>
      </c>
      <c r="V8" s="662" t="s">
        <v>14</v>
      </c>
      <c r="W8" s="663">
        <f t="shared" si="2"/>
        <v>100</v>
      </c>
      <c r="X8" s="664"/>
      <c r="Y8" s="3355" t="s">
        <v>1683</v>
      </c>
      <c r="Z8" s="3356"/>
      <c r="AA8" s="50">
        <f t="shared" ref="AA8:AA47" si="3">D8/F8</f>
        <v>1</v>
      </c>
      <c r="AB8" s="50">
        <f t="shared" ref="AB8:AB47" si="4">D8/H8</f>
        <v>1</v>
      </c>
      <c r="AC8" s="800">
        <f t="shared" ref="AC8:AC47" si="5">D8/J8</f>
        <v>1</v>
      </c>
    </row>
    <row r="9" spans="1:29" s="101"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4"/>
      <c r="M9" s="2436"/>
      <c r="N9" s="2436"/>
      <c r="O9" s="2436"/>
      <c r="P9" s="3353"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800">
        <f t="shared" si="5"/>
        <v>1</v>
      </c>
    </row>
    <row r="10" spans="1:29" s="364" customFormat="1" ht="28.8">
      <c r="A10" s="361"/>
      <c r="B10" s="362" t="s">
        <v>1688</v>
      </c>
      <c r="C10" s="3128"/>
      <c r="D10" s="117">
        <v>100</v>
      </c>
      <c r="E10" s="3128"/>
      <c r="F10" s="117">
        <f>SUMIF(66:66,E10,67:67)-SUMIF(66:66,C10,67:67)+100</f>
        <v>100</v>
      </c>
      <c r="G10" s="3129"/>
      <c r="H10" s="117">
        <f>SUMIF(66:66,G10,67:67)-SUMIF(66:66,C10,67:67)+100</f>
        <v>100</v>
      </c>
      <c r="I10" s="3128"/>
      <c r="J10" s="117">
        <f>SUMIF(66:66,I10,67:67)-SUMIF(66:66,C10,67:67)+100</f>
        <v>100</v>
      </c>
      <c r="K10" s="38"/>
      <c r="L10" s="2485"/>
      <c r="M10" s="2486"/>
      <c r="N10" s="2486"/>
      <c r="O10" s="2486"/>
      <c r="P10" s="3353"/>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7"/>
      <c r="M11" s="2483"/>
      <c r="N11" s="2483"/>
      <c r="O11" s="2483"/>
      <c r="P11" s="3353"/>
      <c r="Q11" s="528" t="str">
        <f t="shared" si="6"/>
        <v>容积率</v>
      </c>
      <c r="R11" s="662" t="s">
        <v>14</v>
      </c>
      <c r="S11" s="663">
        <f t="shared" si="0"/>
        <v>100</v>
      </c>
      <c r="T11" s="662" t="s">
        <v>14</v>
      </c>
      <c r="U11" s="663">
        <f t="shared" si="1"/>
        <v>100</v>
      </c>
      <c r="V11" s="662" t="s">
        <v>14</v>
      </c>
      <c r="W11" s="663">
        <f t="shared" si="2"/>
        <v>100</v>
      </c>
      <c r="X11" s="664"/>
      <c r="Y11" s="3258"/>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8"/>
      <c r="H12" s="117">
        <f>SUMIF(71:71,G12,72:72)-SUMIF(71:71,C12,72:72)+100</f>
        <v>100</v>
      </c>
      <c r="I12" s="369"/>
      <c r="J12" s="117">
        <f>SUMIF(71:71,I12,72:72)-SUMIF(71:71,C12,72:72)+100</f>
        <v>100</v>
      </c>
      <c r="K12" s="537"/>
      <c r="L12" s="2484"/>
      <c r="M12" s="2436"/>
      <c r="N12" s="2436"/>
      <c r="O12" s="2436"/>
      <c r="P12" s="3353"/>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8"/>
      <c r="M13" s="2483"/>
      <c r="N13" s="2483"/>
      <c r="O13" s="2483"/>
      <c r="P13" s="3353"/>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800">
        <f t="shared" si="5"/>
        <v>1</v>
      </c>
    </row>
    <row r="14" spans="1:29" ht="15.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8"/>
      <c r="M14" s="2483"/>
      <c r="N14" s="2483"/>
      <c r="O14" s="2483"/>
      <c r="P14" s="3353"/>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800">
        <f t="shared" si="5"/>
        <v>1</v>
      </c>
    </row>
    <row r="15" spans="1:29" ht="15">
      <c r="A15" s="377" t="s">
        <v>1690</v>
      </c>
      <c r="B15" s="552" t="s">
        <v>1811</v>
      </c>
      <c r="C15" s="1809">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8"/>
      <c r="M15" s="2483"/>
      <c r="N15" s="2483"/>
      <c r="O15" s="2483"/>
      <c r="P15" s="3427" t="s">
        <v>1691</v>
      </c>
      <c r="Q15" s="1261" t="str">
        <f t="shared" si="6"/>
        <v>办公集聚程度</v>
      </c>
      <c r="R15" s="665" t="s">
        <v>14</v>
      </c>
      <c r="S15" s="666">
        <f t="shared" si="0"/>
        <v>100</v>
      </c>
      <c r="T15" s="665" t="s">
        <v>14</v>
      </c>
      <c r="U15" s="666">
        <f t="shared" si="1"/>
        <v>100</v>
      </c>
      <c r="V15" s="665" t="s">
        <v>14</v>
      </c>
      <c r="W15" s="666">
        <f t="shared" si="2"/>
        <v>100</v>
      </c>
      <c r="X15" s="1263"/>
      <c r="Y15" s="3371" t="s">
        <v>1691</v>
      </c>
      <c r="Z15" s="1262" t="str">
        <f t="shared" si="7"/>
        <v>办公集聚程度</v>
      </c>
      <c r="AA15" s="1262">
        <f t="shared" si="3"/>
        <v>1</v>
      </c>
      <c r="AB15" s="1262">
        <f t="shared" si="4"/>
        <v>1</v>
      </c>
      <c r="AC15" s="1810">
        <f t="shared" si="5"/>
        <v>1</v>
      </c>
    </row>
    <row r="16" spans="1:29" ht="15">
      <c r="A16" s="365"/>
      <c r="B16" s="553"/>
      <c r="C16" s="1756"/>
      <c r="D16" s="385"/>
      <c r="E16" s="384"/>
      <c r="F16" s="385"/>
      <c r="G16" s="1756"/>
      <c r="H16" s="387"/>
      <c r="I16" s="384"/>
      <c r="J16" s="385"/>
      <c r="K16" s="539"/>
      <c r="L16" s="2488"/>
      <c r="M16" s="2483"/>
      <c r="N16" s="2483"/>
      <c r="O16" s="2483"/>
      <c r="P16" s="3428"/>
      <c r="Q16" s="1261"/>
      <c r="R16" s="665"/>
      <c r="S16" s="666"/>
      <c r="T16" s="665"/>
      <c r="U16" s="666"/>
      <c r="V16" s="665"/>
      <c r="W16" s="666"/>
      <c r="X16" s="1263"/>
      <c r="Y16" s="3372"/>
      <c r="Z16" s="1262"/>
      <c r="AA16" s="1262">
        <v>1</v>
      </c>
      <c r="AB16" s="1262">
        <v>1</v>
      </c>
      <c r="AC16" s="1810">
        <v>1</v>
      </c>
    </row>
    <row r="17" spans="1:29" ht="15">
      <c r="A17" s="365"/>
      <c r="B17" s="554" t="s">
        <v>1259</v>
      </c>
      <c r="C17" s="1811">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88"/>
      <c r="M17" s="2483"/>
      <c r="N17" s="2483"/>
      <c r="O17" s="2483"/>
      <c r="P17" s="3428"/>
      <c r="Q17" s="1261" t="str">
        <f>B17</f>
        <v>交通便捷度</v>
      </c>
      <c r="R17" s="665" t="s">
        <v>14</v>
      </c>
      <c r="S17" s="666">
        <f>F17</f>
        <v>100</v>
      </c>
      <c r="T17" s="665" t="s">
        <v>14</v>
      </c>
      <c r="U17" s="666">
        <f>H17</f>
        <v>100</v>
      </c>
      <c r="V17" s="665" t="s">
        <v>14</v>
      </c>
      <c r="W17" s="666">
        <f>J17</f>
        <v>100</v>
      </c>
      <c r="X17" s="1263"/>
      <c r="Y17" s="3372"/>
      <c r="Z17" s="1262" t="str">
        <f>Q17</f>
        <v>交通便捷度</v>
      </c>
      <c r="AA17" s="1262">
        <f t="shared" si="3"/>
        <v>1</v>
      </c>
      <c r="AB17" s="1262">
        <f t="shared" si="4"/>
        <v>1</v>
      </c>
      <c r="AC17" s="1810">
        <f t="shared" si="5"/>
        <v>1</v>
      </c>
    </row>
    <row r="18" spans="1:29" ht="15">
      <c r="A18" s="365"/>
      <c r="B18" s="399"/>
      <c r="C18" s="1812"/>
      <c r="D18" s="387"/>
      <c r="E18" s="1754"/>
      <c r="F18" s="387"/>
      <c r="G18" s="1755"/>
      <c r="H18" s="385"/>
      <c r="I18" s="1755"/>
      <c r="J18" s="385"/>
      <c r="K18" s="539"/>
      <c r="L18" s="2488"/>
      <c r="M18" s="2483"/>
      <c r="N18" s="2483"/>
      <c r="O18" s="2483"/>
      <c r="P18" s="3428"/>
      <c r="Q18" s="1261"/>
      <c r="R18" s="665"/>
      <c r="S18" s="666"/>
      <c r="T18" s="665"/>
      <c r="U18" s="666"/>
      <c r="V18" s="665"/>
      <c r="W18" s="666"/>
      <c r="X18" s="1263"/>
      <c r="Y18" s="3372"/>
      <c r="Z18" s="1262"/>
      <c r="AA18" s="1262">
        <v>1</v>
      </c>
      <c r="AB18" s="1262">
        <v>1</v>
      </c>
      <c r="AC18" s="1810">
        <v>1</v>
      </c>
    </row>
    <row r="19" spans="1:29" ht="15">
      <c r="A19" s="365"/>
      <c r="B19" s="554" t="s">
        <v>1812</v>
      </c>
      <c r="C19" s="1811">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88"/>
      <c r="M19" s="2483"/>
      <c r="N19" s="2483"/>
      <c r="O19" s="2483"/>
      <c r="P19" s="3428"/>
      <c r="Q19" s="1261" t="str">
        <f>B19</f>
        <v>公共配套设施</v>
      </c>
      <c r="R19" s="665" t="s">
        <v>14</v>
      </c>
      <c r="S19" s="666">
        <f>F19</f>
        <v>100</v>
      </c>
      <c r="T19" s="665" t="s">
        <v>14</v>
      </c>
      <c r="U19" s="666">
        <f>H19</f>
        <v>100</v>
      </c>
      <c r="V19" s="665" t="s">
        <v>14</v>
      </c>
      <c r="W19" s="666">
        <f>J19</f>
        <v>100</v>
      </c>
      <c r="X19" s="1263"/>
      <c r="Y19" s="3372"/>
      <c r="Z19" s="1262" t="str">
        <f>Q19</f>
        <v>公共配套设施</v>
      </c>
      <c r="AA19" s="1262">
        <f t="shared" si="3"/>
        <v>1</v>
      </c>
      <c r="AB19" s="1262">
        <f t="shared" si="4"/>
        <v>1</v>
      </c>
      <c r="AC19" s="1810">
        <f t="shared" si="5"/>
        <v>1</v>
      </c>
    </row>
    <row r="20" spans="1:29" ht="15">
      <c r="A20" s="365"/>
      <c r="B20" s="399"/>
      <c r="C20" s="1756"/>
      <c r="D20" s="385"/>
      <c r="E20" s="1749"/>
      <c r="F20" s="385"/>
      <c r="G20" s="1750"/>
      <c r="H20" s="385"/>
      <c r="I20" s="1750"/>
      <c r="J20" s="385"/>
      <c r="K20" s="539"/>
      <c r="L20" s="2488"/>
      <c r="M20" s="2483"/>
      <c r="N20" s="2483"/>
      <c r="O20" s="2483"/>
      <c r="P20" s="3428"/>
      <c r="Q20" s="1261"/>
      <c r="R20" s="665"/>
      <c r="S20" s="666"/>
      <c r="T20" s="665"/>
      <c r="U20" s="666"/>
      <c r="V20" s="665"/>
      <c r="W20" s="666"/>
      <c r="X20" s="1263"/>
      <c r="Y20" s="3372"/>
      <c r="Z20" s="1262"/>
      <c r="AA20" s="1262">
        <v>1</v>
      </c>
      <c r="AB20" s="1262">
        <v>1</v>
      </c>
      <c r="AC20" s="1810">
        <v>1</v>
      </c>
    </row>
    <row r="21" spans="1:29" ht="15">
      <c r="A21" s="365"/>
      <c r="B21" s="555" t="s">
        <v>1813</v>
      </c>
      <c r="C21" s="1811">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88"/>
      <c r="M21" s="2483"/>
      <c r="N21" s="2483"/>
      <c r="O21" s="2483"/>
      <c r="P21" s="3428"/>
      <c r="Q21" s="1261" t="str">
        <f>B21</f>
        <v>基础设施水平</v>
      </c>
      <c r="R21" s="665" t="s">
        <v>14</v>
      </c>
      <c r="S21" s="666">
        <f>F21</f>
        <v>100</v>
      </c>
      <c r="T21" s="665" t="s">
        <v>14</v>
      </c>
      <c r="U21" s="666">
        <f>H21</f>
        <v>100</v>
      </c>
      <c r="V21" s="665" t="s">
        <v>14</v>
      </c>
      <c r="W21" s="666">
        <f>J21</f>
        <v>100</v>
      </c>
      <c r="X21" s="1263"/>
      <c r="Y21" s="3372"/>
      <c r="Z21" s="1262" t="str">
        <f>Q21</f>
        <v>基础设施水平</v>
      </c>
      <c r="AA21" s="1262">
        <f t="shared" ref="AA21" si="8">D21/F21</f>
        <v>1</v>
      </c>
      <c r="AB21" s="1262">
        <f t="shared" ref="AB21" si="9">D21/H21</f>
        <v>1</v>
      </c>
      <c r="AC21" s="1810">
        <f t="shared" ref="AC21" si="10">D21/J21</f>
        <v>1</v>
      </c>
    </row>
    <row r="22" spans="1:29" ht="15">
      <c r="A22" s="365"/>
      <c r="B22" s="555"/>
      <c r="C22" s="1812"/>
      <c r="D22" s="385"/>
      <c r="E22" s="384"/>
      <c r="F22" s="385"/>
      <c r="G22" s="1756"/>
      <c r="H22" s="385"/>
      <c r="I22" s="1756"/>
      <c r="J22" s="385"/>
      <c r="K22" s="1062"/>
      <c r="L22" s="2488"/>
      <c r="M22" s="2483"/>
      <c r="N22" s="2483"/>
      <c r="O22" s="2483"/>
      <c r="P22" s="3428"/>
      <c r="Q22" s="1261"/>
      <c r="R22" s="665"/>
      <c r="S22" s="666"/>
      <c r="T22" s="665"/>
      <c r="U22" s="666"/>
      <c r="V22" s="665"/>
      <c r="W22" s="666"/>
      <c r="X22" s="1263"/>
      <c r="Y22" s="3372"/>
      <c r="Z22" s="1262"/>
      <c r="AA22" s="1262">
        <v>1</v>
      </c>
      <c r="AB22" s="1262">
        <v>1</v>
      </c>
      <c r="AC22" s="1810">
        <v>1</v>
      </c>
    </row>
    <row r="23" spans="1:29" ht="15">
      <c r="A23" s="365"/>
      <c r="B23" s="554" t="s">
        <v>1814</v>
      </c>
      <c r="C23" s="1811">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88"/>
      <c r="M23" s="2483"/>
      <c r="N23" s="2483"/>
      <c r="O23" s="2483"/>
      <c r="P23" s="3428"/>
      <c r="Q23" s="1261" t="str">
        <f>B23</f>
        <v>环境质量</v>
      </c>
      <c r="R23" s="665" t="s">
        <v>14</v>
      </c>
      <c r="S23" s="666">
        <f>F23</f>
        <v>100</v>
      </c>
      <c r="T23" s="665" t="s">
        <v>14</v>
      </c>
      <c r="U23" s="666">
        <f>H23</f>
        <v>100</v>
      </c>
      <c r="V23" s="665" t="s">
        <v>14</v>
      </c>
      <c r="W23" s="666">
        <f>J23</f>
        <v>100</v>
      </c>
      <c r="X23" s="1263"/>
      <c r="Y23" s="3372"/>
      <c r="Z23" s="1262" t="str">
        <f>Q23</f>
        <v>环境质量</v>
      </c>
      <c r="AA23" s="1262">
        <f t="shared" si="3"/>
        <v>1</v>
      </c>
      <c r="AB23" s="1262">
        <f t="shared" si="4"/>
        <v>1</v>
      </c>
      <c r="AC23" s="1810">
        <f t="shared" si="5"/>
        <v>1</v>
      </c>
    </row>
    <row r="24" spans="1:29" ht="15">
      <c r="A24" s="365"/>
      <c r="B24" s="555"/>
      <c r="C24" s="1756"/>
      <c r="D24" s="385"/>
      <c r="E24" s="1749"/>
      <c r="F24" s="385"/>
      <c r="G24" s="1750"/>
      <c r="H24" s="385"/>
      <c r="I24" s="1750"/>
      <c r="J24" s="385"/>
      <c r="K24" s="539"/>
      <c r="L24" s="2488"/>
      <c r="M24" s="2483"/>
      <c r="N24" s="2483"/>
      <c r="O24" s="2483"/>
      <c r="P24" s="3428"/>
      <c r="Q24" s="1261"/>
      <c r="R24" s="665"/>
      <c r="S24" s="666"/>
      <c r="T24" s="665"/>
      <c r="U24" s="666"/>
      <c r="V24" s="665"/>
      <c r="W24" s="666"/>
      <c r="X24" s="1263"/>
      <c r="Y24" s="3372"/>
      <c r="Z24" s="1262"/>
      <c r="AA24" s="1262">
        <v>1</v>
      </c>
      <c r="AB24" s="1262">
        <v>1</v>
      </c>
      <c r="AC24" s="1810">
        <v>1</v>
      </c>
    </row>
    <row r="25" spans="1:29" ht="28.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8"/>
      <c r="M25" s="2483"/>
      <c r="N25" s="2483"/>
      <c r="O25" s="2483"/>
      <c r="P25" s="3428"/>
      <c r="Q25" s="1261" t="str">
        <f>B25</f>
        <v>毗邻道路的类型与等级</v>
      </c>
      <c r="R25" s="665" t="s">
        <v>14</v>
      </c>
      <c r="S25" s="666">
        <f>F25</f>
        <v>100</v>
      </c>
      <c r="T25" s="665" t="s">
        <v>14</v>
      </c>
      <c r="U25" s="666">
        <f>H25</f>
        <v>100</v>
      </c>
      <c r="V25" s="665" t="s">
        <v>14</v>
      </c>
      <c r="W25" s="666">
        <f>J25</f>
        <v>100</v>
      </c>
      <c r="X25" s="1263"/>
      <c r="Y25" s="3372"/>
      <c r="Z25" s="1262" t="str">
        <f>Q25</f>
        <v>毗邻道路的类型与等级</v>
      </c>
      <c r="AA25" s="1262">
        <f t="shared" si="3"/>
        <v>1</v>
      </c>
      <c r="AB25" s="1262">
        <f t="shared" si="4"/>
        <v>1</v>
      </c>
      <c r="AC25" s="1810">
        <f t="shared" si="5"/>
        <v>1</v>
      </c>
    </row>
    <row r="26" spans="1:29" ht="15">
      <c r="A26" s="346"/>
      <c r="B26" s="399"/>
      <c r="C26" s="556"/>
      <c r="D26" s="372"/>
      <c r="E26" s="540"/>
      <c r="F26" s="372"/>
      <c r="G26" s="556"/>
      <c r="H26" s="372"/>
      <c r="I26" s="540"/>
      <c r="J26" s="372"/>
      <c r="K26" s="539"/>
      <c r="L26" s="2488"/>
      <c r="M26" s="2483"/>
      <c r="N26" s="2483"/>
      <c r="O26" s="2483"/>
      <c r="P26" s="3428"/>
      <c r="Q26" s="1261"/>
      <c r="R26" s="665"/>
      <c r="S26" s="666"/>
      <c r="T26" s="665"/>
      <c r="U26" s="666"/>
      <c r="V26" s="665"/>
      <c r="W26" s="666"/>
      <c r="X26" s="1263"/>
      <c r="Y26" s="3372"/>
      <c r="Z26" s="1262"/>
      <c r="AA26" s="1262">
        <v>1</v>
      </c>
      <c r="AB26" s="1262">
        <v>1</v>
      </c>
      <c r="AC26" s="1810">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8"/>
      <c r="M27" s="2483"/>
      <c r="N27" s="2483"/>
      <c r="O27" s="2483"/>
      <c r="P27" s="3428"/>
      <c r="Q27" s="1261" t="str">
        <f t="shared" ref="Q27:Q47" si="11">B27</f>
        <v>楼层</v>
      </c>
      <c r="R27" s="665" t="s">
        <v>14</v>
      </c>
      <c r="S27" s="666">
        <f>F27</f>
        <v>100</v>
      </c>
      <c r="T27" s="665" t="s">
        <v>14</v>
      </c>
      <c r="U27" s="666">
        <f>H27</f>
        <v>100</v>
      </c>
      <c r="V27" s="665" t="s">
        <v>14</v>
      </c>
      <c r="W27" s="666">
        <f>J27</f>
        <v>100</v>
      </c>
      <c r="X27" s="1263"/>
      <c r="Y27" s="3372"/>
      <c r="Z27" s="1262" t="str">
        <f>Q27</f>
        <v>楼层</v>
      </c>
      <c r="AA27" s="1262">
        <f t="shared" si="3"/>
        <v>1</v>
      </c>
      <c r="AB27" s="1262">
        <f t="shared" si="4"/>
        <v>1</v>
      </c>
      <c r="AC27" s="1810">
        <f t="shared" si="5"/>
        <v>1</v>
      </c>
    </row>
    <row r="28" spans="1:29" s="101"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4"/>
      <c r="M28" s="2436"/>
      <c r="N28" s="2436"/>
      <c r="O28" s="2436"/>
      <c r="P28" s="3428"/>
      <c r="Q28" s="528" t="str">
        <f t="shared" si="11"/>
        <v>朝向</v>
      </c>
      <c r="R28" s="662" t="s">
        <v>14</v>
      </c>
      <c r="S28" s="663">
        <f>F28</f>
        <v>100</v>
      </c>
      <c r="T28" s="662" t="s">
        <v>14</v>
      </c>
      <c r="U28" s="663">
        <f>H28</f>
        <v>100</v>
      </c>
      <c r="V28" s="662" t="s">
        <v>14</v>
      </c>
      <c r="W28" s="663">
        <f>J28</f>
        <v>100</v>
      </c>
      <c r="X28" s="664"/>
      <c r="Y28" s="3372"/>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8"/>
      <c r="M29" s="2483"/>
      <c r="N29" s="2483"/>
      <c r="O29" s="2483"/>
      <c r="P29" s="3428"/>
      <c r="Q29" s="1261">
        <f t="shared" si="11"/>
        <v>111</v>
      </c>
      <c r="R29" s="665" t="s">
        <v>14</v>
      </c>
      <c r="S29" s="666">
        <f t="shared" ref="S29:S47" si="12">F29</f>
        <v>100</v>
      </c>
      <c r="T29" s="665" t="s">
        <v>14</v>
      </c>
      <c r="U29" s="666">
        <f t="shared" ref="U29:U47" si="13">H29</f>
        <v>100</v>
      </c>
      <c r="V29" s="665" t="s">
        <v>14</v>
      </c>
      <c r="W29" s="666">
        <f t="shared" ref="W29:W47" si="14">J29</f>
        <v>100</v>
      </c>
      <c r="X29" s="1263"/>
      <c r="Y29" s="3372"/>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8"/>
      <c r="M30" s="2483"/>
      <c r="N30" s="2483"/>
      <c r="O30" s="2483"/>
      <c r="P30" s="3428"/>
      <c r="Q30" s="1261">
        <f t="shared" si="11"/>
        <v>111</v>
      </c>
      <c r="R30" s="665" t="s">
        <v>14</v>
      </c>
      <c r="S30" s="666">
        <f t="shared" si="12"/>
        <v>100</v>
      </c>
      <c r="T30" s="665" t="s">
        <v>14</v>
      </c>
      <c r="U30" s="666">
        <f t="shared" si="13"/>
        <v>100</v>
      </c>
      <c r="V30" s="665" t="s">
        <v>14</v>
      </c>
      <c r="W30" s="666">
        <f t="shared" si="14"/>
        <v>100</v>
      </c>
      <c r="X30" s="1263"/>
      <c r="Y30" s="3372"/>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8"/>
      <c r="M31" s="2483"/>
      <c r="N31" s="2483"/>
      <c r="O31" s="2483"/>
      <c r="P31" s="3428"/>
      <c r="Q31" s="1261">
        <f t="shared" si="11"/>
        <v>111</v>
      </c>
      <c r="R31" s="665" t="s">
        <v>14</v>
      </c>
      <c r="S31" s="666">
        <f t="shared" si="12"/>
        <v>100</v>
      </c>
      <c r="T31" s="665" t="s">
        <v>14</v>
      </c>
      <c r="U31" s="666">
        <f t="shared" si="13"/>
        <v>100</v>
      </c>
      <c r="V31" s="665" t="s">
        <v>14</v>
      </c>
      <c r="W31" s="666">
        <f t="shared" si="14"/>
        <v>100</v>
      </c>
      <c r="X31" s="1263"/>
      <c r="Y31" s="3372"/>
      <c r="Z31" s="1262">
        <f t="shared" si="15"/>
        <v>111</v>
      </c>
      <c r="AA31" s="1262">
        <f t="shared" si="3"/>
        <v>1</v>
      </c>
      <c r="AB31" s="1262">
        <f t="shared" si="4"/>
        <v>1</v>
      </c>
      <c r="AC31" s="1810">
        <f t="shared" si="5"/>
        <v>1</v>
      </c>
    </row>
    <row r="32" spans="1:29" ht="15.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8"/>
      <c r="M32" s="2483"/>
      <c r="N32" s="2483"/>
      <c r="O32" s="2483"/>
      <c r="P32" s="3428"/>
      <c r="Q32" s="1261">
        <f t="shared" si="11"/>
        <v>111</v>
      </c>
      <c r="R32" s="665" t="s">
        <v>14</v>
      </c>
      <c r="S32" s="666">
        <f t="shared" si="12"/>
        <v>100</v>
      </c>
      <c r="T32" s="665" t="s">
        <v>14</v>
      </c>
      <c r="U32" s="666">
        <f t="shared" si="13"/>
        <v>100</v>
      </c>
      <c r="V32" s="665" t="s">
        <v>14</v>
      </c>
      <c r="W32" s="666">
        <f t="shared" si="14"/>
        <v>100</v>
      </c>
      <c r="X32" s="1263"/>
      <c r="Y32" s="3372"/>
      <c r="Z32" s="1262">
        <f t="shared" si="15"/>
        <v>111</v>
      </c>
      <c r="AA32" s="1262">
        <f t="shared" si="3"/>
        <v>1</v>
      </c>
      <c r="AB32" s="1262">
        <f t="shared" si="4"/>
        <v>1</v>
      </c>
      <c r="AC32" s="1810">
        <f t="shared" si="5"/>
        <v>1</v>
      </c>
    </row>
    <row r="33" spans="1:29" ht="15">
      <c r="A33" s="377" t="s">
        <v>1694</v>
      </c>
      <c r="B33" s="60"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8"/>
      <c r="M33" s="2483"/>
      <c r="N33" s="2483"/>
      <c r="O33" s="2483"/>
      <c r="P33" s="3423" t="s">
        <v>1696</v>
      </c>
      <c r="Q33" s="1261" t="str">
        <f t="shared" si="11"/>
        <v>建筑类型</v>
      </c>
      <c r="R33" s="665" t="s">
        <v>14</v>
      </c>
      <c r="S33" s="666">
        <f t="shared" si="12"/>
        <v>100</v>
      </c>
      <c r="T33" s="665" t="s">
        <v>14</v>
      </c>
      <c r="U33" s="666">
        <f t="shared" si="13"/>
        <v>100</v>
      </c>
      <c r="V33" s="665" t="s">
        <v>14</v>
      </c>
      <c r="W33" s="666">
        <f t="shared" si="14"/>
        <v>100</v>
      </c>
      <c r="X33" s="1263"/>
      <c r="Y33" s="3373" t="s">
        <v>1696</v>
      </c>
      <c r="Z33" s="1262" t="str">
        <f t="shared" si="15"/>
        <v>建筑类型</v>
      </c>
      <c r="AA33" s="1262">
        <f t="shared" si="3"/>
        <v>1</v>
      </c>
      <c r="AB33" s="1262">
        <f t="shared" si="4"/>
        <v>1</v>
      </c>
      <c r="AC33" s="1810">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7"/>
      <c r="M34" s="2489"/>
      <c r="N34" s="2489"/>
      <c r="O34" s="2489"/>
      <c r="P34" s="3424"/>
      <c r="Q34" s="529" t="str">
        <f t="shared" si="11"/>
        <v>项目建筑规模</v>
      </c>
      <c r="R34" s="667" t="s">
        <v>14</v>
      </c>
      <c r="S34" s="668" t="e">
        <f t="shared" si="12"/>
        <v>#N/A</v>
      </c>
      <c r="T34" s="667" t="s">
        <v>14</v>
      </c>
      <c r="U34" s="668" t="e">
        <f t="shared" si="13"/>
        <v>#N/A</v>
      </c>
      <c r="V34" s="667" t="s">
        <v>14</v>
      </c>
      <c r="W34" s="668" t="e">
        <f t="shared" si="14"/>
        <v>#N/A</v>
      </c>
      <c r="X34" s="669"/>
      <c r="Y34" s="3373"/>
      <c r="Z34" s="670" t="str">
        <f t="shared" si="15"/>
        <v>项目建筑规模</v>
      </c>
      <c r="AA34" s="1262" t="e">
        <f t="shared" si="3"/>
        <v>#N/A</v>
      </c>
      <c r="AB34" s="1262" t="e">
        <f t="shared" si="4"/>
        <v>#N/A</v>
      </c>
      <c r="AC34" s="1810"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8"/>
      <c r="M35" s="2483"/>
      <c r="N35" s="2483"/>
      <c r="O35" s="2483"/>
      <c r="P35" s="3424"/>
      <c r="Q35" s="1261" t="str">
        <f t="shared" si="11"/>
        <v>建筑结构</v>
      </c>
      <c r="R35" s="665" t="s">
        <v>14</v>
      </c>
      <c r="S35" s="666">
        <f t="shared" si="12"/>
        <v>100</v>
      </c>
      <c r="T35" s="665" t="s">
        <v>14</v>
      </c>
      <c r="U35" s="666">
        <f t="shared" si="13"/>
        <v>100</v>
      </c>
      <c r="V35" s="665" t="s">
        <v>14</v>
      </c>
      <c r="W35" s="666">
        <f t="shared" si="14"/>
        <v>100</v>
      </c>
      <c r="X35" s="1263"/>
      <c r="Y35" s="3373"/>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8"/>
      <c r="M36" s="2483"/>
      <c r="N36" s="2483"/>
      <c r="O36" s="2483"/>
      <c r="P36" s="3424"/>
      <c r="Q36" s="1261" t="str">
        <f t="shared" si="11"/>
        <v>公共部分装修</v>
      </c>
      <c r="R36" s="665" t="s">
        <v>14</v>
      </c>
      <c r="S36" s="666">
        <f t="shared" si="12"/>
        <v>100</v>
      </c>
      <c r="T36" s="665" t="s">
        <v>14</v>
      </c>
      <c r="U36" s="666">
        <f t="shared" si="13"/>
        <v>100</v>
      </c>
      <c r="V36" s="665" t="s">
        <v>14</v>
      </c>
      <c r="W36" s="666">
        <f t="shared" si="14"/>
        <v>100</v>
      </c>
      <c r="X36" s="1263"/>
      <c r="Y36" s="3373"/>
      <c r="Z36" s="1262" t="str">
        <f t="shared" si="15"/>
        <v>公共部分装修</v>
      </c>
      <c r="AA36" s="1262">
        <f t="shared" si="3"/>
        <v>1</v>
      </c>
      <c r="AB36" s="1262">
        <f t="shared" si="4"/>
        <v>1</v>
      </c>
      <c r="AC36" s="1810">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8"/>
      <c r="M37" s="2483"/>
      <c r="N37" s="2483"/>
      <c r="O37" s="2483"/>
      <c r="P37" s="3424"/>
      <c r="Q37" s="1261" t="str">
        <f t="shared" si="11"/>
        <v>成新度</v>
      </c>
      <c r="R37" s="665" t="s">
        <v>14</v>
      </c>
      <c r="S37" s="666" t="e">
        <f t="shared" si="12"/>
        <v>#N/A</v>
      </c>
      <c r="T37" s="665" t="s">
        <v>14</v>
      </c>
      <c r="U37" s="666" t="e">
        <f t="shared" si="13"/>
        <v>#N/A</v>
      </c>
      <c r="V37" s="665" t="s">
        <v>14</v>
      </c>
      <c r="W37" s="666" t="e">
        <f t="shared" si="14"/>
        <v>#N/A</v>
      </c>
      <c r="X37" s="1263"/>
      <c r="Y37" s="3373"/>
      <c r="Z37" s="1262" t="str">
        <f t="shared" si="15"/>
        <v>成新度</v>
      </c>
      <c r="AA37" s="1262" t="e">
        <f t="shared" si="3"/>
        <v>#N/A</v>
      </c>
      <c r="AB37" s="1262" t="e">
        <f t="shared" si="4"/>
        <v>#N/A</v>
      </c>
      <c r="AC37" s="1810"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4"/>
      <c r="M38" s="2436"/>
      <c r="N38" s="2436"/>
      <c r="O38" s="2436"/>
      <c r="P38" s="3424"/>
      <c r="Q38" s="528" t="str">
        <f t="shared" si="11"/>
        <v>写字楼等级</v>
      </c>
      <c r="R38" s="662" t="s">
        <v>14</v>
      </c>
      <c r="S38" s="663">
        <f t="shared" si="12"/>
        <v>100</v>
      </c>
      <c r="T38" s="662" t="s">
        <v>14</v>
      </c>
      <c r="U38" s="663">
        <f t="shared" si="13"/>
        <v>100</v>
      </c>
      <c r="V38" s="662" t="s">
        <v>14</v>
      </c>
      <c r="W38" s="663">
        <f t="shared" si="14"/>
        <v>100</v>
      </c>
      <c r="X38" s="664"/>
      <c r="Y38" s="3373"/>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8"/>
      <c r="M39" s="2483"/>
      <c r="N39" s="2483"/>
      <c r="O39" s="2483"/>
      <c r="P39" s="3424" t="s">
        <v>1696</v>
      </c>
      <c r="Q39" s="1261" t="str">
        <f t="shared" si="11"/>
        <v>物业管理</v>
      </c>
      <c r="R39" s="665" t="s">
        <v>14</v>
      </c>
      <c r="S39" s="666">
        <f t="shared" si="12"/>
        <v>100</v>
      </c>
      <c r="T39" s="665" t="s">
        <v>14</v>
      </c>
      <c r="U39" s="666">
        <f t="shared" si="13"/>
        <v>100</v>
      </c>
      <c r="V39" s="665" t="s">
        <v>14</v>
      </c>
      <c r="W39" s="666">
        <f t="shared" si="14"/>
        <v>100</v>
      </c>
      <c r="X39" s="1263"/>
      <c r="Y39" s="3373" t="s">
        <v>1696</v>
      </c>
      <c r="Z39" s="1262" t="str">
        <f t="shared" si="15"/>
        <v>物业管理</v>
      </c>
      <c r="AA39" s="1262">
        <f t="shared" si="3"/>
        <v>1</v>
      </c>
      <c r="AB39" s="1262">
        <f t="shared" si="4"/>
        <v>1</v>
      </c>
      <c r="AC39" s="1810">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8"/>
      <c r="M40" s="2483"/>
      <c r="N40" s="2483"/>
      <c r="O40" s="2483"/>
      <c r="P40" s="3424"/>
      <c r="Q40" s="1261" t="str">
        <f t="shared" si="11"/>
        <v>市政基础设施</v>
      </c>
      <c r="R40" s="665" t="s">
        <v>14</v>
      </c>
      <c r="S40" s="666">
        <f t="shared" si="12"/>
        <v>100</v>
      </c>
      <c r="T40" s="665" t="s">
        <v>14</v>
      </c>
      <c r="U40" s="666">
        <f t="shared" si="13"/>
        <v>100</v>
      </c>
      <c r="V40" s="665" t="s">
        <v>14</v>
      </c>
      <c r="W40" s="666">
        <f t="shared" si="14"/>
        <v>100</v>
      </c>
      <c r="X40" s="1263"/>
      <c r="Y40" s="3373"/>
      <c r="Z40" s="1262" t="str">
        <f t="shared" si="15"/>
        <v>市政基础设施</v>
      </c>
      <c r="AA40" s="1262">
        <f t="shared" si="3"/>
        <v>1</v>
      </c>
      <c r="AB40" s="1262">
        <f t="shared" si="4"/>
        <v>1</v>
      </c>
      <c r="AC40" s="1810">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8"/>
      <c r="M41" s="2483"/>
      <c r="N41" s="2483"/>
      <c r="O41" s="2483"/>
      <c r="P41" s="3424"/>
      <c r="Q41" s="1261" t="str">
        <f t="shared" si="11"/>
        <v>层高</v>
      </c>
      <c r="R41" s="665" t="s">
        <v>14</v>
      </c>
      <c r="S41" s="666">
        <f t="shared" si="12"/>
        <v>100</v>
      </c>
      <c r="T41" s="665" t="s">
        <v>14</v>
      </c>
      <c r="U41" s="666">
        <f t="shared" si="13"/>
        <v>100</v>
      </c>
      <c r="V41" s="665" t="s">
        <v>14</v>
      </c>
      <c r="W41" s="666">
        <f t="shared" si="14"/>
        <v>100</v>
      </c>
      <c r="X41" s="1263"/>
      <c r="Y41" s="3373"/>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7"/>
      <c r="M42" s="2489"/>
      <c r="N42" s="2489"/>
      <c r="O42" s="2489"/>
      <c r="P42" s="3424"/>
      <c r="Q42" s="529" t="str">
        <f t="shared" si="11"/>
        <v>单套建筑面积</v>
      </c>
      <c r="R42" s="667" t="s">
        <v>14</v>
      </c>
      <c r="S42" s="668">
        <f t="shared" si="12"/>
        <v>100</v>
      </c>
      <c r="T42" s="667" t="s">
        <v>14</v>
      </c>
      <c r="U42" s="668">
        <f t="shared" si="13"/>
        <v>100</v>
      </c>
      <c r="V42" s="667" t="s">
        <v>14</v>
      </c>
      <c r="W42" s="668">
        <f t="shared" si="14"/>
        <v>100</v>
      </c>
      <c r="X42" s="669"/>
      <c r="Y42" s="3373"/>
      <c r="Z42" s="670" t="str">
        <f t="shared" si="15"/>
        <v>单套建筑面积</v>
      </c>
      <c r="AA42" s="1262">
        <f t="shared" si="3"/>
        <v>1</v>
      </c>
      <c r="AB42" s="1262">
        <f t="shared" si="4"/>
        <v>1</v>
      </c>
      <c r="AC42" s="1810">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8"/>
      <c r="M43" s="2483"/>
      <c r="N43" s="2483"/>
      <c r="O43" s="2483"/>
      <c r="P43" s="3424"/>
      <c r="Q43" s="1261" t="str">
        <f t="shared" si="11"/>
        <v>内部装修</v>
      </c>
      <c r="R43" s="665" t="s">
        <v>14</v>
      </c>
      <c r="S43" s="666">
        <f t="shared" si="12"/>
        <v>100</v>
      </c>
      <c r="T43" s="665" t="s">
        <v>14</v>
      </c>
      <c r="U43" s="666">
        <f t="shared" si="13"/>
        <v>100</v>
      </c>
      <c r="V43" s="665" t="s">
        <v>14</v>
      </c>
      <c r="W43" s="666">
        <f t="shared" si="14"/>
        <v>100</v>
      </c>
      <c r="X43" s="1263"/>
      <c r="Y43" s="3373"/>
      <c r="Z43" s="1262" t="str">
        <f t="shared" si="15"/>
        <v>内部装修</v>
      </c>
      <c r="AA43" s="1262">
        <f t="shared" si="3"/>
        <v>1</v>
      </c>
      <c r="AB43" s="1262">
        <f t="shared" si="4"/>
        <v>1</v>
      </c>
      <c r="AC43" s="1810">
        <f t="shared" si="5"/>
        <v>1</v>
      </c>
    </row>
    <row r="44" spans="1:29" ht="28.8">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8"/>
      <c r="M44" s="2483"/>
      <c r="N44" s="2483"/>
      <c r="O44" s="2483"/>
      <c r="P44" s="3424"/>
      <c r="Q44" s="1261" t="str">
        <f t="shared" si="11"/>
        <v>内部装修维护情况</v>
      </c>
      <c r="R44" s="665" t="s">
        <v>14</v>
      </c>
      <c r="S44" s="666">
        <f t="shared" si="12"/>
        <v>100</v>
      </c>
      <c r="T44" s="665" t="s">
        <v>14</v>
      </c>
      <c r="U44" s="666">
        <f t="shared" si="13"/>
        <v>100</v>
      </c>
      <c r="V44" s="665" t="s">
        <v>14</v>
      </c>
      <c r="W44" s="666">
        <f t="shared" si="14"/>
        <v>100</v>
      </c>
      <c r="X44" s="1263"/>
      <c r="Y44" s="3373"/>
      <c r="Z44" s="1262" t="str">
        <f t="shared" si="15"/>
        <v>内部装修维护情况</v>
      </c>
      <c r="AA44" s="1262">
        <f t="shared" si="3"/>
        <v>1</v>
      </c>
      <c r="AB44" s="1262">
        <f t="shared" si="4"/>
        <v>1</v>
      </c>
      <c r="AC44" s="1810">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4"/>
      <c r="M45" s="2436"/>
      <c r="N45" s="2436"/>
      <c r="O45" s="2436"/>
      <c r="P45" s="3424"/>
      <c r="Q45" s="528">
        <f t="shared" si="11"/>
        <v>111</v>
      </c>
      <c r="R45" s="662" t="s">
        <v>14</v>
      </c>
      <c r="S45" s="663">
        <f t="shared" si="12"/>
        <v>100</v>
      </c>
      <c r="T45" s="662" t="s">
        <v>14</v>
      </c>
      <c r="U45" s="663">
        <f t="shared" si="13"/>
        <v>100</v>
      </c>
      <c r="V45" s="662" t="s">
        <v>14</v>
      </c>
      <c r="W45" s="663">
        <f t="shared" si="14"/>
        <v>100</v>
      </c>
      <c r="X45" s="664"/>
      <c r="Y45" s="3373"/>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8"/>
      <c r="M46" s="2483"/>
      <c r="N46" s="2483"/>
      <c r="O46" s="2483"/>
      <c r="P46" s="3424"/>
      <c r="Q46" s="1261">
        <f t="shared" si="11"/>
        <v>111</v>
      </c>
      <c r="R46" s="665" t="s">
        <v>14</v>
      </c>
      <c r="S46" s="666">
        <f t="shared" si="12"/>
        <v>100</v>
      </c>
      <c r="T46" s="665" t="s">
        <v>14</v>
      </c>
      <c r="U46" s="666">
        <f t="shared" si="13"/>
        <v>100</v>
      </c>
      <c r="V46" s="665" t="s">
        <v>14</v>
      </c>
      <c r="W46" s="666">
        <f t="shared" si="14"/>
        <v>100</v>
      </c>
      <c r="X46" s="1263"/>
      <c r="Y46" s="3373"/>
      <c r="Z46" s="1262">
        <f t="shared" si="15"/>
        <v>111</v>
      </c>
      <c r="AA46" s="1262">
        <f t="shared" si="3"/>
        <v>1</v>
      </c>
      <c r="AB46" s="1262">
        <f t="shared" si="4"/>
        <v>1</v>
      </c>
      <c r="AC46" s="1810">
        <f t="shared" si="5"/>
        <v>1</v>
      </c>
    </row>
    <row r="47" spans="1:29" ht="15.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8"/>
      <c r="M47" s="2483"/>
      <c r="N47" s="2483"/>
      <c r="O47" s="2483"/>
      <c r="P47" s="3425"/>
      <c r="Q47" s="1261">
        <f t="shared" si="11"/>
        <v>111</v>
      </c>
      <c r="R47" s="665" t="s">
        <v>14</v>
      </c>
      <c r="S47" s="666">
        <f t="shared" si="12"/>
        <v>100</v>
      </c>
      <c r="T47" s="665" t="s">
        <v>14</v>
      </c>
      <c r="U47" s="666">
        <f t="shared" si="13"/>
        <v>100</v>
      </c>
      <c r="V47" s="665" t="s">
        <v>14</v>
      </c>
      <c r="W47" s="666">
        <f t="shared" si="14"/>
        <v>100</v>
      </c>
      <c r="X47" s="1263"/>
      <c r="Y47" s="3426"/>
      <c r="Z47" s="1262">
        <f t="shared" si="15"/>
        <v>111</v>
      </c>
      <c r="AA47" s="1262">
        <f t="shared" si="3"/>
        <v>1</v>
      </c>
      <c r="AB47" s="1262">
        <f t="shared" si="4"/>
        <v>1</v>
      </c>
      <c r="AC47" s="1810">
        <f t="shared" si="5"/>
        <v>1</v>
      </c>
    </row>
    <row r="48" spans="1:29" ht="14.4">
      <c r="A48" s="414" t="s">
        <v>1708</v>
      </c>
      <c r="B48" s="415"/>
      <c r="C48" s="1079" t="s">
        <v>0</v>
      </c>
      <c r="D48" s="416"/>
      <c r="E48" s="417"/>
      <c r="F48" s="418"/>
      <c r="G48" s="419"/>
      <c r="H48" s="420"/>
      <c r="I48" s="417"/>
      <c r="J48" s="420"/>
      <c r="K48" s="672"/>
      <c r="L48" s="2490"/>
      <c r="M48" s="2483"/>
      <c r="N48" s="2483"/>
      <c r="O48" s="2483"/>
      <c r="P48" s="3353" t="str">
        <f>A48</f>
        <v>成交单价（元/平方米）</v>
      </c>
      <c r="Q48" s="3354"/>
      <c r="R48" s="3370">
        <f>E48</f>
        <v>0</v>
      </c>
      <c r="S48" s="3370"/>
      <c r="T48" s="3370">
        <f>G48</f>
        <v>0</v>
      </c>
      <c r="U48" s="3370"/>
      <c r="V48" s="3370">
        <f>I48</f>
        <v>0</v>
      </c>
      <c r="W48" s="3370"/>
      <c r="X48" s="383"/>
      <c r="Y48" s="671"/>
      <c r="Z48" s="383"/>
      <c r="AA48" s="383"/>
      <c r="AB48" s="383"/>
      <c r="AC48" s="553"/>
    </row>
    <row r="49" spans="1:29" ht="15" thickBot="1">
      <c r="A49" s="421" t="s">
        <v>1793</v>
      </c>
      <c r="B49" s="422"/>
      <c r="C49" s="1080" t="e">
        <f>R50</f>
        <v>#DIV/0!</v>
      </c>
      <c r="D49" s="2139" t="s">
        <v>2137</v>
      </c>
      <c r="E49" s="1081" t="e">
        <f>R49</f>
        <v>#DIV/0!</v>
      </c>
      <c r="F49" s="2140"/>
      <c r="G49" s="1080" t="e">
        <f>T49</f>
        <v>#DIV/0!</v>
      </c>
      <c r="H49" s="2140"/>
      <c r="I49" s="1081" t="e">
        <f>V49</f>
        <v>#DIV/0!</v>
      </c>
      <c r="J49" s="2140"/>
      <c r="K49" s="2142">
        <f>F49+H49+J49</f>
        <v>0</v>
      </c>
      <c r="L49" s="2490"/>
      <c r="M49" s="2483"/>
      <c r="N49" s="2483"/>
      <c r="O49" s="2483"/>
      <c r="P49" s="3353" t="str">
        <f>A49</f>
        <v>比较价值（元/平方米）</v>
      </c>
      <c r="Q49" s="3354"/>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90"/>
      <c r="M50" s="2483"/>
      <c r="N50" s="2483"/>
      <c r="O50" s="2483"/>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6" t="s">
        <v>1798</v>
      </c>
      <c r="B58" s="383"/>
      <c r="C58" s="657"/>
      <c r="D58" s="657"/>
      <c r="E58" s="657"/>
      <c r="F58" s="658"/>
      <c r="G58" s="658"/>
      <c r="H58" s="657"/>
      <c r="I58" s="657"/>
      <c r="J58" s="657"/>
      <c r="K58" s="659"/>
      <c r="L58" s="886"/>
      <c r="M58" s="884"/>
      <c r="N58" s="2533"/>
      <c r="O58" s="2533"/>
      <c r="P58" s="2522"/>
      <c r="Q58" s="2504"/>
      <c r="R58" s="2483"/>
      <c r="S58" s="2483"/>
      <c r="T58" s="2483"/>
      <c r="U58" s="2483"/>
      <c r="V58" s="2483"/>
      <c r="W58" s="2483"/>
      <c r="X58" s="2483"/>
      <c r="Y58" s="2483"/>
      <c r="Z58" s="2483"/>
      <c r="AA58" s="2483"/>
      <c r="AB58" s="2483"/>
      <c r="AC58" s="2483"/>
    </row>
    <row r="59" spans="1:29" s="440" customFormat="1" ht="14.4">
      <c r="A59" s="438" t="s">
        <v>1679</v>
      </c>
      <c r="B59" s="439"/>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3"/>
      <c r="Q59" s="2506"/>
      <c r="R59" s="2506"/>
      <c r="S59" s="2506"/>
      <c r="T59" s="2506"/>
      <c r="U59" s="2506"/>
      <c r="V59" s="2506"/>
      <c r="W59" s="2506"/>
      <c r="X59" s="2506"/>
      <c r="Y59" s="2506"/>
      <c r="Z59" s="2506"/>
      <c r="AA59" s="2506"/>
      <c r="AB59" s="2506"/>
      <c r="AC59" s="2506"/>
    </row>
    <row r="60" spans="1:29" s="101" customFormat="1">
      <c r="A60" s="441"/>
      <c r="B60" s="442"/>
      <c r="C60" s="1100">
        <v>100</v>
      </c>
      <c r="D60" s="444"/>
      <c r="E60" s="444"/>
      <c r="F60" s="444"/>
      <c r="G60" s="444"/>
      <c r="H60" s="444"/>
      <c r="I60" s="444"/>
      <c r="J60" s="444"/>
      <c r="K60" s="444"/>
      <c r="L60" s="444"/>
      <c r="M60" s="445"/>
      <c r="N60" s="444"/>
      <c r="O60" s="445"/>
      <c r="P60" s="2524"/>
      <c r="Q60" s="2436"/>
      <c r="R60" s="2436"/>
      <c r="S60" s="2436"/>
      <c r="T60" s="2436"/>
      <c r="U60" s="2436"/>
      <c r="V60" s="2436"/>
      <c r="W60" s="2436"/>
      <c r="X60" s="2436"/>
      <c r="Y60" s="2436"/>
      <c r="Z60" s="2436"/>
      <c r="AA60" s="2436"/>
      <c r="AB60" s="2436"/>
      <c r="AC60" s="2436"/>
    </row>
    <row r="61" spans="1:29" s="101" customFormat="1" ht="15" thickBot="1">
      <c r="A61" s="447" t="s">
        <v>1716</v>
      </c>
      <c r="B61" s="448"/>
      <c r="C61" s="449"/>
      <c r="D61" s="450"/>
      <c r="E61" s="450"/>
      <c r="F61" s="450"/>
      <c r="G61" s="450"/>
      <c r="H61" s="450"/>
      <c r="I61" s="450"/>
      <c r="J61" s="450"/>
      <c r="K61" s="450"/>
      <c r="L61" s="450"/>
      <c r="M61" s="451"/>
      <c r="N61" s="450"/>
      <c r="O61" s="451"/>
      <c r="P61" s="2524"/>
      <c r="Q61" s="2504"/>
      <c r="R61" s="2436"/>
      <c r="S61" s="2436"/>
      <c r="T61" s="2436"/>
      <c r="U61" s="2436"/>
      <c r="V61" s="2436"/>
      <c r="W61" s="2436"/>
      <c r="X61" s="2436"/>
      <c r="Y61" s="2436"/>
      <c r="Z61" s="2436"/>
      <c r="AA61" s="2436"/>
      <c r="AB61" s="2436"/>
      <c r="AC61" s="2436"/>
    </row>
    <row r="62" spans="1:29" s="101" customFormat="1" ht="14.4">
      <c r="A62" s="453" t="s">
        <v>1681</v>
      </c>
      <c r="B62" s="442"/>
      <c r="C62" s="454" t="s">
        <v>1776</v>
      </c>
      <c r="D62" s="31"/>
      <c r="E62" s="31"/>
      <c r="F62" s="31"/>
      <c r="G62" s="31"/>
      <c r="H62" s="31"/>
      <c r="I62" s="31"/>
      <c r="J62" s="31"/>
      <c r="K62" s="31"/>
      <c r="L62" s="455"/>
      <c r="M62" s="456"/>
      <c r="N62" s="2516"/>
      <c r="O62" s="2516"/>
      <c r="P62" s="2525"/>
      <c r="Q62" s="2504"/>
      <c r="R62" s="2436"/>
      <c r="S62" s="2436"/>
      <c r="T62" s="2436"/>
      <c r="U62" s="2436"/>
      <c r="V62" s="2436"/>
      <c r="W62" s="2436"/>
      <c r="X62" s="2436"/>
      <c r="Y62" s="2436"/>
      <c r="Z62" s="2436"/>
      <c r="AA62" s="2436"/>
      <c r="AB62" s="2436"/>
      <c r="AC62" s="2436"/>
    </row>
    <row r="63" spans="1:29" s="101" customFormat="1" ht="14.4" thickBot="1">
      <c r="A63" s="453"/>
      <c r="B63" s="442"/>
      <c r="C63" s="443">
        <v>100</v>
      </c>
      <c r="D63" s="444"/>
      <c r="E63" s="444"/>
      <c r="F63" s="444"/>
      <c r="G63" s="444"/>
      <c r="H63" s="444"/>
      <c r="I63" s="444"/>
      <c r="J63" s="444"/>
      <c r="K63" s="444"/>
      <c r="L63" s="444"/>
      <c r="M63" s="446"/>
      <c r="N63" s="2516"/>
      <c r="O63" s="2516"/>
      <c r="P63" s="2524"/>
      <c r="Q63" s="2504"/>
      <c r="R63" s="2436"/>
      <c r="S63" s="2436"/>
      <c r="T63" s="2436"/>
      <c r="U63" s="2436"/>
      <c r="V63" s="2436"/>
      <c r="W63" s="2436"/>
      <c r="X63" s="2436"/>
      <c r="Y63" s="2436"/>
      <c r="Z63" s="2436"/>
      <c r="AA63" s="2436"/>
      <c r="AB63" s="2436"/>
      <c r="AC63" s="2436"/>
    </row>
    <row r="64" spans="1:29" ht="14.4">
      <c r="A64" s="377"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4.4" thickBot="1">
      <c r="A65" s="365"/>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9.4" thickTop="1">
      <c r="A66" s="365"/>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4.4" thickBot="1">
      <c r="A67" s="365"/>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8"/>
      <c r="O68" s="2518"/>
      <c r="P68" s="2526"/>
      <c r="Q68" s="2504"/>
      <c r="R68" s="2483"/>
      <c r="S68" s="2483"/>
      <c r="T68" s="2483"/>
      <c r="U68" s="2483"/>
      <c r="V68" s="2483"/>
      <c r="W68" s="2483"/>
      <c r="X68" s="2483"/>
      <c r="Y68" s="2483"/>
      <c r="Z68" s="2483"/>
      <c r="AA68" s="2483"/>
      <c r="AB68" s="2483"/>
      <c r="AC68" s="2483"/>
    </row>
    <row r="69" spans="1:29">
      <c r="A69" s="365"/>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6" customFormat="1" ht="14.4"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6" customFormat="1" ht="14.4"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6" customFormat="1" ht="14.4"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6" customFormat="1" ht="14.4"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6" customFormat="1" ht="14.4"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6" customFormat="1" ht="14.4"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ht="14.4">
      <c r="A77" s="377"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 thickTop="1">
      <c r="A79" s="365"/>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 thickTop="1">
      <c r="A81" s="365"/>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 thickTop="1">
      <c r="A83" s="365"/>
      <c r="B83" s="475" t="s">
        <v>1813</v>
      </c>
      <c r="C83" s="579" t="s">
        <v>1799</v>
      </c>
      <c r="D83" s="579" t="s">
        <v>1800</v>
      </c>
      <c r="E83" s="579" t="s">
        <v>1801</v>
      </c>
      <c r="F83" s="579" t="s">
        <v>1802</v>
      </c>
      <c r="G83" s="579" t="s">
        <v>1803</v>
      </c>
      <c r="H83" s="468"/>
      <c r="I83" s="468"/>
      <c r="J83" s="468"/>
      <c r="K83" s="468"/>
      <c r="L83" s="468"/>
      <c r="M83" s="1061"/>
      <c r="N83" s="2518"/>
      <c r="O83" s="2518"/>
      <c r="P83" s="2526"/>
      <c r="Q83" s="2504"/>
      <c r="R83" s="2483"/>
      <c r="S83" s="2483"/>
      <c r="T83" s="2483"/>
      <c r="U83" s="2483"/>
      <c r="V83" s="2483"/>
      <c r="W83" s="2483"/>
      <c r="X83" s="2483"/>
      <c r="Y83" s="2483"/>
      <c r="Z83" s="2483"/>
      <c r="AA83" s="2483"/>
      <c r="AB83" s="2483"/>
      <c r="AC83" s="2483"/>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8"/>
      <c r="O84" s="2518"/>
      <c r="P84" s="2526"/>
      <c r="Q84" s="2504"/>
      <c r="R84" s="2483"/>
      <c r="S84" s="2483"/>
      <c r="T84" s="2483"/>
      <c r="U84" s="2483"/>
      <c r="V84" s="2483"/>
      <c r="W84" s="2483"/>
      <c r="X84" s="2483"/>
      <c r="Y84" s="2483"/>
      <c r="Z84" s="2483"/>
      <c r="AA84" s="2483"/>
      <c r="AB84" s="2483"/>
      <c r="AC84" s="2483"/>
    </row>
    <row r="85" spans="1:29" ht="15" thickTop="1">
      <c r="A85" s="365"/>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1" customFormat="1" ht="29.4" thickTop="1">
      <c r="A87" s="368"/>
      <c r="B87" s="467" t="s">
        <v>1823</v>
      </c>
      <c r="C87" s="483"/>
      <c r="D87" s="483"/>
      <c r="E87" s="483"/>
      <c r="F87" s="483"/>
      <c r="G87" s="483"/>
      <c r="H87" s="483"/>
      <c r="I87" s="483"/>
      <c r="J87" s="483"/>
      <c r="K87" s="483"/>
      <c r="L87" s="508"/>
      <c r="M87" s="509"/>
      <c r="N87" s="2516"/>
      <c r="O87" s="2516"/>
      <c r="P87" s="2526"/>
      <c r="Q87" s="2504"/>
      <c r="R87" s="2436"/>
      <c r="S87" s="2436"/>
      <c r="T87" s="2436"/>
      <c r="U87" s="2436"/>
      <c r="V87" s="2436"/>
      <c r="W87" s="2436"/>
      <c r="X87" s="2436"/>
      <c r="Y87" s="2436"/>
      <c r="Z87" s="2436"/>
      <c r="AA87" s="2436"/>
      <c r="AB87" s="2436"/>
      <c r="AC87" s="2436"/>
    </row>
    <row r="88" spans="1:29" s="101"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6"/>
      <c r="S88" s="2436"/>
      <c r="T88" s="2436"/>
      <c r="U88" s="2436"/>
      <c r="V88" s="2436"/>
      <c r="W88" s="2436"/>
      <c r="X88" s="2436"/>
      <c r="Y88" s="2436"/>
      <c r="Z88" s="2436"/>
      <c r="AA88" s="2436"/>
      <c r="AB88" s="2436"/>
      <c r="AC88" s="2436"/>
    </row>
    <row r="89" spans="1:29" s="101" customFormat="1" ht="14.4" thickTop="1">
      <c r="A89" s="368"/>
      <c r="B89" s="467" t="str">
        <f>B27</f>
        <v>楼层</v>
      </c>
      <c r="C89" s="483"/>
      <c r="D89" s="483"/>
      <c r="E89" s="483"/>
      <c r="F89" s="1778"/>
      <c r="G89" s="483"/>
      <c r="H89" s="483"/>
      <c r="I89" s="483"/>
      <c r="J89" s="483"/>
      <c r="K89" s="483"/>
      <c r="L89" s="483"/>
      <c r="M89" s="509"/>
      <c r="N89" s="2516"/>
      <c r="O89" s="2516"/>
      <c r="P89" s="2526"/>
      <c r="Q89" s="2504"/>
      <c r="R89" s="2436"/>
      <c r="S89" s="2436"/>
      <c r="T89" s="2436"/>
      <c r="U89" s="2436"/>
      <c r="V89" s="2436"/>
      <c r="W89" s="2436"/>
      <c r="X89" s="2436"/>
      <c r="Y89" s="2436"/>
      <c r="Z89" s="2436"/>
      <c r="AA89" s="2436"/>
      <c r="AB89" s="2436"/>
      <c r="AC89" s="2436"/>
    </row>
    <row r="90" spans="1:29" s="101"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6"/>
      <c r="S90" s="2436"/>
      <c r="T90" s="2436"/>
      <c r="U90" s="2436"/>
      <c r="V90" s="2436"/>
      <c r="W90" s="2436"/>
      <c r="X90" s="2436"/>
      <c r="Y90" s="2436"/>
      <c r="Z90" s="2436"/>
      <c r="AA90" s="2436"/>
      <c r="AB90" s="2436"/>
      <c r="AC90" s="2436"/>
    </row>
    <row r="91" spans="1:29" s="406" customFormat="1" ht="14.4"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5"/>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4.4" thickTop="1">
      <c r="A95" s="365"/>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4.4" thickTop="1">
      <c r="A97" s="365"/>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4.4" thickBot="1">
      <c r="A98" s="365"/>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4.4" thickTop="1">
      <c r="A99" s="365"/>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4.4" thickBot="1">
      <c r="A100" s="373"/>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ht="14.4">
      <c r="A101" s="377"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6" customFormat="1">
      <c r="A104" s="404"/>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6" customFormat="1" ht="14.4"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7"/>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7"/>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7"/>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6" customFormat="1" ht="15" thickTop="1">
      <c r="A113" s="404"/>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7"/>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7"/>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7"/>
      <c r="B119" s="558" t="s">
        <v>1825</v>
      </c>
      <c r="C119" s="511"/>
      <c r="D119" s="511"/>
      <c r="E119" s="511"/>
      <c r="F119" s="511"/>
      <c r="G119" s="511"/>
      <c r="H119" s="511"/>
      <c r="I119" s="511"/>
      <c r="J119" s="511"/>
      <c r="K119" s="511"/>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6" customFormat="1" ht="15" thickTop="1">
      <c r="A121" s="404"/>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6" customFormat="1" ht="14.4"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7"/>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6" customFormat="1" ht="14.4" thickTop="1">
      <c r="A127" s="404"/>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6" customFormat="1" ht="14.4"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4.4" thickTop="1">
      <c r="A129" s="407"/>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4.4" thickBot="1">
      <c r="A130" s="365"/>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4.4" thickTop="1">
      <c r="A131" s="407"/>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4.4" thickBot="1">
      <c r="A132" s="373"/>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43685.850000000006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351" t="s">
        <v>1770</v>
      </c>
      <c r="D4" s="3377"/>
      <c r="E4" s="3378" t="s">
        <v>1771</v>
      </c>
      <c r="F4" s="3379"/>
      <c r="G4" s="3351" t="s">
        <v>1772</v>
      </c>
      <c r="H4" s="3377"/>
      <c r="I4" s="3351" t="s">
        <v>1773</v>
      </c>
      <c r="J4" s="3377"/>
      <c r="K4" s="535" t="s">
        <v>1774</v>
      </c>
      <c r="L4" s="858"/>
      <c r="M4" s="859"/>
      <c r="N4" s="859"/>
      <c r="O4" s="859"/>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c r="A5" s="346"/>
      <c r="B5" s="347"/>
      <c r="C5" s="3361" t="s">
        <v>1673</v>
      </c>
      <c r="D5" s="3362"/>
      <c r="E5" s="3386" t="s">
        <v>1674</v>
      </c>
      <c r="F5" s="3387"/>
      <c r="G5" s="3361" t="s">
        <v>1675</v>
      </c>
      <c r="H5" s="3362"/>
      <c r="I5" s="3361" t="s">
        <v>1676</v>
      </c>
      <c r="J5" s="3362"/>
      <c r="K5" s="535"/>
      <c r="L5" s="858"/>
      <c r="M5" s="859"/>
      <c r="N5" s="859"/>
      <c r="O5" s="859"/>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535" t="s">
        <v>1678</v>
      </c>
      <c r="L6" s="858"/>
      <c r="M6" s="859"/>
      <c r="N6" s="859"/>
      <c r="O6" s="859"/>
      <c r="P6" s="3384"/>
      <c r="Q6" s="3385"/>
      <c r="R6" s="3359"/>
      <c r="S6" s="3360"/>
      <c r="T6" s="3368"/>
      <c r="U6" s="3369"/>
      <c r="V6" s="3370"/>
      <c r="W6" s="3370"/>
      <c r="X6" s="1263"/>
      <c r="Y6" s="3368"/>
      <c r="Z6" s="3369"/>
      <c r="AA6" s="3376"/>
      <c r="AB6" s="3376"/>
      <c r="AC6" s="3376"/>
    </row>
    <row r="7" spans="1:29" s="101" customFormat="1" ht="15" thickBot="1">
      <c r="A7" s="350" t="s">
        <v>1679</v>
      </c>
      <c r="B7" s="351"/>
      <c r="C7" s="352">
        <f>'数据-取费表'!B2</f>
        <v>45649</v>
      </c>
      <c r="D7" s="353">
        <v>100</v>
      </c>
      <c r="E7" s="354"/>
      <c r="F7" s="355">
        <f>SUMIF(52:52,YEAR(E7)&amp;"-"&amp;MONTH(E7),53:53)</f>
        <v>0</v>
      </c>
      <c r="G7" s="354"/>
      <c r="H7" s="353">
        <f>SUMIF(52:52,YEAR(G7)&amp;"-"&amp;MONTH(G7),53:53)</f>
        <v>0</v>
      </c>
      <c r="I7" s="354"/>
      <c r="J7" s="353">
        <f>SUMIF(52:52,YEAR(I7)&amp;"-"&amp;MONTH(I7),53:53)</f>
        <v>0</v>
      </c>
      <c r="K7" s="38"/>
      <c r="L7" s="860"/>
      <c r="M7" s="861"/>
      <c r="N7" s="861"/>
      <c r="O7" s="861"/>
      <c r="P7" s="3355" t="s">
        <v>1680</v>
      </c>
      <c r="Q7" s="3365"/>
      <c r="R7" s="662" t="s">
        <v>14</v>
      </c>
      <c r="S7" s="663">
        <f t="shared" ref="S7:S15" si="0">F7</f>
        <v>0</v>
      </c>
      <c r="T7" s="662" t="s">
        <v>14</v>
      </c>
      <c r="U7" s="663">
        <f t="shared" ref="U7:U15" si="1">H7</f>
        <v>0</v>
      </c>
      <c r="V7" s="662" t="s">
        <v>14</v>
      </c>
      <c r="W7" s="663">
        <f t="shared" ref="W7:W15" si="2">J7</f>
        <v>0</v>
      </c>
      <c r="X7" s="664"/>
      <c r="Y7" s="3355" t="s">
        <v>1680</v>
      </c>
      <c r="Z7" s="3356"/>
      <c r="AA7" s="50" t="e">
        <f>D7/F7</f>
        <v>#DIV/0!</v>
      </c>
      <c r="AB7" s="50" t="e">
        <f>D7/H7</f>
        <v>#DIV/0!</v>
      </c>
      <c r="AC7" s="50" t="e">
        <f>D7/J7</f>
        <v>#DIV/0!</v>
      </c>
    </row>
    <row r="8" spans="1:29" s="101"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355" t="s">
        <v>1683</v>
      </c>
      <c r="Q8" s="3356"/>
      <c r="R8" s="662" t="s">
        <v>14</v>
      </c>
      <c r="S8" s="663">
        <f t="shared" si="0"/>
        <v>100</v>
      </c>
      <c r="T8" s="662" t="s">
        <v>14</v>
      </c>
      <c r="U8" s="663">
        <f t="shared" si="1"/>
        <v>100</v>
      </c>
      <c r="V8" s="662" t="s">
        <v>14</v>
      </c>
      <c r="W8" s="663">
        <f t="shared" si="2"/>
        <v>100</v>
      </c>
      <c r="X8" s="664"/>
      <c r="Y8" s="3355" t="s">
        <v>1683</v>
      </c>
      <c r="Z8" s="3356"/>
      <c r="AA8" s="50">
        <f t="shared" ref="AA8:AA40" si="3">D8/F8</f>
        <v>1</v>
      </c>
      <c r="AB8" s="50">
        <f t="shared" ref="AB8:AB40" si="4">D8/H8</f>
        <v>1</v>
      </c>
      <c r="AC8" s="50">
        <f t="shared" ref="AC8:AC40" si="5">D8/J8</f>
        <v>1</v>
      </c>
    </row>
    <row r="9" spans="1:29" s="101"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354"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8"/>
      <c r="F10" s="117">
        <f>SUMIF(59:59,E10,60:60)-SUMIF(59:59,C10,60:60)+100</f>
        <v>100</v>
      </c>
      <c r="G10" s="3129"/>
      <c r="H10" s="117">
        <f>SUMIF(59:59,G10,60:60)-SUMIF(59:59,C10,60:60)+100</f>
        <v>100</v>
      </c>
      <c r="I10" s="3128"/>
      <c r="J10" s="117">
        <f>SUMIF(59:59,I10,60:60)-SUMIF(59:59,C10,60:60)+100</f>
        <v>100</v>
      </c>
      <c r="K10" s="38"/>
      <c r="L10" s="863"/>
      <c r="M10" s="864"/>
      <c r="N10" s="864"/>
      <c r="O10" s="865"/>
      <c r="P10" s="3354"/>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354"/>
      <c r="Q11" s="528" t="str">
        <f t="shared" si="6"/>
        <v>容积率</v>
      </c>
      <c r="R11" s="662" t="s">
        <v>14</v>
      </c>
      <c r="S11" s="663">
        <f t="shared" si="0"/>
        <v>100</v>
      </c>
      <c r="T11" s="662" t="s">
        <v>14</v>
      </c>
      <c r="U11" s="663">
        <f t="shared" si="1"/>
        <v>100</v>
      </c>
      <c r="V11" s="662" t="s">
        <v>14</v>
      </c>
      <c r="W11" s="663">
        <f t="shared" si="2"/>
        <v>100</v>
      </c>
      <c r="X11" s="664"/>
      <c r="Y11" s="3258"/>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354"/>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354"/>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50">
        <f t="shared" si="5"/>
        <v>1</v>
      </c>
    </row>
    <row r="15" spans="1:29" ht="96.6">
      <c r="A15" s="377" t="s">
        <v>1690</v>
      </c>
      <c r="B15" s="58" t="s">
        <v>1827</v>
      </c>
      <c r="C15" s="1817" t="str">
        <f>估价对象房地状况!G3</f>
        <v>环首都存瑞云计算产业基地、科华数据(张家口腾致数据中心)、腾讯华北信息技术产业基地，一般</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371" t="s">
        <v>1691</v>
      </c>
      <c r="Q15" s="1261" t="str">
        <f t="shared" si="6"/>
        <v>产业集聚程度</v>
      </c>
      <c r="R15" s="665" t="s">
        <v>14</v>
      </c>
      <c r="S15" s="666">
        <f t="shared" si="0"/>
        <v>100</v>
      </c>
      <c r="T15" s="665" t="s">
        <v>14</v>
      </c>
      <c r="U15" s="666">
        <f t="shared" si="1"/>
        <v>100</v>
      </c>
      <c r="V15" s="665" t="s">
        <v>14</v>
      </c>
      <c r="W15" s="666">
        <f t="shared" si="2"/>
        <v>100</v>
      </c>
      <c r="X15" s="1263"/>
      <c r="Y15" s="3371"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372"/>
      <c r="Q16" s="1261"/>
      <c r="R16" s="665"/>
      <c r="S16" s="666"/>
      <c r="T16" s="665"/>
      <c r="U16" s="666"/>
      <c r="V16" s="665"/>
      <c r="W16" s="666"/>
      <c r="X16" s="1263"/>
      <c r="Y16" s="3372"/>
      <c r="Z16" s="1262"/>
      <c r="AA16" s="1262">
        <v>1</v>
      </c>
      <c r="AB16" s="1262">
        <v>1</v>
      </c>
      <c r="AC16" s="1262">
        <v>1</v>
      </c>
    </row>
    <row r="17" spans="1:29" ht="27.6">
      <c r="A17" s="365"/>
      <c r="B17" s="388" t="s">
        <v>1259</v>
      </c>
      <c r="C17" s="1752" t="str">
        <f>估价对象房地状况!G4</f>
        <v>怀来404路，较差</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372"/>
      <c r="Q17" s="1261" t="str">
        <f>B17</f>
        <v>交通便捷度</v>
      </c>
      <c r="R17" s="665" t="s">
        <v>14</v>
      </c>
      <c r="S17" s="666">
        <f>F17</f>
        <v>100</v>
      </c>
      <c r="T17" s="665" t="s">
        <v>14</v>
      </c>
      <c r="U17" s="666">
        <f>H17</f>
        <v>100</v>
      </c>
      <c r="V17" s="665" t="s">
        <v>14</v>
      </c>
      <c r="W17" s="666">
        <f>J17</f>
        <v>100</v>
      </c>
      <c r="X17" s="1263"/>
      <c r="Y17" s="3372"/>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372"/>
      <c r="Q18" s="1261"/>
      <c r="R18" s="665"/>
      <c r="S18" s="666"/>
      <c r="T18" s="665"/>
      <c r="U18" s="666"/>
      <c r="V18" s="665"/>
      <c r="W18" s="666"/>
      <c r="X18" s="1263"/>
      <c r="Y18" s="3372"/>
      <c r="Z18" s="1262"/>
      <c r="AA18" s="1262">
        <v>1</v>
      </c>
      <c r="AB18" s="1262">
        <v>1</v>
      </c>
      <c r="AC18" s="1262">
        <v>1</v>
      </c>
    </row>
    <row r="19" spans="1:29" ht="15">
      <c r="A19" s="365"/>
      <c r="B19" s="388" t="s">
        <v>1812</v>
      </c>
      <c r="C19" s="1752" t="str">
        <f>估价对象房地状况!G5</f>
        <v>较差</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372"/>
      <c r="Q19" s="1261" t="str">
        <f>B19</f>
        <v>公共配套设施</v>
      </c>
      <c r="R19" s="665" t="s">
        <v>14</v>
      </c>
      <c r="S19" s="666">
        <f>F19</f>
        <v>100</v>
      </c>
      <c r="T19" s="665" t="s">
        <v>14</v>
      </c>
      <c r="U19" s="666">
        <f>H19</f>
        <v>100</v>
      </c>
      <c r="V19" s="665" t="s">
        <v>14</v>
      </c>
      <c r="W19" s="666">
        <f>J19</f>
        <v>100</v>
      </c>
      <c r="X19" s="1263"/>
      <c r="Y19" s="3372"/>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372"/>
      <c r="Q20" s="1261"/>
      <c r="R20" s="665"/>
      <c r="S20" s="666"/>
      <c r="T20" s="665"/>
      <c r="U20" s="666"/>
      <c r="V20" s="665"/>
      <c r="W20" s="666"/>
      <c r="X20" s="1263"/>
      <c r="Y20" s="3372"/>
      <c r="Z20" s="1262"/>
      <c r="AA20" s="1262">
        <v>1</v>
      </c>
      <c r="AB20" s="1262">
        <v>1</v>
      </c>
      <c r="AC20" s="1262">
        <v>1</v>
      </c>
    </row>
    <row r="21" spans="1:29" ht="15">
      <c r="A21" s="365"/>
      <c r="B21" s="584" t="s">
        <v>1813</v>
      </c>
      <c r="C21" s="1752" t="str">
        <f>估价对象房地状况!G6</f>
        <v>五通/六通</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372"/>
      <c r="Q21" s="1261" t="str">
        <f>B21</f>
        <v>基础设施水平</v>
      </c>
      <c r="R21" s="665" t="s">
        <v>14</v>
      </c>
      <c r="S21" s="666">
        <f>F21</f>
        <v>100</v>
      </c>
      <c r="T21" s="665" t="s">
        <v>14</v>
      </c>
      <c r="U21" s="666">
        <f>H21</f>
        <v>100</v>
      </c>
      <c r="V21" s="665" t="s">
        <v>14</v>
      </c>
      <c r="W21" s="666">
        <f>J21</f>
        <v>100</v>
      </c>
      <c r="X21" s="1263"/>
      <c r="Y21" s="3372"/>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372"/>
      <c r="Q22" s="1261"/>
      <c r="R22" s="665"/>
      <c r="S22" s="666"/>
      <c r="T22" s="665"/>
      <c r="U22" s="666"/>
      <c r="V22" s="665"/>
      <c r="W22" s="666"/>
      <c r="X22" s="1263"/>
      <c r="Y22" s="3372"/>
      <c r="Z22" s="1262"/>
      <c r="AA22" s="1262">
        <v>1</v>
      </c>
      <c r="AB22" s="1262">
        <v>1</v>
      </c>
      <c r="AC22" s="1262">
        <v>1</v>
      </c>
    </row>
    <row r="23" spans="1:29" ht="15">
      <c r="A23" s="365"/>
      <c r="B23" s="388" t="s">
        <v>1814</v>
      </c>
      <c r="C23" s="1752" t="str">
        <f>估价对象房地状况!G7</f>
        <v>一般</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372"/>
      <c r="Q23" s="1261" t="str">
        <f>B23</f>
        <v>环境质量</v>
      </c>
      <c r="R23" s="665" t="s">
        <v>14</v>
      </c>
      <c r="S23" s="666">
        <f>F23</f>
        <v>100</v>
      </c>
      <c r="T23" s="665" t="s">
        <v>14</v>
      </c>
      <c r="U23" s="666">
        <f>H23</f>
        <v>100</v>
      </c>
      <c r="V23" s="665" t="s">
        <v>14</v>
      </c>
      <c r="W23" s="666">
        <f>J23</f>
        <v>100</v>
      </c>
      <c r="X23" s="1263"/>
      <c r="Y23" s="3372"/>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372"/>
      <c r="Q24" s="1261"/>
      <c r="R24" s="665"/>
      <c r="S24" s="666"/>
      <c r="T24" s="665"/>
      <c r="U24" s="666"/>
      <c r="V24" s="665"/>
      <c r="W24" s="666"/>
      <c r="X24" s="1263"/>
      <c r="Y24" s="3372"/>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372"/>
      <c r="Q25" s="1261">
        <f>B25</f>
        <v>111</v>
      </c>
      <c r="R25" s="665" t="s">
        <v>14</v>
      </c>
      <c r="S25" s="666">
        <f>F25</f>
        <v>100</v>
      </c>
      <c r="T25" s="665" t="s">
        <v>14</v>
      </c>
      <c r="U25" s="666">
        <f>H25</f>
        <v>100</v>
      </c>
      <c r="V25" s="665" t="s">
        <v>14</v>
      </c>
      <c r="W25" s="666">
        <f>J25</f>
        <v>100</v>
      </c>
      <c r="X25" s="1263"/>
      <c r="Y25" s="3372"/>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372"/>
      <c r="Q26" s="1261">
        <f t="shared" ref="Q26:Q40" si="11">B26</f>
        <v>111</v>
      </c>
      <c r="R26" s="665" t="s">
        <v>14</v>
      </c>
      <c r="S26" s="666">
        <f>F26</f>
        <v>100</v>
      </c>
      <c r="T26" s="665" t="s">
        <v>14</v>
      </c>
      <c r="U26" s="666">
        <f>H26</f>
        <v>100</v>
      </c>
      <c r="V26" s="665" t="s">
        <v>14</v>
      </c>
      <c r="W26" s="666">
        <f>J26</f>
        <v>100</v>
      </c>
      <c r="X26" s="1263"/>
      <c r="Y26" s="3372"/>
      <c r="Z26" s="1262">
        <f>Q26</f>
        <v>111</v>
      </c>
      <c r="AA26" s="1262">
        <f t="shared" si="3"/>
        <v>1</v>
      </c>
      <c r="AB26" s="1262">
        <f t="shared" si="4"/>
        <v>1</v>
      </c>
      <c r="AC26" s="1262">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372"/>
      <c r="Q27" s="528">
        <f t="shared" si="11"/>
        <v>111</v>
      </c>
      <c r="R27" s="662" t="s">
        <v>14</v>
      </c>
      <c r="S27" s="663">
        <f>F27</f>
        <v>100</v>
      </c>
      <c r="T27" s="662" t="s">
        <v>14</v>
      </c>
      <c r="U27" s="663">
        <f>H27</f>
        <v>100</v>
      </c>
      <c r="V27" s="662" t="s">
        <v>14</v>
      </c>
      <c r="W27" s="663">
        <f>J27</f>
        <v>100</v>
      </c>
      <c r="X27" s="664"/>
      <c r="Y27" s="3372"/>
      <c r="Z27" s="50">
        <f>Q27</f>
        <v>111</v>
      </c>
      <c r="AA27" s="1262">
        <f>D27/F27</f>
        <v>1</v>
      </c>
      <c r="AB27" s="1262">
        <f>D27/H27</f>
        <v>1</v>
      </c>
      <c r="AC27" s="1262">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372"/>
      <c r="Q28" s="1261">
        <f t="shared" si="11"/>
        <v>111</v>
      </c>
      <c r="R28" s="665" t="s">
        <v>14</v>
      </c>
      <c r="S28" s="666">
        <f t="shared" ref="S28:S40" si="12">F28</f>
        <v>100</v>
      </c>
      <c r="T28" s="665" t="s">
        <v>14</v>
      </c>
      <c r="U28" s="666">
        <f t="shared" ref="U28:U40" si="13">H28</f>
        <v>100</v>
      </c>
      <c r="V28" s="665" t="s">
        <v>14</v>
      </c>
      <c r="W28" s="666">
        <f t="shared" ref="W28:W40" si="14">J28</f>
        <v>100</v>
      </c>
      <c r="X28" s="1263"/>
      <c r="Y28" s="3372"/>
      <c r="Z28" s="1262">
        <f t="shared" ref="Z28:Z40" si="15">Q28</f>
        <v>111</v>
      </c>
      <c r="AA28" s="1262">
        <f t="shared" si="3"/>
        <v>1</v>
      </c>
      <c r="AB28" s="1262">
        <f t="shared" si="4"/>
        <v>1</v>
      </c>
      <c r="AC28" s="1262">
        <f t="shared" si="5"/>
        <v>1</v>
      </c>
    </row>
    <row r="29" spans="1:29" ht="30">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388" t="s">
        <v>1696</v>
      </c>
      <c r="Q29" s="1261" t="str">
        <f t="shared" si="11"/>
        <v>建筑类型</v>
      </c>
      <c r="R29" s="665" t="s">
        <v>14</v>
      </c>
      <c r="S29" s="666">
        <f t="shared" si="12"/>
        <v>100</v>
      </c>
      <c r="T29" s="665" t="s">
        <v>14</v>
      </c>
      <c r="U29" s="666">
        <f t="shared" si="13"/>
        <v>100</v>
      </c>
      <c r="V29" s="665" t="s">
        <v>14</v>
      </c>
      <c r="W29" s="666">
        <f t="shared" si="14"/>
        <v>100</v>
      </c>
      <c r="X29" s="1263"/>
      <c r="Y29" s="3373"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373"/>
      <c r="Q30" s="529" t="str">
        <f t="shared" si="11"/>
        <v>项目建筑规模</v>
      </c>
      <c r="R30" s="667" t="s">
        <v>14</v>
      </c>
      <c r="S30" s="668" t="e">
        <f t="shared" si="12"/>
        <v>#N/A</v>
      </c>
      <c r="T30" s="667" t="s">
        <v>14</v>
      </c>
      <c r="U30" s="668" t="e">
        <f t="shared" si="13"/>
        <v>#N/A</v>
      </c>
      <c r="V30" s="667" t="s">
        <v>14</v>
      </c>
      <c r="W30" s="668" t="e">
        <f t="shared" si="14"/>
        <v>#N/A</v>
      </c>
      <c r="X30" s="669"/>
      <c r="Y30" s="3373"/>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373"/>
      <c r="Q31" s="1261" t="str">
        <f t="shared" si="11"/>
        <v>建筑结构</v>
      </c>
      <c r="R31" s="665" t="s">
        <v>14</v>
      </c>
      <c r="S31" s="666">
        <f t="shared" si="12"/>
        <v>100</v>
      </c>
      <c r="T31" s="665" t="s">
        <v>14</v>
      </c>
      <c r="U31" s="666">
        <f t="shared" si="13"/>
        <v>100</v>
      </c>
      <c r="V31" s="665" t="s">
        <v>14</v>
      </c>
      <c r="W31" s="666">
        <f t="shared" si="14"/>
        <v>100</v>
      </c>
      <c r="X31" s="1263"/>
      <c r="Y31" s="3373"/>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373"/>
      <c r="Q32" s="1261" t="str">
        <f t="shared" si="11"/>
        <v>公共部分装修</v>
      </c>
      <c r="R32" s="665" t="s">
        <v>14</v>
      </c>
      <c r="S32" s="666">
        <f t="shared" si="12"/>
        <v>100</v>
      </c>
      <c r="T32" s="665" t="s">
        <v>14</v>
      </c>
      <c r="U32" s="666">
        <f t="shared" si="13"/>
        <v>100</v>
      </c>
      <c r="V32" s="665" t="s">
        <v>14</v>
      </c>
      <c r="W32" s="666">
        <f t="shared" si="14"/>
        <v>100</v>
      </c>
      <c r="X32" s="1263"/>
      <c r="Y32" s="3373"/>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373"/>
      <c r="Q33" s="1261" t="str">
        <f t="shared" si="11"/>
        <v>成新度</v>
      </c>
      <c r="R33" s="665" t="s">
        <v>14</v>
      </c>
      <c r="S33" s="666" t="e">
        <f t="shared" si="12"/>
        <v>#N/A</v>
      </c>
      <c r="T33" s="665" t="s">
        <v>14</v>
      </c>
      <c r="U33" s="666" t="e">
        <f t="shared" si="13"/>
        <v>#N/A</v>
      </c>
      <c r="V33" s="665" t="s">
        <v>14</v>
      </c>
      <c r="W33" s="666" t="e">
        <f t="shared" si="14"/>
        <v>#N/A</v>
      </c>
      <c r="X33" s="1263"/>
      <c r="Y33" s="3373"/>
      <c r="Z33" s="1262" t="str">
        <f t="shared" si="15"/>
        <v>成新度</v>
      </c>
      <c r="AA33" s="1262" t="e">
        <f t="shared" si="3"/>
        <v>#N/A</v>
      </c>
      <c r="AB33" s="1262" t="e">
        <f t="shared" si="4"/>
        <v>#N/A</v>
      </c>
      <c r="AC33" s="1262"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373"/>
      <c r="Q34" s="528" t="str">
        <f t="shared" si="11"/>
        <v>物业管理</v>
      </c>
      <c r="R34" s="662" t="s">
        <v>14</v>
      </c>
      <c r="S34" s="663">
        <f t="shared" si="12"/>
        <v>100</v>
      </c>
      <c r="T34" s="662" t="s">
        <v>14</v>
      </c>
      <c r="U34" s="663">
        <f t="shared" si="13"/>
        <v>100</v>
      </c>
      <c r="V34" s="662" t="s">
        <v>14</v>
      </c>
      <c r="W34" s="663">
        <f t="shared" si="14"/>
        <v>100</v>
      </c>
      <c r="X34" s="664"/>
      <c r="Y34" s="3373"/>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373" t="s">
        <v>1696</v>
      </c>
      <c r="Q35" s="1261" t="str">
        <f t="shared" si="11"/>
        <v>市政基础设施</v>
      </c>
      <c r="R35" s="665" t="s">
        <v>14</v>
      </c>
      <c r="S35" s="666">
        <f t="shared" si="12"/>
        <v>100</v>
      </c>
      <c r="T35" s="665" t="s">
        <v>14</v>
      </c>
      <c r="U35" s="666">
        <f t="shared" si="13"/>
        <v>100</v>
      </c>
      <c r="V35" s="665" t="s">
        <v>14</v>
      </c>
      <c r="W35" s="666">
        <f t="shared" si="14"/>
        <v>100</v>
      </c>
      <c r="X35" s="1263"/>
      <c r="Y35" s="3373"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373"/>
      <c r="Q36" s="1261" t="str">
        <f t="shared" si="11"/>
        <v>内部装修</v>
      </c>
      <c r="R36" s="665" t="s">
        <v>14</v>
      </c>
      <c r="S36" s="666">
        <f t="shared" si="12"/>
        <v>100</v>
      </c>
      <c r="T36" s="665" t="s">
        <v>14</v>
      </c>
      <c r="U36" s="666">
        <f t="shared" si="13"/>
        <v>100</v>
      </c>
      <c r="V36" s="665" t="s">
        <v>14</v>
      </c>
      <c r="W36" s="666">
        <f t="shared" si="14"/>
        <v>100</v>
      </c>
      <c r="X36" s="1263"/>
      <c r="Y36" s="3373"/>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373"/>
      <c r="Q37" s="1261" t="str">
        <f t="shared" si="11"/>
        <v>内部装修状况</v>
      </c>
      <c r="R37" s="665" t="s">
        <v>14</v>
      </c>
      <c r="S37" s="666">
        <f t="shared" si="12"/>
        <v>100</v>
      </c>
      <c r="T37" s="665" t="s">
        <v>14</v>
      </c>
      <c r="U37" s="666">
        <f t="shared" si="13"/>
        <v>100</v>
      </c>
      <c r="V37" s="665" t="s">
        <v>14</v>
      </c>
      <c r="W37" s="666">
        <f t="shared" si="14"/>
        <v>100</v>
      </c>
      <c r="X37" s="1263"/>
      <c r="Y37" s="3373"/>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373"/>
      <c r="Q38" s="529">
        <f t="shared" si="11"/>
        <v>111</v>
      </c>
      <c r="R38" s="667" t="s">
        <v>14</v>
      </c>
      <c r="S38" s="668">
        <f t="shared" si="12"/>
        <v>100</v>
      </c>
      <c r="T38" s="667" t="s">
        <v>14</v>
      </c>
      <c r="U38" s="668">
        <f t="shared" si="13"/>
        <v>100</v>
      </c>
      <c r="V38" s="667" t="s">
        <v>14</v>
      </c>
      <c r="W38" s="668">
        <f t="shared" si="14"/>
        <v>100</v>
      </c>
      <c r="X38" s="669"/>
      <c r="Y38" s="3373"/>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373"/>
      <c r="Q39" s="1261">
        <f t="shared" si="11"/>
        <v>111</v>
      </c>
      <c r="R39" s="665" t="s">
        <v>14</v>
      </c>
      <c r="S39" s="666">
        <f t="shared" si="12"/>
        <v>100</v>
      </c>
      <c r="T39" s="665" t="s">
        <v>14</v>
      </c>
      <c r="U39" s="666">
        <f t="shared" si="13"/>
        <v>100</v>
      </c>
      <c r="V39" s="665" t="s">
        <v>14</v>
      </c>
      <c r="W39" s="666">
        <f t="shared" si="14"/>
        <v>100</v>
      </c>
      <c r="X39" s="1263"/>
      <c r="Y39" s="3373"/>
      <c r="Z39" s="1262">
        <f t="shared" si="15"/>
        <v>111</v>
      </c>
      <c r="AA39" s="1262">
        <f t="shared" si="3"/>
        <v>1</v>
      </c>
      <c r="AB39" s="1262">
        <f t="shared" si="4"/>
        <v>1</v>
      </c>
      <c r="AC39" s="1262">
        <f t="shared" si="5"/>
        <v>1</v>
      </c>
    </row>
    <row r="40" spans="1:29" ht="15.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26"/>
      <c r="Q40" s="1261">
        <f t="shared" si="11"/>
        <v>111</v>
      </c>
      <c r="R40" s="665" t="s">
        <v>14</v>
      </c>
      <c r="S40" s="666">
        <f t="shared" si="12"/>
        <v>100</v>
      </c>
      <c r="T40" s="665" t="s">
        <v>14</v>
      </c>
      <c r="U40" s="666">
        <f t="shared" si="13"/>
        <v>100</v>
      </c>
      <c r="V40" s="665" t="s">
        <v>14</v>
      </c>
      <c r="W40" s="666">
        <f t="shared" si="14"/>
        <v>100</v>
      </c>
      <c r="X40" s="1263"/>
      <c r="Y40" s="3426"/>
      <c r="Z40" s="1262">
        <f t="shared" si="15"/>
        <v>111</v>
      </c>
      <c r="AA40" s="1262">
        <f t="shared" si="3"/>
        <v>1</v>
      </c>
      <c r="AB40" s="1262">
        <f t="shared" si="4"/>
        <v>1</v>
      </c>
      <c r="AC40" s="1262">
        <f t="shared" si="5"/>
        <v>1</v>
      </c>
    </row>
    <row r="41" spans="1:29" ht="14.4">
      <c r="A41" s="414" t="s">
        <v>1708</v>
      </c>
      <c r="B41" s="415"/>
      <c r="C41" s="1079" t="s">
        <v>0</v>
      </c>
      <c r="D41" s="416"/>
      <c r="E41" s="417"/>
      <c r="F41" s="418"/>
      <c r="G41" s="419"/>
      <c r="H41" s="420"/>
      <c r="I41" s="417"/>
      <c r="J41" s="420"/>
      <c r="K41" s="672"/>
      <c r="L41" s="871"/>
      <c r="M41" s="859"/>
      <c r="N41" s="859"/>
      <c r="O41" s="859"/>
      <c r="P41" s="3354" t="str">
        <f>A41</f>
        <v>成交单价（元/平方米）</v>
      </c>
      <c r="Q41" s="3354"/>
      <c r="R41" s="3370">
        <f>E41</f>
        <v>0</v>
      </c>
      <c r="S41" s="3370"/>
      <c r="T41" s="3370">
        <f>G41</f>
        <v>0</v>
      </c>
      <c r="U41" s="3370"/>
      <c r="V41" s="3370">
        <f>I41</f>
        <v>0</v>
      </c>
      <c r="W41" s="3370"/>
      <c r="X41" s="383"/>
      <c r="Y41" s="671"/>
      <c r="Z41" s="383"/>
      <c r="AA41" s="383"/>
      <c r="AB41" s="383"/>
      <c r="AC41" s="383"/>
    </row>
    <row r="42" spans="1:29" ht="15" thickBot="1">
      <c r="A42" s="421" t="s">
        <v>1793</v>
      </c>
      <c r="B42" s="422"/>
      <c r="C42" s="1080" t="e">
        <f>R43</f>
        <v>#DIV/0!</v>
      </c>
      <c r="D42" s="2139" t="s">
        <v>2137</v>
      </c>
      <c r="E42" s="1081" t="e">
        <f>R42</f>
        <v>#DIV/0!</v>
      </c>
      <c r="F42" s="2140"/>
      <c r="G42" s="1080" t="e">
        <f>T42</f>
        <v>#DIV/0!</v>
      </c>
      <c r="H42" s="2140"/>
      <c r="I42" s="1081" t="e">
        <f>V42</f>
        <v>#DIV/0!</v>
      </c>
      <c r="J42" s="2140"/>
      <c r="K42" s="2142">
        <f>F42+H42+J42</f>
        <v>0</v>
      </c>
      <c r="L42" s="871"/>
      <c r="M42" s="859"/>
      <c r="N42" s="859"/>
      <c r="O42" s="859"/>
      <c r="P42" s="3354" t="str">
        <f>A42</f>
        <v>比较价值（元/平方米）</v>
      </c>
      <c r="Q42" s="3354"/>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389" t="str">
        <f>A43</f>
        <v>估价对象XX用房的比较价值（楼面单价，元/平方米）</v>
      </c>
      <c r="Q43" s="3390"/>
      <c r="R43" s="3422" t="e">
        <f>IF(F1="售价",ROUND(IF(D42="简单平均",AVERAGE(R42:V42),R42*F42+T42*H42+V42*J42),0),ROUND(IF(D42="简单平均",AVERAGE(R42:V42),R42*F42+T42*H42+V42*J42),1))</f>
        <v>#DIV/0!</v>
      </c>
      <c r="S43" s="3422"/>
      <c r="T43" s="3422"/>
      <c r="U43" s="3422"/>
      <c r="V43" s="3422"/>
      <c r="W43" s="3422"/>
      <c r="X43" s="383"/>
      <c r="Y43" s="383"/>
      <c r="Z43" s="383"/>
      <c r="AA43" s="383"/>
      <c r="AB43" s="383"/>
      <c r="AC43" s="383"/>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4"/>
      <c r="M46" s="859"/>
      <c r="N46" s="859"/>
      <c r="O46" s="859"/>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4"/>
      <c r="M47" s="859"/>
      <c r="N47" s="859"/>
      <c r="O47" s="859"/>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4"/>
      <c r="M48" s="872"/>
      <c r="N48" s="872"/>
      <c r="O48" s="872"/>
    </row>
    <row r="49" spans="1:17" s="435"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c r="A53" s="441"/>
      <c r="B53" s="442"/>
      <c r="C53" s="1100">
        <v>100</v>
      </c>
      <c r="D53" s="444"/>
      <c r="E53" s="444"/>
      <c r="F53" s="444"/>
      <c r="G53" s="444"/>
      <c r="H53" s="444"/>
      <c r="I53" s="444"/>
      <c r="J53" s="444"/>
      <c r="K53" s="444"/>
      <c r="L53" s="444"/>
      <c r="M53" s="445"/>
      <c r="N53" s="444"/>
      <c r="O53" s="446"/>
      <c r="P53" s="437"/>
    </row>
    <row r="54" spans="1:17" s="101" customFormat="1" ht="15" thickBot="1">
      <c r="A54" s="447" t="s">
        <v>1716</v>
      </c>
      <c r="B54" s="448"/>
      <c r="C54" s="449"/>
      <c r="D54" s="450"/>
      <c r="E54" s="450"/>
      <c r="F54" s="450"/>
      <c r="G54" s="450"/>
      <c r="H54" s="450"/>
      <c r="I54" s="450"/>
      <c r="J54" s="450"/>
      <c r="K54" s="450"/>
      <c r="L54" s="450"/>
      <c r="M54" s="451"/>
      <c r="N54" s="2534"/>
      <c r="O54" s="2535"/>
      <c r="P54" s="437"/>
      <c r="Q54" s="437"/>
    </row>
    <row r="55" spans="1:17" s="101" customFormat="1" ht="14.4">
      <c r="A55" s="453" t="s">
        <v>1681</v>
      </c>
      <c r="B55" s="442"/>
      <c r="C55" s="454" t="s">
        <v>1776</v>
      </c>
      <c r="D55" s="31"/>
      <c r="E55" s="31"/>
      <c r="F55" s="31"/>
      <c r="G55" s="31"/>
      <c r="H55" s="31"/>
      <c r="I55" s="31"/>
      <c r="J55" s="31"/>
      <c r="K55" s="31"/>
      <c r="L55" s="455"/>
      <c r="M55" s="456"/>
      <c r="N55" s="876"/>
      <c r="O55" s="876"/>
      <c r="P55" s="457"/>
      <c r="Q55" s="437"/>
    </row>
    <row r="56" spans="1:17" s="101"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4.4" thickTop="1">
      <c r="A80" s="368"/>
      <c r="B80" s="467">
        <f>B25</f>
        <v>111</v>
      </c>
      <c r="C80" s="483"/>
      <c r="D80" s="483"/>
      <c r="E80" s="483"/>
      <c r="F80" s="483"/>
      <c r="G80" s="483"/>
      <c r="H80" s="483"/>
      <c r="I80" s="483"/>
      <c r="J80" s="483"/>
      <c r="K80" s="483"/>
      <c r="L80" s="508"/>
      <c r="M80" s="509"/>
      <c r="N80" s="876"/>
      <c r="O80" s="876"/>
      <c r="P80" s="40"/>
      <c r="Q80" s="437"/>
    </row>
    <row r="81" spans="1:17" s="101" customFormat="1" ht="14.4" thickBot="1">
      <c r="A81" s="368"/>
      <c r="B81" s="472"/>
      <c r="C81" s="489"/>
      <c r="D81" s="465"/>
      <c r="E81" s="465"/>
      <c r="F81" s="465"/>
      <c r="G81" s="465"/>
      <c r="H81" s="465"/>
      <c r="I81" s="465"/>
      <c r="J81" s="465"/>
      <c r="K81" s="465"/>
      <c r="L81" s="465"/>
      <c r="M81" s="466"/>
      <c r="N81" s="878"/>
      <c r="O81" s="878"/>
      <c r="P81" s="40"/>
      <c r="Q81" s="437"/>
    </row>
    <row r="82" spans="1:17" s="101" customFormat="1" ht="14.4" thickTop="1">
      <c r="A82" s="368"/>
      <c r="B82" s="467">
        <f>B26</f>
        <v>111</v>
      </c>
      <c r="C82" s="483"/>
      <c r="D82" s="483"/>
      <c r="E82" s="483"/>
      <c r="F82" s="483"/>
      <c r="G82" s="483"/>
      <c r="H82" s="483"/>
      <c r="I82" s="483"/>
      <c r="J82" s="483"/>
      <c r="K82" s="483"/>
      <c r="L82" s="508"/>
      <c r="M82" s="509"/>
      <c r="N82" s="876"/>
      <c r="O82" s="876"/>
      <c r="P82" s="40"/>
      <c r="Q82" s="437"/>
    </row>
    <row r="83" spans="1:17" s="101"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1736</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3325</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39"/>
      <c r="R3" s="339"/>
      <c r="S3" s="339"/>
      <c r="T3" s="339"/>
      <c r="U3" s="339"/>
      <c r="V3" s="339"/>
      <c r="W3" s="339"/>
      <c r="X3" s="339"/>
      <c r="Y3" s="339"/>
      <c r="Z3" s="339"/>
      <c r="AA3" s="339"/>
      <c r="AB3" s="674"/>
      <c r="AC3" s="661"/>
    </row>
    <row r="4" spans="1:29" ht="14.4">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c r="A5" s="346"/>
      <c r="B5" s="347"/>
      <c r="C5" s="3361" t="s">
        <v>1673</v>
      </c>
      <c r="D5" s="3362"/>
      <c r="E5" s="3386" t="s">
        <v>1674</v>
      </c>
      <c r="F5" s="3387"/>
      <c r="G5" s="3361" t="s">
        <v>1675</v>
      </c>
      <c r="H5" s="3362"/>
      <c r="I5" s="3361" t="s">
        <v>1676</v>
      </c>
      <c r="J5" s="3362"/>
      <c r="K5" s="535"/>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384"/>
      <c r="Q6" s="3385"/>
      <c r="R6" s="3359"/>
      <c r="S6" s="3360"/>
      <c r="T6" s="3368"/>
      <c r="U6" s="3369"/>
      <c r="V6" s="3370"/>
      <c r="W6" s="3370"/>
      <c r="X6" s="1263"/>
      <c r="Y6" s="3368"/>
      <c r="Z6" s="3369"/>
      <c r="AA6" s="3376"/>
      <c r="AB6" s="3376"/>
      <c r="AC6" s="3376"/>
    </row>
    <row r="7" spans="1:29" s="101" customFormat="1" ht="15" thickBot="1">
      <c r="A7" s="350" t="s">
        <v>1679</v>
      </c>
      <c r="B7" s="351"/>
      <c r="C7" s="352">
        <f>'数据-取费表'!B2</f>
        <v>45649</v>
      </c>
      <c r="D7" s="353">
        <v>100</v>
      </c>
      <c r="E7" s="354"/>
      <c r="F7" s="355">
        <f>SUMIF(48:48,YEAR(E7)&amp;"-"&amp;MONTH(E7),49:49)</f>
        <v>0</v>
      </c>
      <c r="G7" s="354"/>
      <c r="H7" s="353">
        <f>SUMIF(48:48,YEAR(G7)&amp;"-"&amp;MONTH(G7),49:49)</f>
        <v>0</v>
      </c>
      <c r="I7" s="354"/>
      <c r="J7" s="353">
        <f>SUMIF(48:48,YEAR(I7)&amp;"-"&amp;MONTH(I7),49:49)</f>
        <v>0</v>
      </c>
      <c r="K7" s="38"/>
      <c r="L7" s="2484"/>
      <c r="M7" s="2436"/>
      <c r="N7" s="2436"/>
      <c r="O7" s="2436"/>
      <c r="P7" s="3355" t="s">
        <v>1680</v>
      </c>
      <c r="Q7" s="3365"/>
      <c r="R7" s="662" t="s">
        <v>14</v>
      </c>
      <c r="S7" s="663">
        <f t="shared" ref="S7:S14" si="0">F7</f>
        <v>0</v>
      </c>
      <c r="T7" s="662" t="s">
        <v>14</v>
      </c>
      <c r="U7" s="663">
        <f t="shared" ref="U7:U14" si="1">H7</f>
        <v>0</v>
      </c>
      <c r="V7" s="662" t="s">
        <v>14</v>
      </c>
      <c r="W7" s="663">
        <f t="shared" ref="W7:W14" si="2">J7</f>
        <v>0</v>
      </c>
      <c r="X7" s="664"/>
      <c r="Y7" s="3355" t="s">
        <v>1680</v>
      </c>
      <c r="Z7" s="3356"/>
      <c r="AA7" s="50" t="e">
        <f>D7/F7</f>
        <v>#DIV/0!</v>
      </c>
      <c r="AB7" s="50" t="e">
        <f>D7/H7</f>
        <v>#DIV/0!</v>
      </c>
      <c r="AC7" s="50" t="e">
        <f>D7/J7</f>
        <v>#DIV/0!</v>
      </c>
    </row>
    <row r="8" spans="1:29" s="101"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4"/>
      <c r="M8" s="2436"/>
      <c r="N8" s="2436"/>
      <c r="O8" s="2436"/>
      <c r="P8" s="3355" t="s">
        <v>1683</v>
      </c>
      <c r="Q8" s="3356"/>
      <c r="R8" s="662" t="s">
        <v>14</v>
      </c>
      <c r="S8" s="663">
        <f t="shared" si="0"/>
        <v>100</v>
      </c>
      <c r="T8" s="662" t="s">
        <v>14</v>
      </c>
      <c r="U8" s="663">
        <f t="shared" si="1"/>
        <v>100</v>
      </c>
      <c r="V8" s="662" t="s">
        <v>14</v>
      </c>
      <c r="W8" s="663">
        <f t="shared" si="2"/>
        <v>100</v>
      </c>
      <c r="X8" s="664"/>
      <c r="Y8" s="3355" t="s">
        <v>1683</v>
      </c>
      <c r="Z8" s="3356"/>
      <c r="AA8" s="50">
        <f t="shared" ref="AA8:AA36" si="3">D8/F8</f>
        <v>1</v>
      </c>
      <c r="AB8" s="50">
        <f t="shared" ref="AB8:AB36" si="4">D8/H8</f>
        <v>1</v>
      </c>
      <c r="AC8" s="50">
        <f t="shared" ref="AC8:AC36" si="5">D8/J8</f>
        <v>1</v>
      </c>
    </row>
    <row r="9" spans="1:29" s="101"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4"/>
      <c r="M9" s="2436"/>
      <c r="N9" s="2436"/>
      <c r="O9" s="2436"/>
      <c r="P9" s="3354" t="s">
        <v>1686</v>
      </c>
      <c r="Q9" s="528" t="str">
        <f t="shared" ref="Q9:Q14" si="6">B9</f>
        <v>用途</v>
      </c>
      <c r="R9" s="662" t="s">
        <v>14</v>
      </c>
      <c r="S9" s="663">
        <f t="shared" si="0"/>
        <v>100</v>
      </c>
      <c r="T9" s="662" t="s">
        <v>14</v>
      </c>
      <c r="U9" s="663">
        <f t="shared" si="1"/>
        <v>100</v>
      </c>
      <c r="V9" s="662" t="s">
        <v>14</v>
      </c>
      <c r="W9" s="663">
        <f t="shared" si="2"/>
        <v>100</v>
      </c>
      <c r="X9" s="664"/>
      <c r="Y9" s="3258" t="s">
        <v>1687</v>
      </c>
      <c r="Z9" s="50" t="str">
        <f t="shared" ref="Z9:Z14" si="7">Q9</f>
        <v>用途</v>
      </c>
      <c r="AA9" s="50">
        <f t="shared" si="3"/>
        <v>1</v>
      </c>
      <c r="AB9" s="50">
        <f t="shared" si="4"/>
        <v>1</v>
      </c>
      <c r="AC9" s="50">
        <f t="shared" si="5"/>
        <v>1</v>
      </c>
    </row>
    <row r="10" spans="1:29" s="364" customFormat="1" ht="28.8">
      <c r="A10" s="563"/>
      <c r="B10" s="564" t="s">
        <v>1688</v>
      </c>
      <c r="C10" s="3128"/>
      <c r="D10" s="117">
        <v>100</v>
      </c>
      <c r="E10" s="3128"/>
      <c r="F10" s="117">
        <f>SUMIF(55:55,E10,56:56)-SUMIF(55:55,C10,56:56)+100</f>
        <v>100</v>
      </c>
      <c r="G10" s="3129"/>
      <c r="H10" s="117">
        <f>SUMIF(55:55,G10,56:56)-SUMIF(55:55,C10,56:56)+100</f>
        <v>100</v>
      </c>
      <c r="I10" s="3128"/>
      <c r="J10" s="117">
        <f>SUMIF(55:55,I10,56:56)-SUMIF(55:55,C10,56:56)+100</f>
        <v>100</v>
      </c>
      <c r="K10" s="38"/>
      <c r="L10" s="2485"/>
      <c r="M10" s="2486"/>
      <c r="N10" s="2486"/>
      <c r="O10" s="2486"/>
      <c r="P10" s="3354"/>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7"/>
      <c r="M11" s="2483"/>
      <c r="N11" s="2483"/>
      <c r="O11" s="2483"/>
      <c r="P11" s="3354"/>
      <c r="Q11" s="528">
        <f t="shared" si="6"/>
        <v>111</v>
      </c>
      <c r="R11" s="662" t="s">
        <v>14</v>
      </c>
      <c r="S11" s="663">
        <f t="shared" si="0"/>
        <v>100</v>
      </c>
      <c r="T11" s="662" t="s">
        <v>14</v>
      </c>
      <c r="U11" s="663">
        <f t="shared" si="1"/>
        <v>100</v>
      </c>
      <c r="V11" s="662" t="s">
        <v>14</v>
      </c>
      <c r="W11" s="663">
        <f t="shared" si="2"/>
        <v>100</v>
      </c>
      <c r="X11" s="664"/>
      <c r="Y11" s="3258"/>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4"/>
      <c r="M12" s="2436"/>
      <c r="N12" s="2436"/>
      <c r="O12" s="2436"/>
      <c r="P12" s="3354"/>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8"/>
      <c r="M13" s="2483"/>
      <c r="N13" s="2483"/>
      <c r="O13" s="2483"/>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
      <c r="A14" s="343" t="s">
        <v>1690</v>
      </c>
      <c r="B14" s="552" t="s">
        <v>1833</v>
      </c>
      <c r="C14" s="1817">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88"/>
      <c r="M14" s="2483"/>
      <c r="N14" s="2483"/>
      <c r="O14" s="2483"/>
      <c r="P14" s="3371" t="s">
        <v>1691</v>
      </c>
      <c r="Q14" s="1261" t="str">
        <f t="shared" si="6"/>
        <v>交通便捷度</v>
      </c>
      <c r="R14" s="665" t="s">
        <v>14</v>
      </c>
      <c r="S14" s="666">
        <f t="shared" si="0"/>
        <v>100</v>
      </c>
      <c r="T14" s="665" t="s">
        <v>14</v>
      </c>
      <c r="U14" s="666">
        <f t="shared" si="1"/>
        <v>100</v>
      </c>
      <c r="V14" s="665" t="s">
        <v>14</v>
      </c>
      <c r="W14" s="666">
        <f t="shared" si="2"/>
        <v>100</v>
      </c>
      <c r="X14" s="1263"/>
      <c r="Y14" s="3371"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8"/>
      <c r="M15" s="2483"/>
      <c r="N15" s="2483"/>
      <c r="O15" s="2483"/>
      <c r="P15" s="3372"/>
      <c r="Q15" s="1261"/>
      <c r="R15" s="665"/>
      <c r="S15" s="666"/>
      <c r="T15" s="665"/>
      <c r="U15" s="666"/>
      <c r="V15" s="665"/>
      <c r="W15" s="666"/>
      <c r="X15" s="1263"/>
      <c r="Y15" s="3372"/>
      <c r="Z15" s="1262"/>
      <c r="AA15" s="1262">
        <v>1</v>
      </c>
      <c r="AB15" s="1262">
        <v>1</v>
      </c>
      <c r="AC15" s="1262">
        <v>1</v>
      </c>
    </row>
    <row r="16" spans="1:29" ht="15">
      <c r="A16" s="346"/>
      <c r="B16" s="554" t="s">
        <v>1812</v>
      </c>
      <c r="C16" s="1752">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88"/>
      <c r="M16" s="2483"/>
      <c r="N16" s="2483"/>
      <c r="O16" s="2483"/>
      <c r="P16" s="3372"/>
      <c r="Q16" s="1261" t="str">
        <f>B16</f>
        <v>公共配套设施</v>
      </c>
      <c r="R16" s="665" t="s">
        <v>14</v>
      </c>
      <c r="S16" s="666">
        <f>F16</f>
        <v>100</v>
      </c>
      <c r="T16" s="665" t="s">
        <v>14</v>
      </c>
      <c r="U16" s="666">
        <f>H16</f>
        <v>100</v>
      </c>
      <c r="V16" s="665" t="s">
        <v>14</v>
      </c>
      <c r="W16" s="666">
        <f>J16</f>
        <v>100</v>
      </c>
      <c r="X16" s="1263"/>
      <c r="Y16" s="3372"/>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8"/>
      <c r="M17" s="2483"/>
      <c r="N17" s="2483"/>
      <c r="O17" s="2483"/>
      <c r="P17" s="3372"/>
      <c r="Q17" s="1261"/>
      <c r="R17" s="665"/>
      <c r="S17" s="666"/>
      <c r="T17" s="665"/>
      <c r="U17" s="666"/>
      <c r="V17" s="665"/>
      <c r="W17" s="666"/>
      <c r="X17" s="1263"/>
      <c r="Y17" s="3372"/>
      <c r="Z17" s="1262"/>
      <c r="AA17" s="1262">
        <v>1</v>
      </c>
      <c r="AB17" s="1262">
        <v>1</v>
      </c>
      <c r="AC17" s="1262">
        <v>1</v>
      </c>
    </row>
    <row r="18" spans="1:29" ht="15">
      <c r="A18" s="346"/>
      <c r="B18" s="555" t="s">
        <v>1813</v>
      </c>
      <c r="C18" s="1752">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88"/>
      <c r="M18" s="2483"/>
      <c r="N18" s="2483"/>
      <c r="O18" s="2483"/>
      <c r="P18" s="3372"/>
      <c r="Q18" s="1261" t="str">
        <f>B18</f>
        <v>基础设施水平</v>
      </c>
      <c r="R18" s="665" t="s">
        <v>14</v>
      </c>
      <c r="S18" s="666">
        <f>F18</f>
        <v>100</v>
      </c>
      <c r="T18" s="665" t="s">
        <v>14</v>
      </c>
      <c r="U18" s="666">
        <f>H18</f>
        <v>100</v>
      </c>
      <c r="V18" s="665" t="s">
        <v>14</v>
      </c>
      <c r="W18" s="666">
        <f>J18</f>
        <v>100</v>
      </c>
      <c r="X18" s="1263"/>
      <c r="Y18" s="3372"/>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8"/>
      <c r="M19" s="2483"/>
      <c r="N19" s="2483"/>
      <c r="O19" s="2483"/>
      <c r="P19" s="3372"/>
      <c r="Q19" s="1261"/>
      <c r="R19" s="665"/>
      <c r="S19" s="666"/>
      <c r="T19" s="665"/>
      <c r="U19" s="666"/>
      <c r="V19" s="665"/>
      <c r="W19" s="666"/>
      <c r="X19" s="1263"/>
      <c r="Y19" s="3372"/>
      <c r="Z19" s="1262"/>
      <c r="AA19" s="1262">
        <v>1</v>
      </c>
      <c r="AB19" s="1262">
        <v>1</v>
      </c>
      <c r="AC19" s="1262">
        <v>1</v>
      </c>
    </row>
    <row r="20" spans="1:29" ht="15">
      <c r="A20" s="346"/>
      <c r="B20" s="554" t="s">
        <v>1834</v>
      </c>
      <c r="C20" s="1752">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88"/>
      <c r="M20" s="2483"/>
      <c r="N20" s="2483"/>
      <c r="O20" s="2483"/>
      <c r="P20" s="3372"/>
      <c r="Q20" s="1261" t="str">
        <f>B20</f>
        <v>自然及人文环境</v>
      </c>
      <c r="R20" s="665" t="s">
        <v>14</v>
      </c>
      <c r="S20" s="666">
        <f>F20</f>
        <v>100</v>
      </c>
      <c r="T20" s="665" t="s">
        <v>14</v>
      </c>
      <c r="U20" s="666">
        <f>H20</f>
        <v>100</v>
      </c>
      <c r="V20" s="665" t="s">
        <v>14</v>
      </c>
      <c r="W20" s="666">
        <f>J20</f>
        <v>100</v>
      </c>
      <c r="X20" s="1263"/>
      <c r="Y20" s="3372"/>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8"/>
      <c r="M21" s="2483"/>
      <c r="N21" s="2483"/>
      <c r="O21" s="2483"/>
      <c r="P21" s="3372"/>
      <c r="Q21" s="1261"/>
      <c r="R21" s="665"/>
      <c r="S21" s="666"/>
      <c r="T21" s="665"/>
      <c r="U21" s="666"/>
      <c r="V21" s="665"/>
      <c r="W21" s="666"/>
      <c r="X21" s="1263"/>
      <c r="Y21" s="3372"/>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8"/>
      <c r="M22" s="2483"/>
      <c r="N22" s="2483"/>
      <c r="O22" s="2483"/>
      <c r="P22" s="3372"/>
      <c r="Q22" s="1261" t="str">
        <f>B22</f>
        <v>楼层</v>
      </c>
      <c r="R22" s="665" t="s">
        <v>14</v>
      </c>
      <c r="S22" s="666">
        <f>F22</f>
        <v>100</v>
      </c>
      <c r="T22" s="665" t="s">
        <v>14</v>
      </c>
      <c r="U22" s="666">
        <f>H22</f>
        <v>100</v>
      </c>
      <c r="V22" s="665" t="s">
        <v>14</v>
      </c>
      <c r="W22" s="666">
        <f>J22</f>
        <v>100</v>
      </c>
      <c r="X22" s="1263"/>
      <c r="Y22" s="3372"/>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8"/>
      <c r="M23" s="2483"/>
      <c r="N23" s="2483"/>
      <c r="O23" s="2483"/>
      <c r="P23" s="3372"/>
      <c r="Q23" s="1261">
        <f>B23</f>
        <v>111</v>
      </c>
      <c r="R23" s="665" t="s">
        <v>14</v>
      </c>
      <c r="S23" s="666">
        <f>F23</f>
        <v>100</v>
      </c>
      <c r="T23" s="665" t="s">
        <v>14</v>
      </c>
      <c r="U23" s="666">
        <f>H23</f>
        <v>100</v>
      </c>
      <c r="V23" s="665" t="s">
        <v>14</v>
      </c>
      <c r="W23" s="666">
        <f>J23</f>
        <v>100</v>
      </c>
      <c r="X23" s="1263"/>
      <c r="Y23" s="3372"/>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8"/>
      <c r="M24" s="2483"/>
      <c r="N24" s="2483"/>
      <c r="O24" s="2483"/>
      <c r="P24" s="3372"/>
      <c r="Q24" s="1261">
        <f t="shared" ref="Q24:Q36" si="11">B24</f>
        <v>111</v>
      </c>
      <c r="R24" s="665" t="s">
        <v>14</v>
      </c>
      <c r="S24" s="666">
        <f>F24</f>
        <v>100</v>
      </c>
      <c r="T24" s="665" t="s">
        <v>14</v>
      </c>
      <c r="U24" s="666">
        <f>H24</f>
        <v>100</v>
      </c>
      <c r="V24" s="665" t="s">
        <v>14</v>
      </c>
      <c r="W24" s="666">
        <f>J24</f>
        <v>100</v>
      </c>
      <c r="X24" s="1263"/>
      <c r="Y24" s="3372"/>
      <c r="Z24" s="1262">
        <f>Q24</f>
        <v>111</v>
      </c>
      <c r="AA24" s="1262">
        <f t="shared" si="3"/>
        <v>1</v>
      </c>
      <c r="AB24" s="1262">
        <f t="shared" si="4"/>
        <v>1</v>
      </c>
      <c r="AC24" s="1262">
        <f t="shared" si="5"/>
        <v>1</v>
      </c>
    </row>
    <row r="25" spans="1:29" s="101"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4"/>
      <c r="M25" s="2436"/>
      <c r="N25" s="2436"/>
      <c r="O25" s="2436"/>
      <c r="P25" s="3372"/>
      <c r="Q25" s="528">
        <f t="shared" si="11"/>
        <v>111</v>
      </c>
      <c r="R25" s="662" t="s">
        <v>14</v>
      </c>
      <c r="S25" s="663">
        <f>F25</f>
        <v>100</v>
      </c>
      <c r="T25" s="662" t="s">
        <v>14</v>
      </c>
      <c r="U25" s="663">
        <f>H25</f>
        <v>100</v>
      </c>
      <c r="V25" s="662" t="s">
        <v>14</v>
      </c>
      <c r="W25" s="663">
        <f>J25</f>
        <v>100</v>
      </c>
      <c r="X25" s="664"/>
      <c r="Y25" s="3372"/>
      <c r="Z25" s="50">
        <f>Q25</f>
        <v>111</v>
      </c>
      <c r="AA25" s="1262">
        <f>D25/F25</f>
        <v>1</v>
      </c>
      <c r="AB25" s="1262">
        <f>D25/H25</f>
        <v>1</v>
      </c>
      <c r="AC25" s="1262">
        <f>D25/J25</f>
        <v>1</v>
      </c>
    </row>
    <row r="26" spans="1:29" ht="30">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8"/>
      <c r="M26" s="2483"/>
      <c r="N26" s="2483"/>
      <c r="O26" s="2483"/>
      <c r="P26" s="3388"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373"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7"/>
      <c r="M27" s="2489"/>
      <c r="N27" s="2489"/>
      <c r="O27" s="2489"/>
      <c r="P27" s="3373"/>
      <c r="Q27" s="529" t="str">
        <f t="shared" si="11"/>
        <v>项目停车位配比</v>
      </c>
      <c r="R27" s="667" t="s">
        <v>14</v>
      </c>
      <c r="S27" s="668">
        <f t="shared" si="12"/>
        <v>100</v>
      </c>
      <c r="T27" s="667" t="s">
        <v>14</v>
      </c>
      <c r="U27" s="668">
        <f t="shared" si="13"/>
        <v>100</v>
      </c>
      <c r="V27" s="667" t="s">
        <v>14</v>
      </c>
      <c r="W27" s="668">
        <f t="shared" si="14"/>
        <v>100</v>
      </c>
      <c r="X27" s="669"/>
      <c r="Y27" s="3373"/>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8"/>
      <c r="M28" s="2483"/>
      <c r="N28" s="2483"/>
      <c r="O28" s="2483"/>
      <c r="P28" s="3373"/>
      <c r="Q28" s="1261" t="str">
        <f t="shared" si="11"/>
        <v>公共部分装修</v>
      </c>
      <c r="R28" s="665" t="s">
        <v>14</v>
      </c>
      <c r="S28" s="666">
        <f t="shared" si="12"/>
        <v>100</v>
      </c>
      <c r="T28" s="665" t="s">
        <v>14</v>
      </c>
      <c r="U28" s="666">
        <f t="shared" si="13"/>
        <v>100</v>
      </c>
      <c r="V28" s="665" t="s">
        <v>14</v>
      </c>
      <c r="W28" s="666">
        <f t="shared" si="14"/>
        <v>100</v>
      </c>
      <c r="X28" s="1263"/>
      <c r="Y28" s="3373"/>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8"/>
      <c r="M29" s="2483"/>
      <c r="N29" s="2483"/>
      <c r="O29" s="2483"/>
      <c r="P29" s="3373"/>
      <c r="Q29" s="1261" t="str">
        <f t="shared" si="11"/>
        <v>成新率</v>
      </c>
      <c r="R29" s="665" t="s">
        <v>14</v>
      </c>
      <c r="S29" s="666" t="e">
        <f t="shared" si="12"/>
        <v>#N/A</v>
      </c>
      <c r="T29" s="665" t="s">
        <v>14</v>
      </c>
      <c r="U29" s="666" t="e">
        <f t="shared" si="13"/>
        <v>#N/A</v>
      </c>
      <c r="V29" s="665" t="s">
        <v>14</v>
      </c>
      <c r="W29" s="666" t="e">
        <f t="shared" si="14"/>
        <v>#N/A</v>
      </c>
      <c r="X29" s="1263"/>
      <c r="Y29" s="3373"/>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8"/>
      <c r="M30" s="2483"/>
      <c r="N30" s="2483"/>
      <c r="O30" s="2483"/>
      <c r="P30" s="3373"/>
      <c r="Q30" s="1261" t="str">
        <f t="shared" si="11"/>
        <v>物业等级</v>
      </c>
      <c r="R30" s="665" t="s">
        <v>14</v>
      </c>
      <c r="S30" s="666">
        <f t="shared" si="12"/>
        <v>100</v>
      </c>
      <c r="T30" s="665" t="s">
        <v>14</v>
      </c>
      <c r="U30" s="666">
        <f t="shared" si="13"/>
        <v>100</v>
      </c>
      <c r="V30" s="665" t="s">
        <v>14</v>
      </c>
      <c r="W30" s="666">
        <f t="shared" si="14"/>
        <v>100</v>
      </c>
      <c r="X30" s="1263"/>
      <c r="Y30" s="3373"/>
      <c r="Z30" s="1262" t="str">
        <f t="shared" si="15"/>
        <v>物业等级</v>
      </c>
      <c r="AA30" s="1262">
        <f t="shared" si="3"/>
        <v>1</v>
      </c>
      <c r="AB30" s="1262">
        <f t="shared" si="4"/>
        <v>1</v>
      </c>
      <c r="AC30" s="1262">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4"/>
      <c r="M31" s="2436"/>
      <c r="N31" s="2436"/>
      <c r="O31" s="2436"/>
      <c r="P31" s="3373"/>
      <c r="Q31" s="528" t="str">
        <f t="shared" si="11"/>
        <v>停车位面积</v>
      </c>
      <c r="R31" s="662" t="s">
        <v>14</v>
      </c>
      <c r="S31" s="663" t="e">
        <f t="shared" si="12"/>
        <v>#N/A</v>
      </c>
      <c r="T31" s="662" t="s">
        <v>14</v>
      </c>
      <c r="U31" s="663" t="e">
        <f t="shared" si="13"/>
        <v>#N/A</v>
      </c>
      <c r="V31" s="662" t="s">
        <v>14</v>
      </c>
      <c r="W31" s="663" t="e">
        <f t="shared" si="14"/>
        <v>#N/A</v>
      </c>
      <c r="X31" s="664"/>
      <c r="Y31" s="3373"/>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8"/>
      <c r="M32" s="2483"/>
      <c r="N32" s="2483"/>
      <c r="O32" s="2483"/>
      <c r="P32" s="3373" t="s">
        <v>1696</v>
      </c>
      <c r="Q32" s="1261" t="str">
        <f t="shared" si="11"/>
        <v>车位类型</v>
      </c>
      <c r="R32" s="665" t="s">
        <v>14</v>
      </c>
      <c r="S32" s="666">
        <f t="shared" si="12"/>
        <v>100</v>
      </c>
      <c r="T32" s="665" t="s">
        <v>14</v>
      </c>
      <c r="U32" s="666">
        <f t="shared" si="13"/>
        <v>100</v>
      </c>
      <c r="V32" s="665" t="s">
        <v>14</v>
      </c>
      <c r="W32" s="666">
        <f t="shared" si="14"/>
        <v>100</v>
      </c>
      <c r="X32" s="1263"/>
      <c r="Y32" s="3373"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8"/>
      <c r="M33" s="2483"/>
      <c r="N33" s="2483"/>
      <c r="O33" s="2483"/>
      <c r="P33" s="3373"/>
      <c r="Q33" s="1261" t="str">
        <f t="shared" si="11"/>
        <v>是否直接入户</v>
      </c>
      <c r="R33" s="665" t="s">
        <v>14</v>
      </c>
      <c r="S33" s="666">
        <f t="shared" si="12"/>
        <v>100</v>
      </c>
      <c r="T33" s="665" t="s">
        <v>14</v>
      </c>
      <c r="U33" s="666">
        <f t="shared" si="13"/>
        <v>100</v>
      </c>
      <c r="V33" s="665" t="s">
        <v>14</v>
      </c>
      <c r="W33" s="666">
        <f t="shared" si="14"/>
        <v>100</v>
      </c>
      <c r="X33" s="1263"/>
      <c r="Y33" s="3373"/>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8"/>
      <c r="M34" s="2483"/>
      <c r="N34" s="2483"/>
      <c r="O34" s="2483"/>
      <c r="P34" s="3373"/>
      <c r="Q34" s="1261">
        <f t="shared" si="11"/>
        <v>111</v>
      </c>
      <c r="R34" s="665" t="s">
        <v>14</v>
      </c>
      <c r="S34" s="666">
        <f t="shared" si="12"/>
        <v>100</v>
      </c>
      <c r="T34" s="665" t="s">
        <v>14</v>
      </c>
      <c r="U34" s="666">
        <f t="shared" si="13"/>
        <v>100</v>
      </c>
      <c r="V34" s="665" t="s">
        <v>14</v>
      </c>
      <c r="W34" s="666">
        <f t="shared" si="14"/>
        <v>100</v>
      </c>
      <c r="X34" s="1263"/>
      <c r="Y34" s="3373"/>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7"/>
      <c r="M35" s="2489"/>
      <c r="N35" s="2489"/>
      <c r="O35" s="2489"/>
      <c r="P35" s="3373"/>
      <c r="Q35" s="529">
        <f t="shared" si="11"/>
        <v>111</v>
      </c>
      <c r="R35" s="667" t="s">
        <v>14</v>
      </c>
      <c r="S35" s="668">
        <f t="shared" si="12"/>
        <v>100</v>
      </c>
      <c r="T35" s="667" t="s">
        <v>14</v>
      </c>
      <c r="U35" s="668">
        <f t="shared" si="13"/>
        <v>100</v>
      </c>
      <c r="V35" s="667" t="s">
        <v>14</v>
      </c>
      <c r="W35" s="668">
        <f t="shared" si="14"/>
        <v>100</v>
      </c>
      <c r="X35" s="669"/>
      <c r="Y35" s="3373"/>
      <c r="Z35" s="670">
        <f t="shared" si="15"/>
        <v>111</v>
      </c>
      <c r="AA35" s="1262">
        <f t="shared" si="3"/>
        <v>1</v>
      </c>
      <c r="AB35" s="1262">
        <f t="shared" si="4"/>
        <v>1</v>
      </c>
      <c r="AC35" s="1262">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8"/>
      <c r="M36" s="2483"/>
      <c r="N36" s="2483"/>
      <c r="O36" s="2483"/>
      <c r="P36" s="3373"/>
      <c r="Q36" s="1261">
        <f t="shared" si="11"/>
        <v>111</v>
      </c>
      <c r="R36" s="665" t="s">
        <v>14</v>
      </c>
      <c r="S36" s="666">
        <f t="shared" si="12"/>
        <v>100</v>
      </c>
      <c r="T36" s="665" t="s">
        <v>14</v>
      </c>
      <c r="U36" s="666">
        <f t="shared" si="13"/>
        <v>100</v>
      </c>
      <c r="V36" s="665" t="s">
        <v>14</v>
      </c>
      <c r="W36" s="666">
        <f t="shared" si="14"/>
        <v>100</v>
      </c>
      <c r="X36" s="1263"/>
      <c r="Y36" s="3373"/>
      <c r="Z36" s="1262">
        <f t="shared" si="15"/>
        <v>111</v>
      </c>
      <c r="AA36" s="1262">
        <f t="shared" si="3"/>
        <v>1</v>
      </c>
      <c r="AB36" s="1262">
        <f t="shared" si="4"/>
        <v>1</v>
      </c>
      <c r="AC36" s="1262">
        <f t="shared" si="5"/>
        <v>1</v>
      </c>
    </row>
    <row r="37" spans="1:29" ht="14.4">
      <c r="A37" s="414" t="s">
        <v>1844</v>
      </c>
      <c r="B37" s="1819" t="s">
        <v>3346</v>
      </c>
      <c r="C37" s="1079" t="s">
        <v>0</v>
      </c>
      <c r="D37" s="416"/>
      <c r="E37" s="417"/>
      <c r="F37" s="418"/>
      <c r="G37" s="419"/>
      <c r="H37" s="420"/>
      <c r="I37" s="417"/>
      <c r="J37" s="420"/>
      <c r="K37" s="543"/>
      <c r="L37" s="2490"/>
      <c r="M37" s="2483"/>
      <c r="N37" s="2483"/>
      <c r="O37" s="2483"/>
      <c r="P37" s="3354" t="str">
        <f>A37</f>
        <v>成交单价</v>
      </c>
      <c r="Q37" s="3354"/>
      <c r="R37" s="3370">
        <f>E37</f>
        <v>0</v>
      </c>
      <c r="S37" s="3370"/>
      <c r="T37" s="3370">
        <f>G37</f>
        <v>0</v>
      </c>
      <c r="U37" s="3370"/>
      <c r="V37" s="3370">
        <f>I37</f>
        <v>0</v>
      </c>
      <c r="W37" s="3370"/>
      <c r="X37" s="383"/>
      <c r="Y37" s="671"/>
      <c r="Z37" s="383"/>
      <c r="AA37" s="383"/>
      <c r="AB37" s="383"/>
      <c r="AC37" s="383"/>
    </row>
    <row r="38" spans="1:29" ht="15" thickBot="1">
      <c r="A38" s="421" t="s">
        <v>1845</v>
      </c>
      <c r="B38" s="422" t="str">
        <f>B37</f>
        <v>元/平方米</v>
      </c>
      <c r="C38" s="1080" t="e">
        <f>R39</f>
        <v>#DIV/0!</v>
      </c>
      <c r="D38" s="2139" t="s">
        <v>2137</v>
      </c>
      <c r="E38" s="1081" t="e">
        <f>R38</f>
        <v>#DIV/0!</v>
      </c>
      <c r="F38" s="2140"/>
      <c r="G38" s="1080" t="e">
        <f>T38</f>
        <v>#DIV/0!</v>
      </c>
      <c r="H38" s="2140"/>
      <c r="I38" s="1081" t="e">
        <f>V38</f>
        <v>#DIV/0!</v>
      </c>
      <c r="J38" s="2140"/>
      <c r="K38" s="2142">
        <f>F38+H38+J38</f>
        <v>0</v>
      </c>
      <c r="L38" s="2490"/>
      <c r="M38" s="2483"/>
      <c r="N38" s="2483"/>
      <c r="O38" s="2483"/>
      <c r="P38" s="3354" t="str">
        <f>A38</f>
        <v>比较价值（元/平方米）</v>
      </c>
      <c r="Q38" s="3354"/>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90"/>
      <c r="M39" s="2483"/>
      <c r="N39" s="2483"/>
      <c r="O39" s="2483"/>
      <c r="P39" s="3389" t="str">
        <f>A39</f>
        <v>估价对象XX用房的比较价值（楼面单价，元/平方米）</v>
      </c>
      <c r="Q39" s="3390"/>
      <c r="R39" s="3448" t="e">
        <f>IF(F1="售价",ROUND(IF(D38="简单平均",AVERAGE(R38:W38),R38*F38+T38*H38+V38*J38),0),ROUND(IF(D38="简单平均",AVERAGE(R38:V38),R38*F38+T38*H38+V38*J38),1))</f>
        <v>#DIV/0!</v>
      </c>
      <c r="S39" s="3448"/>
      <c r="T39" s="3448"/>
      <c r="U39" s="3448"/>
      <c r="V39" s="3448"/>
      <c r="W39" s="3448"/>
      <c r="X39" s="383"/>
      <c r="Y39" s="383"/>
      <c r="Z39" s="383"/>
      <c r="AA39" s="383"/>
      <c r="AB39" s="383"/>
      <c r="AC39" s="383"/>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0" customFormat="1" ht="14.4">
      <c r="A48" s="438" t="s">
        <v>1851</v>
      </c>
      <c r="B48" s="439"/>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3"/>
      <c r="Q48" s="2506"/>
      <c r="R48" s="2506"/>
      <c r="S48" s="2506"/>
      <c r="T48" s="2506"/>
      <c r="U48" s="2506"/>
      <c r="V48" s="2506"/>
      <c r="W48" s="2506"/>
      <c r="X48" s="2506"/>
      <c r="Y48" s="2506"/>
      <c r="Z48" s="2506"/>
      <c r="AA48" s="2506"/>
      <c r="AB48" s="2506"/>
      <c r="AC48" s="2506"/>
    </row>
    <row r="49" spans="1:29" s="101" customFormat="1">
      <c r="A49" s="441"/>
      <c r="B49" s="442"/>
      <c r="C49" s="1095">
        <v>100</v>
      </c>
      <c r="D49" s="444"/>
      <c r="E49" s="444"/>
      <c r="F49" s="444"/>
      <c r="G49" s="444"/>
      <c r="H49" s="444"/>
      <c r="I49" s="444"/>
      <c r="J49" s="444"/>
      <c r="K49" s="444"/>
      <c r="L49" s="444"/>
      <c r="M49" s="445"/>
      <c r="N49" s="444"/>
      <c r="O49" s="445"/>
      <c r="P49" s="2524"/>
      <c r="Q49" s="2436"/>
      <c r="R49" s="2436"/>
      <c r="S49" s="2436"/>
      <c r="T49" s="2436"/>
      <c r="U49" s="2436"/>
      <c r="V49" s="2436"/>
      <c r="W49" s="2436"/>
      <c r="X49" s="2436"/>
      <c r="Y49" s="2436"/>
      <c r="Z49" s="2436"/>
      <c r="AA49" s="2436"/>
      <c r="AB49" s="2436"/>
      <c r="AC49" s="2436"/>
    </row>
    <row r="50" spans="1:29" s="101" customFormat="1" ht="15" thickBot="1">
      <c r="A50" s="447" t="s">
        <v>1716</v>
      </c>
      <c r="B50" s="448"/>
      <c r="C50" s="449"/>
      <c r="D50" s="450"/>
      <c r="E50" s="450"/>
      <c r="F50" s="450"/>
      <c r="G50" s="450"/>
      <c r="H50" s="450"/>
      <c r="I50" s="450"/>
      <c r="J50" s="450"/>
      <c r="K50" s="450"/>
      <c r="L50" s="450"/>
      <c r="M50" s="451"/>
      <c r="N50" s="450"/>
      <c r="O50" s="451"/>
      <c r="P50" s="2524"/>
      <c r="Q50" s="2504"/>
      <c r="R50" s="2436"/>
      <c r="S50" s="2436"/>
      <c r="T50" s="2436"/>
      <c r="U50" s="2436"/>
      <c r="V50" s="2436"/>
      <c r="W50" s="2436"/>
      <c r="X50" s="2436"/>
      <c r="Y50" s="2436"/>
      <c r="Z50" s="2436"/>
      <c r="AA50" s="2436"/>
      <c r="AB50" s="2436"/>
      <c r="AC50" s="2436"/>
    </row>
    <row r="51" spans="1:29" s="101" customFormat="1" ht="14.4">
      <c r="A51" s="453" t="s">
        <v>1681</v>
      </c>
      <c r="B51" s="442"/>
      <c r="C51" s="454" t="s">
        <v>1776</v>
      </c>
      <c r="D51" s="31"/>
      <c r="E51" s="31"/>
      <c r="F51" s="31"/>
      <c r="G51" s="31"/>
      <c r="H51" s="31"/>
      <c r="I51" s="31"/>
      <c r="J51" s="31"/>
      <c r="K51" s="31"/>
      <c r="L51" s="455"/>
      <c r="M51" s="456"/>
      <c r="N51" s="2516"/>
      <c r="O51" s="2516"/>
      <c r="P51" s="2525"/>
      <c r="Q51" s="2504"/>
      <c r="R51" s="2436"/>
      <c r="S51" s="2436"/>
      <c r="T51" s="2436"/>
      <c r="U51" s="2436"/>
      <c r="V51" s="2436"/>
      <c r="W51" s="2436"/>
      <c r="X51" s="2436"/>
      <c r="Y51" s="2436"/>
      <c r="Z51" s="2436"/>
      <c r="AA51" s="2436"/>
      <c r="AB51" s="2436"/>
      <c r="AC51" s="2436"/>
    </row>
    <row r="52" spans="1:29" s="101" customFormat="1" ht="14.4" thickBot="1">
      <c r="A52" s="453"/>
      <c r="B52" s="442"/>
      <c r="C52" s="561">
        <v>100</v>
      </c>
      <c r="D52" s="444"/>
      <c r="E52" s="444"/>
      <c r="F52" s="444"/>
      <c r="G52" s="444"/>
      <c r="H52" s="444"/>
      <c r="I52" s="444"/>
      <c r="J52" s="444"/>
      <c r="K52" s="444"/>
      <c r="L52" s="444"/>
      <c r="M52" s="446"/>
      <c r="N52" s="2516"/>
      <c r="O52" s="2516"/>
      <c r="P52" s="2524"/>
      <c r="Q52" s="2504"/>
      <c r="R52" s="2436"/>
      <c r="S52" s="2436"/>
      <c r="T52" s="2436"/>
      <c r="U52" s="2436"/>
      <c r="V52" s="2436"/>
      <c r="W52" s="2436"/>
      <c r="X52" s="2436"/>
      <c r="Y52" s="2436"/>
      <c r="Z52" s="2436"/>
      <c r="AA52" s="2436"/>
      <c r="AB52" s="2436"/>
      <c r="AC52" s="2436"/>
    </row>
    <row r="53" spans="1:29" ht="14.4">
      <c r="A53" s="377" t="s">
        <v>1719</v>
      </c>
      <c r="B53" s="458" t="s">
        <v>1685</v>
      </c>
      <c r="C53" s="459">
        <f>C9</f>
        <v>0</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4.4" thickBot="1">
      <c r="A54" s="365"/>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9.4" thickTop="1">
      <c r="A55" s="365"/>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4.4" thickBot="1">
      <c r="A56" s="365"/>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4.4" thickTop="1">
      <c r="A57" s="365"/>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4.4" thickBot="1">
      <c r="A58" s="365"/>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6" customFormat="1" ht="14.4"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6" customFormat="1" ht="14.4"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6" customFormat="1" ht="14.4"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6" customFormat="1" ht="14.4"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 thickTop="1">
      <c r="A65" s="365"/>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 thickTop="1">
      <c r="A67" s="365"/>
      <c r="B67" s="475" t="s">
        <v>1813</v>
      </c>
      <c r="C67" s="579" t="s">
        <v>1799</v>
      </c>
      <c r="D67" s="579" t="s">
        <v>1800</v>
      </c>
      <c r="E67" s="579" t="s">
        <v>1801</v>
      </c>
      <c r="F67" s="579" t="s">
        <v>1802</v>
      </c>
      <c r="G67" s="579" t="s">
        <v>1803</v>
      </c>
      <c r="H67" s="468"/>
      <c r="I67" s="468"/>
      <c r="J67" s="468"/>
      <c r="K67" s="468"/>
      <c r="L67" s="468"/>
      <c r="M67" s="1061"/>
      <c r="N67" s="2518"/>
      <c r="O67" s="2518"/>
      <c r="P67" s="2526"/>
      <c r="Q67" s="2504"/>
      <c r="R67" s="2483"/>
      <c r="S67" s="2483"/>
      <c r="T67" s="2483"/>
      <c r="U67" s="2483"/>
      <c r="V67" s="2483"/>
      <c r="W67" s="2483"/>
      <c r="X67" s="2483"/>
      <c r="Y67" s="2483"/>
      <c r="Z67" s="2483"/>
      <c r="AA67" s="2483"/>
      <c r="AB67" s="2483"/>
      <c r="AC67" s="2483"/>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8"/>
      <c r="O68" s="2518"/>
      <c r="P68" s="2526"/>
      <c r="Q68" s="2504"/>
      <c r="R68" s="2483"/>
      <c r="S68" s="2483"/>
      <c r="T68" s="2483"/>
      <c r="U68" s="2483"/>
      <c r="V68" s="2483"/>
      <c r="W68" s="2483"/>
      <c r="X68" s="2483"/>
      <c r="Y68" s="2483"/>
      <c r="Z68" s="2483"/>
      <c r="AA68" s="2483"/>
      <c r="AB68" s="2483"/>
      <c r="AC68" s="2483"/>
    </row>
    <row r="69" spans="1:29" ht="15" thickTop="1">
      <c r="A69" s="365"/>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 thickTop="1">
      <c r="A71" s="365"/>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1" customFormat="1" ht="14.4" thickTop="1">
      <c r="A73" s="368"/>
      <c r="B73" s="467">
        <f>B23</f>
        <v>111</v>
      </c>
      <c r="C73" s="478"/>
      <c r="D73" s="478"/>
      <c r="E73" s="478"/>
      <c r="F73" s="478"/>
      <c r="G73" s="483"/>
      <c r="H73" s="483"/>
      <c r="I73" s="483"/>
      <c r="J73" s="483"/>
      <c r="K73" s="483"/>
      <c r="L73" s="508"/>
      <c r="M73" s="509"/>
      <c r="N73" s="2516"/>
      <c r="O73" s="2516"/>
      <c r="P73" s="2526"/>
      <c r="Q73" s="2504"/>
      <c r="R73" s="2436"/>
      <c r="S73" s="2436"/>
      <c r="T73" s="2436"/>
      <c r="U73" s="2436"/>
      <c r="V73" s="2436"/>
      <c r="W73" s="2436"/>
      <c r="X73" s="2436"/>
      <c r="Y73" s="2436"/>
      <c r="Z73" s="2436"/>
      <c r="AA73" s="2436"/>
      <c r="AB73" s="2436"/>
      <c r="AC73" s="2436"/>
    </row>
    <row r="74" spans="1:29" s="101" customFormat="1" ht="14.4" thickBot="1">
      <c r="A74" s="368"/>
      <c r="B74" s="472"/>
      <c r="C74" s="489"/>
      <c r="D74" s="465"/>
      <c r="E74" s="465"/>
      <c r="F74" s="465"/>
      <c r="G74" s="465"/>
      <c r="H74" s="465"/>
      <c r="I74" s="465"/>
      <c r="J74" s="465"/>
      <c r="K74" s="465"/>
      <c r="L74" s="465"/>
      <c r="M74" s="466"/>
      <c r="N74" s="2518"/>
      <c r="O74" s="2518"/>
      <c r="P74" s="2526"/>
      <c r="Q74" s="2504"/>
      <c r="R74" s="2436"/>
      <c r="S74" s="2436"/>
      <c r="T74" s="2436"/>
      <c r="U74" s="2436"/>
      <c r="V74" s="2436"/>
      <c r="W74" s="2436"/>
      <c r="X74" s="2436"/>
      <c r="Y74" s="2436"/>
      <c r="Z74" s="2436"/>
      <c r="AA74" s="2436"/>
      <c r="AB74" s="2436"/>
      <c r="AC74" s="2436"/>
    </row>
    <row r="75" spans="1:29" s="101" customFormat="1" ht="14.4" thickTop="1">
      <c r="A75" s="368"/>
      <c r="B75" s="467">
        <f>B24</f>
        <v>111</v>
      </c>
      <c r="C75" s="478"/>
      <c r="D75" s="478"/>
      <c r="E75" s="478"/>
      <c r="F75" s="478"/>
      <c r="G75" s="483"/>
      <c r="H75" s="483"/>
      <c r="I75" s="483"/>
      <c r="J75" s="483"/>
      <c r="K75" s="483"/>
      <c r="L75" s="483"/>
      <c r="M75" s="509"/>
      <c r="N75" s="2516"/>
      <c r="O75" s="2516"/>
      <c r="P75" s="2526"/>
      <c r="Q75" s="2504"/>
      <c r="R75" s="2436"/>
      <c r="S75" s="2436"/>
      <c r="T75" s="2436"/>
      <c r="U75" s="2436"/>
      <c r="V75" s="2436"/>
      <c r="W75" s="2436"/>
      <c r="X75" s="2436"/>
      <c r="Y75" s="2436"/>
      <c r="Z75" s="2436"/>
      <c r="AA75" s="2436"/>
      <c r="AB75" s="2436"/>
      <c r="AC75" s="2436"/>
    </row>
    <row r="76" spans="1:29" s="101" customFormat="1" ht="14.4" thickBot="1">
      <c r="A76" s="368"/>
      <c r="B76" s="472"/>
      <c r="C76" s="489"/>
      <c r="D76" s="465"/>
      <c r="E76" s="465"/>
      <c r="F76" s="465"/>
      <c r="G76" s="465"/>
      <c r="H76" s="465"/>
      <c r="I76" s="465"/>
      <c r="J76" s="465"/>
      <c r="K76" s="465"/>
      <c r="L76" s="465"/>
      <c r="M76" s="466"/>
      <c r="N76" s="2518"/>
      <c r="O76" s="2518"/>
      <c r="P76" s="2526"/>
      <c r="Q76" s="2504"/>
      <c r="R76" s="2436"/>
      <c r="S76" s="2436"/>
      <c r="T76" s="2436"/>
      <c r="U76" s="2436"/>
      <c r="V76" s="2436"/>
      <c r="W76" s="2436"/>
      <c r="X76" s="2436"/>
      <c r="Y76" s="2436"/>
      <c r="Z76" s="2436"/>
      <c r="AA76" s="2436"/>
      <c r="AB76" s="2436"/>
      <c r="AC76" s="2436"/>
    </row>
    <row r="77" spans="1:29" s="406" customFormat="1" ht="14.4"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6" customFormat="1" ht="14.4"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9.4" thickTop="1">
      <c r="A79" s="377" t="s">
        <v>1694</v>
      </c>
      <c r="B79" s="458" t="s">
        <v>1853</v>
      </c>
      <c r="C79" s="459" t="str">
        <f>C26</f>
        <v>车库</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5"/>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6" customFormat="1" ht="14.4"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7"/>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7"/>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7"/>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8"/>
      <c r="O89" s="2518"/>
      <c r="P89" s="2526"/>
      <c r="Q89" s="2504"/>
      <c r="R89" s="2483"/>
      <c r="S89" s="2483"/>
      <c r="T89" s="2483"/>
      <c r="U89" s="2483"/>
      <c r="V89" s="2483"/>
      <c r="W89" s="2483"/>
      <c r="X89" s="2483"/>
      <c r="Y89" s="2483"/>
      <c r="Z89" s="2483"/>
      <c r="AA89" s="2483"/>
      <c r="AB89" s="2483"/>
      <c r="AC89" s="2483"/>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6" customFormat="1">
      <c r="A91" s="404"/>
      <c r="B91" s="475"/>
      <c r="C91" s="6"/>
      <c r="D91" s="6"/>
      <c r="E91" s="6"/>
      <c r="F91" s="6"/>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489"/>
      <c r="D92" s="465"/>
      <c r="E92" s="465"/>
      <c r="F92" s="465"/>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7"/>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7"/>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4.4" thickTop="1">
      <c r="A97" s="407"/>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4.4" thickBot="1">
      <c r="A98" s="365"/>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6" customFormat="1" ht="14.4" thickTop="1">
      <c r="A99" s="404"/>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6" customFormat="1" ht="14.4"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4.4" thickTop="1">
      <c r="A101" s="407"/>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c r="A5" s="346"/>
      <c r="B5" s="347"/>
      <c r="C5" s="3361" t="s">
        <v>1673</v>
      </c>
      <c r="D5" s="3362"/>
      <c r="E5" s="3386" t="s">
        <v>1674</v>
      </c>
      <c r="F5" s="3387"/>
      <c r="G5" s="3361" t="s">
        <v>1675</v>
      </c>
      <c r="H5" s="3362"/>
      <c r="I5" s="3361" t="s">
        <v>1676</v>
      </c>
      <c r="J5" s="3362"/>
      <c r="K5" s="535"/>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384"/>
      <c r="Q6" s="3385"/>
      <c r="R6" s="3359"/>
      <c r="S6" s="3360"/>
      <c r="T6" s="3368"/>
      <c r="U6" s="3369"/>
      <c r="V6" s="3370"/>
      <c r="W6" s="3370"/>
      <c r="X6" s="1263"/>
      <c r="Y6" s="3368"/>
      <c r="Z6" s="3369"/>
      <c r="AA6" s="3376"/>
      <c r="AB6" s="3376"/>
      <c r="AC6" s="3376"/>
    </row>
    <row r="7" spans="1:29" s="101" customFormat="1" ht="15" thickBot="1">
      <c r="A7" s="350" t="s">
        <v>1679</v>
      </c>
      <c r="B7" s="351"/>
      <c r="C7" s="352">
        <f>'数据-取费表'!B2</f>
        <v>45649</v>
      </c>
      <c r="D7" s="353">
        <v>100</v>
      </c>
      <c r="E7" s="354"/>
      <c r="F7" s="355">
        <f>SUMIF(46:46,YEAR(E7)&amp;"-"&amp;MONTH(E7),47:47)</f>
        <v>0</v>
      </c>
      <c r="G7" s="1820"/>
      <c r="H7" s="353">
        <f>SUMIF(46:46,YEAR(G7)&amp;"-"&amp;MONTH(G7),47:47)</f>
        <v>0</v>
      </c>
      <c r="I7" s="354"/>
      <c r="J7" s="353">
        <f>SUMIF(46:46,YEAR(I7)&amp;"-"&amp;MONTH(I7),47:47)</f>
        <v>0</v>
      </c>
      <c r="K7" s="38"/>
      <c r="L7" s="2484"/>
      <c r="M7" s="2436"/>
      <c r="N7" s="2436"/>
      <c r="O7" s="2436"/>
      <c r="P7" s="3355" t="s">
        <v>1680</v>
      </c>
      <c r="Q7" s="3365"/>
      <c r="R7" s="662" t="s">
        <v>14</v>
      </c>
      <c r="S7" s="663">
        <f t="shared" ref="S7:S14" si="0">F7</f>
        <v>0</v>
      </c>
      <c r="T7" s="662" t="s">
        <v>14</v>
      </c>
      <c r="U7" s="663">
        <f t="shared" ref="U7:U14" si="1">H7</f>
        <v>0</v>
      </c>
      <c r="V7" s="662" t="s">
        <v>14</v>
      </c>
      <c r="W7" s="663">
        <f t="shared" ref="W7:W14" si="2">J7</f>
        <v>0</v>
      </c>
      <c r="X7" s="664"/>
      <c r="Y7" s="3355" t="s">
        <v>1680</v>
      </c>
      <c r="Z7" s="3356"/>
      <c r="AA7" s="50" t="e">
        <f>D7/F7</f>
        <v>#DIV/0!</v>
      </c>
      <c r="AB7" s="50" t="e">
        <f>D7/H7</f>
        <v>#DIV/0!</v>
      </c>
      <c r="AC7" s="50" t="e">
        <f>D7/J7</f>
        <v>#DIV/0!</v>
      </c>
    </row>
    <row r="8" spans="1:29" s="101"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4"/>
      <c r="M8" s="2436"/>
      <c r="N8" s="2436"/>
      <c r="O8" s="2436"/>
      <c r="P8" s="3355" t="s">
        <v>1683</v>
      </c>
      <c r="Q8" s="3356"/>
      <c r="R8" s="662" t="s">
        <v>14</v>
      </c>
      <c r="S8" s="663">
        <f t="shared" si="0"/>
        <v>100</v>
      </c>
      <c r="T8" s="662" t="s">
        <v>14</v>
      </c>
      <c r="U8" s="663">
        <f t="shared" si="1"/>
        <v>100</v>
      </c>
      <c r="V8" s="662" t="s">
        <v>14</v>
      </c>
      <c r="W8" s="663">
        <f t="shared" si="2"/>
        <v>100</v>
      </c>
      <c r="X8" s="664"/>
      <c r="Y8" s="3355" t="s">
        <v>1683</v>
      </c>
      <c r="Z8" s="3356"/>
      <c r="AA8" s="50">
        <f t="shared" ref="AA8:AA34" si="3">D8/F8</f>
        <v>1</v>
      </c>
      <c r="AB8" s="50">
        <f t="shared" ref="AB8:AB34" si="4">D8/H8</f>
        <v>1</v>
      </c>
      <c r="AC8" s="50">
        <f t="shared" ref="AC8:AC34" si="5">D8/J8</f>
        <v>1</v>
      </c>
    </row>
    <row r="9" spans="1:29" s="101"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4"/>
      <c r="M9" s="2436"/>
      <c r="N9" s="2436"/>
      <c r="O9" s="2536"/>
      <c r="P9" s="3354" t="s">
        <v>1686</v>
      </c>
      <c r="Q9" s="528" t="str">
        <f t="shared" ref="Q9:Q14" si="6">B9</f>
        <v>用途</v>
      </c>
      <c r="R9" s="662" t="s">
        <v>14</v>
      </c>
      <c r="S9" s="663">
        <f t="shared" si="0"/>
        <v>100</v>
      </c>
      <c r="T9" s="662" t="s">
        <v>14</v>
      </c>
      <c r="U9" s="663">
        <f t="shared" si="1"/>
        <v>100</v>
      </c>
      <c r="V9" s="662" t="s">
        <v>14</v>
      </c>
      <c r="W9" s="663">
        <f t="shared" si="2"/>
        <v>100</v>
      </c>
      <c r="X9" s="664"/>
      <c r="Y9" s="3258" t="s">
        <v>1687</v>
      </c>
      <c r="Z9" s="50" t="str">
        <f t="shared" ref="Z9:Z14" si="7">Q9</f>
        <v>用途</v>
      </c>
      <c r="AA9" s="50">
        <f t="shared" si="3"/>
        <v>1</v>
      </c>
      <c r="AB9" s="50">
        <f t="shared" si="4"/>
        <v>1</v>
      </c>
      <c r="AC9" s="50">
        <f t="shared" si="5"/>
        <v>1</v>
      </c>
    </row>
    <row r="10" spans="1:29" s="364" customFormat="1" ht="28.8">
      <c r="A10" s="361"/>
      <c r="B10" s="362" t="s">
        <v>1688</v>
      </c>
      <c r="C10" s="3128"/>
      <c r="D10" s="117">
        <v>100</v>
      </c>
      <c r="E10" s="3128"/>
      <c r="F10" s="362">
        <f>SUMIF(53:53,E10,54:54)-SUMIF(53:53,C10,54:54)+100</f>
        <v>100</v>
      </c>
      <c r="G10" s="3128"/>
      <c r="H10" s="117">
        <f>SUMIF(53:53,G10,54:54)-SUMIF(53:53,C10,54:54)+100</f>
        <v>100</v>
      </c>
      <c r="I10" s="3128"/>
      <c r="J10" s="117">
        <f>SUMIF(53:53,I10,54:54)-SUMIF(53:53,C10,54:54)+100</f>
        <v>100</v>
      </c>
      <c r="K10" s="38"/>
      <c r="L10" s="2485"/>
      <c r="M10" s="2486"/>
      <c r="N10" s="2486"/>
      <c r="O10" s="2537"/>
      <c r="P10" s="3354"/>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7"/>
      <c r="M11" s="2483"/>
      <c r="N11" s="2483"/>
      <c r="O11" s="2538"/>
      <c r="P11" s="3354"/>
      <c r="Q11" s="528">
        <f t="shared" si="6"/>
        <v>111</v>
      </c>
      <c r="R11" s="662" t="s">
        <v>14</v>
      </c>
      <c r="S11" s="663">
        <f t="shared" si="0"/>
        <v>100</v>
      </c>
      <c r="T11" s="662" t="s">
        <v>14</v>
      </c>
      <c r="U11" s="663">
        <f t="shared" si="1"/>
        <v>100</v>
      </c>
      <c r="V11" s="662" t="s">
        <v>14</v>
      </c>
      <c r="W11" s="663">
        <f t="shared" si="2"/>
        <v>100</v>
      </c>
      <c r="X11" s="664"/>
      <c r="Y11" s="3258"/>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4"/>
      <c r="M12" s="2436"/>
      <c r="N12" s="2436"/>
      <c r="O12" s="2536"/>
      <c r="P12" s="3354"/>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8"/>
      <c r="M13" s="2483"/>
      <c r="N13" s="2483"/>
      <c r="O13" s="2538"/>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
      <c r="A14" s="377" t="s">
        <v>1690</v>
      </c>
      <c r="B14" s="58" t="s">
        <v>1833</v>
      </c>
      <c r="C14" s="1817">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88"/>
      <c r="M14" s="2483"/>
      <c r="N14" s="2483"/>
      <c r="O14" s="2538"/>
      <c r="P14" s="3371" t="s">
        <v>1691</v>
      </c>
      <c r="Q14" s="1261" t="str">
        <f t="shared" si="6"/>
        <v>交通便捷度</v>
      </c>
      <c r="R14" s="665" t="s">
        <v>14</v>
      </c>
      <c r="S14" s="666">
        <f t="shared" si="0"/>
        <v>100</v>
      </c>
      <c r="T14" s="665" t="s">
        <v>14</v>
      </c>
      <c r="U14" s="666">
        <f t="shared" si="1"/>
        <v>100</v>
      </c>
      <c r="V14" s="665" t="s">
        <v>14</v>
      </c>
      <c r="W14" s="666">
        <f t="shared" si="2"/>
        <v>100</v>
      </c>
      <c r="X14" s="1263"/>
      <c r="Y14" s="3371"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8"/>
      <c r="M15" s="2483"/>
      <c r="N15" s="2483"/>
      <c r="O15" s="2538"/>
      <c r="P15" s="3372"/>
      <c r="Q15" s="1261"/>
      <c r="R15" s="665"/>
      <c r="S15" s="666"/>
      <c r="T15" s="665"/>
      <c r="U15" s="666"/>
      <c r="V15" s="665"/>
      <c r="W15" s="666"/>
      <c r="X15" s="1263"/>
      <c r="Y15" s="3372"/>
      <c r="Z15" s="1262"/>
      <c r="AA15" s="1262">
        <v>1</v>
      </c>
      <c r="AB15" s="1262">
        <v>1</v>
      </c>
      <c r="AC15" s="1262">
        <v>1</v>
      </c>
    </row>
    <row r="16" spans="1:29" ht="15">
      <c r="A16" s="365"/>
      <c r="B16" s="388" t="s">
        <v>1812</v>
      </c>
      <c r="C16" s="1752">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88"/>
      <c r="M16" s="2483"/>
      <c r="N16" s="2483"/>
      <c r="O16" s="2538"/>
      <c r="P16" s="3372"/>
      <c r="Q16" s="1261" t="str">
        <f>B16</f>
        <v>公共配套设施</v>
      </c>
      <c r="R16" s="665" t="s">
        <v>14</v>
      </c>
      <c r="S16" s="666">
        <f>F16</f>
        <v>100</v>
      </c>
      <c r="T16" s="665" t="s">
        <v>14</v>
      </c>
      <c r="U16" s="666">
        <f>H16</f>
        <v>100</v>
      </c>
      <c r="V16" s="665" t="s">
        <v>14</v>
      </c>
      <c r="W16" s="666">
        <f>J16</f>
        <v>100</v>
      </c>
      <c r="X16" s="1263"/>
      <c r="Y16" s="3372"/>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8"/>
      <c r="M17" s="2483"/>
      <c r="N17" s="2483"/>
      <c r="O17" s="2538"/>
      <c r="P17" s="3372"/>
      <c r="Q17" s="1261"/>
      <c r="R17" s="665"/>
      <c r="S17" s="666"/>
      <c r="T17" s="665"/>
      <c r="U17" s="666"/>
      <c r="V17" s="665"/>
      <c r="W17" s="666"/>
      <c r="X17" s="1263"/>
      <c r="Y17" s="3372"/>
      <c r="Z17" s="1262"/>
      <c r="AA17" s="1262">
        <v>1</v>
      </c>
      <c r="AB17" s="1262">
        <v>1</v>
      </c>
      <c r="AC17" s="1262">
        <v>1</v>
      </c>
    </row>
    <row r="18" spans="1:29" ht="15">
      <c r="A18" s="365"/>
      <c r="B18" s="584" t="s">
        <v>1813</v>
      </c>
      <c r="C18" s="1752">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88"/>
      <c r="M18" s="2483"/>
      <c r="N18" s="2483"/>
      <c r="O18" s="2538"/>
      <c r="P18" s="3372"/>
      <c r="Q18" s="1261" t="str">
        <f>B18</f>
        <v>基础设施水平</v>
      </c>
      <c r="R18" s="665" t="s">
        <v>14</v>
      </c>
      <c r="S18" s="666">
        <f>F18</f>
        <v>100</v>
      </c>
      <c r="T18" s="665" t="s">
        <v>14</v>
      </c>
      <c r="U18" s="666">
        <f>H18</f>
        <v>100</v>
      </c>
      <c r="V18" s="665" t="s">
        <v>14</v>
      </c>
      <c r="W18" s="666">
        <f>J18</f>
        <v>100</v>
      </c>
      <c r="X18" s="1263"/>
      <c r="Y18" s="3372"/>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8"/>
      <c r="M19" s="2483"/>
      <c r="N19" s="2483"/>
      <c r="O19" s="2538"/>
      <c r="P19" s="3372"/>
      <c r="Q19" s="1261"/>
      <c r="R19" s="665"/>
      <c r="S19" s="666"/>
      <c r="T19" s="665"/>
      <c r="U19" s="666"/>
      <c r="V19" s="665"/>
      <c r="W19" s="666"/>
      <c r="X19" s="1263"/>
      <c r="Y19" s="3372"/>
      <c r="Z19" s="1262"/>
      <c r="AA19" s="1262">
        <v>1</v>
      </c>
      <c r="AB19" s="1262">
        <v>1</v>
      </c>
      <c r="AC19" s="1262">
        <v>1</v>
      </c>
    </row>
    <row r="20" spans="1:29" ht="15">
      <c r="A20" s="365"/>
      <c r="B20" s="388" t="s">
        <v>1834</v>
      </c>
      <c r="C20" s="1752">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88"/>
      <c r="M20" s="2483"/>
      <c r="N20" s="2483"/>
      <c r="O20" s="2538"/>
      <c r="P20" s="3372"/>
      <c r="Q20" s="1261" t="str">
        <f>B20</f>
        <v>自然及人文环境</v>
      </c>
      <c r="R20" s="665" t="s">
        <v>14</v>
      </c>
      <c r="S20" s="666">
        <f>F20</f>
        <v>100</v>
      </c>
      <c r="T20" s="665" t="s">
        <v>14</v>
      </c>
      <c r="U20" s="666">
        <f>H20</f>
        <v>100</v>
      </c>
      <c r="V20" s="665" t="s">
        <v>14</v>
      </c>
      <c r="W20" s="666">
        <f>J20</f>
        <v>100</v>
      </c>
      <c r="X20" s="1263"/>
      <c r="Y20" s="3372"/>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8"/>
      <c r="M21" s="2483"/>
      <c r="N21" s="2483"/>
      <c r="O21" s="2538"/>
      <c r="P21" s="3372"/>
      <c r="Q21" s="1261"/>
      <c r="R21" s="665"/>
      <c r="S21" s="666"/>
      <c r="T21" s="665"/>
      <c r="U21" s="666"/>
      <c r="V21" s="665"/>
      <c r="W21" s="666"/>
      <c r="X21" s="1263"/>
      <c r="Y21" s="3372"/>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8"/>
      <c r="M22" s="2483"/>
      <c r="N22" s="2483"/>
      <c r="O22" s="2538"/>
      <c r="P22" s="3372"/>
      <c r="Q22" s="1261" t="str">
        <f>B22</f>
        <v>楼层</v>
      </c>
      <c r="R22" s="665" t="s">
        <v>14</v>
      </c>
      <c r="S22" s="666">
        <f>F22</f>
        <v>100</v>
      </c>
      <c r="T22" s="665" t="s">
        <v>14</v>
      </c>
      <c r="U22" s="666">
        <f>H22</f>
        <v>100</v>
      </c>
      <c r="V22" s="665" t="s">
        <v>14</v>
      </c>
      <c r="W22" s="666">
        <f>J22</f>
        <v>100</v>
      </c>
      <c r="X22" s="1263"/>
      <c r="Y22" s="3372"/>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8"/>
      <c r="M23" s="2483"/>
      <c r="N23" s="2483"/>
      <c r="O23" s="2538"/>
      <c r="P23" s="3372"/>
      <c r="Q23" s="1261">
        <f>B23</f>
        <v>111</v>
      </c>
      <c r="R23" s="665" t="s">
        <v>14</v>
      </c>
      <c r="S23" s="666">
        <f>F23</f>
        <v>100</v>
      </c>
      <c r="T23" s="665" t="s">
        <v>14</v>
      </c>
      <c r="U23" s="666">
        <f>H23</f>
        <v>100</v>
      </c>
      <c r="V23" s="665" t="s">
        <v>14</v>
      </c>
      <c r="W23" s="666">
        <f>J23</f>
        <v>100</v>
      </c>
      <c r="X23" s="1263"/>
      <c r="Y23" s="3372"/>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8"/>
      <c r="M24" s="2483"/>
      <c r="N24" s="2483"/>
      <c r="O24" s="2538"/>
      <c r="P24" s="3372"/>
      <c r="Q24" s="1261">
        <f t="shared" ref="Q24:Q34" si="11">B24</f>
        <v>111</v>
      </c>
      <c r="R24" s="665" t="s">
        <v>14</v>
      </c>
      <c r="S24" s="666">
        <f>F24</f>
        <v>100</v>
      </c>
      <c r="T24" s="665" t="s">
        <v>14</v>
      </c>
      <c r="U24" s="666">
        <f>H24</f>
        <v>100</v>
      </c>
      <c r="V24" s="665" t="s">
        <v>14</v>
      </c>
      <c r="W24" s="666">
        <f>J24</f>
        <v>100</v>
      </c>
      <c r="X24" s="1263"/>
      <c r="Y24" s="3372"/>
      <c r="Z24" s="1262">
        <f>Q24</f>
        <v>111</v>
      </c>
      <c r="AA24" s="1262">
        <f t="shared" si="3"/>
        <v>1</v>
      </c>
      <c r="AB24" s="1262">
        <f t="shared" si="4"/>
        <v>1</v>
      </c>
      <c r="AC24" s="1262">
        <f t="shared" si="5"/>
        <v>1</v>
      </c>
    </row>
    <row r="25" spans="1:29" s="101" customFormat="1" ht="15.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4"/>
      <c r="M25" s="2436"/>
      <c r="N25" s="2436"/>
      <c r="O25" s="2536"/>
      <c r="P25" s="3372"/>
      <c r="Q25" s="528">
        <f t="shared" si="11"/>
        <v>111</v>
      </c>
      <c r="R25" s="662" t="s">
        <v>14</v>
      </c>
      <c r="S25" s="663">
        <f>F25</f>
        <v>100</v>
      </c>
      <c r="T25" s="662" t="s">
        <v>14</v>
      </c>
      <c r="U25" s="663">
        <f>H25</f>
        <v>100</v>
      </c>
      <c r="V25" s="662" t="s">
        <v>14</v>
      </c>
      <c r="W25" s="663">
        <f>J25</f>
        <v>100</v>
      </c>
      <c r="X25" s="664"/>
      <c r="Y25" s="3372"/>
      <c r="Z25" s="50">
        <f>Q25</f>
        <v>111</v>
      </c>
      <c r="AA25" s="1262">
        <f>D25/F25</f>
        <v>1</v>
      </c>
      <c r="AB25" s="1262">
        <f>D25/H25</f>
        <v>1</v>
      </c>
      <c r="AC25" s="1262">
        <f>D25/J25</f>
        <v>1</v>
      </c>
    </row>
    <row r="26" spans="1:29" ht="30">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8"/>
      <c r="M26" s="2483"/>
      <c r="N26" s="2483"/>
      <c r="O26" s="2538"/>
      <c r="P26" s="3388"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373"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7"/>
      <c r="M27" s="2489"/>
      <c r="N27" s="2489"/>
      <c r="O27" s="2539"/>
      <c r="P27" s="3373"/>
      <c r="Q27" s="529" t="str">
        <f t="shared" si="11"/>
        <v>成新率</v>
      </c>
      <c r="R27" s="667" t="s">
        <v>14</v>
      </c>
      <c r="S27" s="668" t="e">
        <f t="shared" si="12"/>
        <v>#N/A</v>
      </c>
      <c r="T27" s="667" t="s">
        <v>14</v>
      </c>
      <c r="U27" s="668" t="e">
        <f t="shared" si="13"/>
        <v>#N/A</v>
      </c>
      <c r="V27" s="667" t="s">
        <v>14</v>
      </c>
      <c r="W27" s="668" t="e">
        <f t="shared" si="14"/>
        <v>#N/A</v>
      </c>
      <c r="X27" s="669"/>
      <c r="Y27" s="3373"/>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8"/>
      <c r="M28" s="2483"/>
      <c r="N28" s="2483"/>
      <c r="O28" s="2538"/>
      <c r="P28" s="3373"/>
      <c r="Q28" s="1261" t="str">
        <f t="shared" si="11"/>
        <v>物业等级</v>
      </c>
      <c r="R28" s="665" t="s">
        <v>14</v>
      </c>
      <c r="S28" s="666">
        <f t="shared" si="12"/>
        <v>100</v>
      </c>
      <c r="T28" s="665" t="s">
        <v>14</v>
      </c>
      <c r="U28" s="666">
        <f t="shared" si="13"/>
        <v>100</v>
      </c>
      <c r="V28" s="665" t="s">
        <v>14</v>
      </c>
      <c r="W28" s="666">
        <f t="shared" si="14"/>
        <v>100</v>
      </c>
      <c r="X28" s="1263"/>
      <c r="Y28" s="3373"/>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8"/>
      <c r="M29" s="2483"/>
      <c r="N29" s="2483"/>
      <c r="O29" s="2538"/>
      <c r="P29" s="3373"/>
      <c r="Q29" s="1261" t="str">
        <f t="shared" si="11"/>
        <v>有无电梯</v>
      </c>
      <c r="R29" s="665" t="s">
        <v>14</v>
      </c>
      <c r="S29" s="666">
        <f t="shared" si="12"/>
        <v>100</v>
      </c>
      <c r="T29" s="665" t="s">
        <v>14</v>
      </c>
      <c r="U29" s="666">
        <f t="shared" si="13"/>
        <v>100</v>
      </c>
      <c r="V29" s="665" t="s">
        <v>14</v>
      </c>
      <c r="W29" s="666">
        <f t="shared" si="14"/>
        <v>100</v>
      </c>
      <c r="X29" s="1263"/>
      <c r="Y29" s="3373"/>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8"/>
      <c r="M30" s="2483"/>
      <c r="N30" s="2483"/>
      <c r="O30" s="2538"/>
      <c r="P30" s="3373"/>
      <c r="Q30" s="1261" t="str">
        <f t="shared" si="11"/>
        <v>建筑面积</v>
      </c>
      <c r="R30" s="665" t="s">
        <v>14</v>
      </c>
      <c r="S30" s="666" t="e">
        <f t="shared" si="12"/>
        <v>#N/A</v>
      </c>
      <c r="T30" s="665" t="s">
        <v>14</v>
      </c>
      <c r="U30" s="666" t="e">
        <f t="shared" si="13"/>
        <v>#N/A</v>
      </c>
      <c r="V30" s="665" t="s">
        <v>14</v>
      </c>
      <c r="W30" s="666" t="e">
        <f t="shared" si="14"/>
        <v>#N/A</v>
      </c>
      <c r="X30" s="1263"/>
      <c r="Y30" s="3373"/>
      <c r="Z30" s="1262" t="str">
        <f t="shared" si="15"/>
        <v>建筑面积</v>
      </c>
      <c r="AA30" s="1262" t="e">
        <f t="shared" si="3"/>
        <v>#N/A</v>
      </c>
      <c r="AB30" s="1262" t="e">
        <f t="shared" si="4"/>
        <v>#N/A</v>
      </c>
      <c r="AC30" s="1262"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4"/>
      <c r="M31" s="2436"/>
      <c r="N31" s="2436"/>
      <c r="O31" s="2536"/>
      <c r="P31" s="3373"/>
      <c r="Q31" s="528" t="str">
        <f t="shared" si="11"/>
        <v>是否封闭</v>
      </c>
      <c r="R31" s="662" t="s">
        <v>14</v>
      </c>
      <c r="S31" s="663">
        <f t="shared" si="12"/>
        <v>100</v>
      </c>
      <c r="T31" s="662" t="s">
        <v>14</v>
      </c>
      <c r="U31" s="663">
        <f t="shared" si="13"/>
        <v>100</v>
      </c>
      <c r="V31" s="662" t="s">
        <v>14</v>
      </c>
      <c r="W31" s="663">
        <f t="shared" si="14"/>
        <v>100</v>
      </c>
      <c r="X31" s="664"/>
      <c r="Y31" s="3373"/>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8"/>
      <c r="M32" s="2483"/>
      <c r="N32" s="2483"/>
      <c r="O32" s="2538"/>
      <c r="P32" s="3373" t="s">
        <v>1696</v>
      </c>
      <c r="Q32" s="1261">
        <f t="shared" si="11"/>
        <v>111</v>
      </c>
      <c r="R32" s="665" t="s">
        <v>14</v>
      </c>
      <c r="S32" s="666">
        <f t="shared" si="12"/>
        <v>100</v>
      </c>
      <c r="T32" s="665" t="s">
        <v>14</v>
      </c>
      <c r="U32" s="666">
        <f t="shared" si="13"/>
        <v>100</v>
      </c>
      <c r="V32" s="665" t="s">
        <v>14</v>
      </c>
      <c r="W32" s="666">
        <f t="shared" si="14"/>
        <v>100</v>
      </c>
      <c r="X32" s="1263"/>
      <c r="Y32" s="3373"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8"/>
      <c r="M33" s="2483"/>
      <c r="N33" s="2483"/>
      <c r="O33" s="2538"/>
      <c r="P33" s="3373"/>
      <c r="Q33" s="1261">
        <f t="shared" si="11"/>
        <v>111</v>
      </c>
      <c r="R33" s="665" t="s">
        <v>14</v>
      </c>
      <c r="S33" s="666">
        <f t="shared" si="12"/>
        <v>100</v>
      </c>
      <c r="T33" s="665" t="s">
        <v>14</v>
      </c>
      <c r="U33" s="666">
        <f t="shared" si="13"/>
        <v>100</v>
      </c>
      <c r="V33" s="665" t="s">
        <v>14</v>
      </c>
      <c r="W33" s="666">
        <f t="shared" si="14"/>
        <v>100</v>
      </c>
      <c r="X33" s="1263"/>
      <c r="Y33" s="3373"/>
      <c r="Z33" s="1262">
        <f t="shared" si="15"/>
        <v>111</v>
      </c>
      <c r="AA33" s="1262">
        <f t="shared" si="3"/>
        <v>1</v>
      </c>
      <c r="AB33" s="1262">
        <f t="shared" si="4"/>
        <v>1</v>
      </c>
      <c r="AC33" s="1262">
        <f t="shared" si="5"/>
        <v>1</v>
      </c>
    </row>
    <row r="34" spans="1:30" ht="15.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8"/>
      <c r="M34" s="2483"/>
      <c r="N34" s="2483"/>
      <c r="O34" s="2538"/>
      <c r="P34" s="3373"/>
      <c r="Q34" s="1261">
        <f t="shared" si="11"/>
        <v>111</v>
      </c>
      <c r="R34" s="665" t="s">
        <v>14</v>
      </c>
      <c r="S34" s="666">
        <f t="shared" si="12"/>
        <v>100</v>
      </c>
      <c r="T34" s="665" t="s">
        <v>14</v>
      </c>
      <c r="U34" s="666">
        <f t="shared" si="13"/>
        <v>100</v>
      </c>
      <c r="V34" s="665" t="s">
        <v>14</v>
      </c>
      <c r="W34" s="666">
        <f t="shared" si="14"/>
        <v>100</v>
      </c>
      <c r="X34" s="1263"/>
      <c r="Y34" s="3373"/>
      <c r="Z34" s="1262">
        <f t="shared" si="15"/>
        <v>111</v>
      </c>
      <c r="AA34" s="1262">
        <f t="shared" si="3"/>
        <v>1</v>
      </c>
      <c r="AB34" s="1262">
        <f t="shared" si="4"/>
        <v>1</v>
      </c>
      <c r="AC34" s="1262">
        <f t="shared" si="5"/>
        <v>1</v>
      </c>
    </row>
    <row r="35" spans="1:30" ht="14.4">
      <c r="A35" s="414" t="s">
        <v>1708</v>
      </c>
      <c r="B35" s="415"/>
      <c r="C35" s="1079" t="s">
        <v>0</v>
      </c>
      <c r="D35" s="416"/>
      <c r="E35" s="417"/>
      <c r="F35" s="418"/>
      <c r="G35" s="419"/>
      <c r="H35" s="420"/>
      <c r="I35" s="417"/>
      <c r="J35" s="420"/>
      <c r="K35" s="672"/>
      <c r="L35" s="2490"/>
      <c r="M35" s="2483"/>
      <c r="N35" s="2483"/>
      <c r="O35" s="2483"/>
      <c r="P35" s="3354" t="str">
        <f>A35</f>
        <v>成交单价（元/平方米）</v>
      </c>
      <c r="Q35" s="3354"/>
      <c r="R35" s="3370">
        <f>E35</f>
        <v>0</v>
      </c>
      <c r="S35" s="3370"/>
      <c r="T35" s="3370">
        <f>G35</f>
        <v>0</v>
      </c>
      <c r="U35" s="3370"/>
      <c r="V35" s="3370">
        <f>I35</f>
        <v>0</v>
      </c>
      <c r="W35" s="3370"/>
      <c r="X35" s="383"/>
      <c r="Y35" s="671"/>
      <c r="Z35" s="383"/>
      <c r="AA35" s="383"/>
      <c r="AB35" s="383"/>
      <c r="AC35" s="383"/>
    </row>
    <row r="36" spans="1:30" ht="15" thickBot="1">
      <c r="A36" s="421" t="s">
        <v>1793</v>
      </c>
      <c r="B36" s="422"/>
      <c r="C36" s="1080" t="e">
        <f>R37</f>
        <v>#DIV/0!</v>
      </c>
      <c r="D36" s="2139" t="s">
        <v>2137</v>
      </c>
      <c r="E36" s="1081" t="e">
        <f>R36</f>
        <v>#DIV/0!</v>
      </c>
      <c r="F36" s="2140"/>
      <c r="G36" s="1080" t="e">
        <f>T36</f>
        <v>#DIV/0!</v>
      </c>
      <c r="H36" s="2140"/>
      <c r="I36" s="1081" t="e">
        <f>V36</f>
        <v>#DIV/0!</v>
      </c>
      <c r="J36" s="2140"/>
      <c r="K36" s="2142">
        <f>F36+H36+J36</f>
        <v>0</v>
      </c>
      <c r="L36" s="2490"/>
      <c r="M36" s="2483"/>
      <c r="N36" s="2483"/>
      <c r="O36" s="2483"/>
      <c r="P36" s="3354" t="str">
        <f>A36</f>
        <v>比较价值（元/平方米）</v>
      </c>
      <c r="Q36" s="3354"/>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90"/>
      <c r="M37" s="2483"/>
      <c r="N37" s="2483"/>
      <c r="O37" s="2483"/>
      <c r="P37" s="3389" t="str">
        <f>A37</f>
        <v>估价对象XX用房的比较价值（楼面单价，元/平方米）</v>
      </c>
      <c r="Q37" s="3390"/>
      <c r="R37" s="3448" t="e">
        <f>IF(F1="售价",ROUND(IF(D36="简单平均",AVERAGE(R36:W36),R36*F36+T36*H36+V36*J36),0),ROUND(IF(D36="简单平均",AVERAGE(R36:V36),R36*F36+T36*H36+V36*J36),1))</f>
        <v>#DIV/0!</v>
      </c>
      <c r="S37" s="3448"/>
      <c r="T37" s="3448"/>
      <c r="U37" s="3448"/>
      <c r="V37" s="3448"/>
      <c r="W37" s="3448"/>
      <c r="X37" s="383"/>
      <c r="Y37" s="383"/>
      <c r="Z37" s="383"/>
      <c r="AA37" s="383"/>
      <c r="AB37" s="383"/>
      <c r="AC37" s="383"/>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6" t="s">
        <v>1798</v>
      </c>
      <c r="B45" s="383"/>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4.4">
      <c r="A46" s="438" t="s">
        <v>1679</v>
      </c>
      <c r="B46" s="439"/>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6"/>
      <c r="Q46" s="2506"/>
      <c r="R46" s="2506"/>
      <c r="S46" s="2506"/>
      <c r="T46" s="2506"/>
      <c r="U46" s="2506"/>
      <c r="V46" s="2506"/>
      <c r="W46" s="2506"/>
      <c r="X46" s="2506"/>
      <c r="Y46" s="2506"/>
      <c r="Z46" s="2506"/>
      <c r="AA46" s="2506"/>
      <c r="AB46" s="2506"/>
      <c r="AC46" s="2506"/>
      <c r="AD46" s="2506"/>
    </row>
    <row r="47" spans="1:30" s="101" customFormat="1">
      <c r="A47" s="441"/>
      <c r="B47" s="442"/>
      <c r="C47" s="1100">
        <v>100</v>
      </c>
      <c r="D47" s="444"/>
      <c r="E47" s="444"/>
      <c r="F47" s="444"/>
      <c r="G47" s="444"/>
      <c r="H47" s="444"/>
      <c r="I47" s="444"/>
      <c r="J47" s="444"/>
      <c r="K47" s="444"/>
      <c r="L47" s="444"/>
      <c r="M47" s="445"/>
      <c r="N47" s="444"/>
      <c r="O47" s="446"/>
      <c r="P47" s="2504"/>
      <c r="Q47" s="2436"/>
      <c r="R47" s="2436"/>
      <c r="S47" s="2436"/>
      <c r="T47" s="2436"/>
      <c r="U47" s="2436"/>
      <c r="V47" s="2436"/>
      <c r="W47" s="2436"/>
      <c r="X47" s="2436"/>
      <c r="Y47" s="2436"/>
      <c r="Z47" s="2436"/>
      <c r="AA47" s="2436"/>
      <c r="AB47" s="2436"/>
      <c r="AC47" s="2436"/>
      <c r="AD47" s="2436"/>
    </row>
    <row r="48" spans="1:30" s="101" customFormat="1" ht="15" thickBot="1">
      <c r="A48" s="447" t="s">
        <v>1716</v>
      </c>
      <c r="B48" s="448"/>
      <c r="C48" s="449"/>
      <c r="D48" s="450"/>
      <c r="E48" s="450"/>
      <c r="F48" s="450"/>
      <c r="G48" s="450"/>
      <c r="H48" s="450"/>
      <c r="I48" s="450"/>
      <c r="J48" s="450"/>
      <c r="K48" s="450"/>
      <c r="L48" s="450"/>
      <c r="M48" s="451"/>
      <c r="N48" s="450"/>
      <c r="O48" s="452"/>
      <c r="P48" s="2504"/>
      <c r="Q48" s="2504"/>
      <c r="R48" s="2436"/>
      <c r="S48" s="2436"/>
      <c r="T48" s="2436"/>
      <c r="U48" s="2436"/>
      <c r="V48" s="2436"/>
      <c r="W48" s="2436"/>
      <c r="X48" s="2436"/>
      <c r="Y48" s="2436"/>
      <c r="Z48" s="2436"/>
      <c r="AA48" s="2436"/>
      <c r="AB48" s="2436"/>
      <c r="AC48" s="2436"/>
      <c r="AD48" s="2436"/>
    </row>
    <row r="49" spans="1:30" s="101" customFormat="1" ht="14.4">
      <c r="A49" s="453" t="s">
        <v>1681</v>
      </c>
      <c r="B49" s="442"/>
      <c r="C49" s="454" t="s">
        <v>1776</v>
      </c>
      <c r="D49" s="31"/>
      <c r="E49" s="31"/>
      <c r="F49" s="31"/>
      <c r="G49" s="31"/>
      <c r="H49" s="31"/>
      <c r="I49" s="31"/>
      <c r="J49" s="31"/>
      <c r="K49" s="31"/>
      <c r="L49" s="455"/>
      <c r="M49" s="456"/>
      <c r="N49" s="2516"/>
      <c r="O49" s="2516"/>
      <c r="P49" s="2540"/>
      <c r="Q49" s="2504"/>
      <c r="R49" s="2436"/>
      <c r="S49" s="2436"/>
      <c r="T49" s="2436"/>
      <c r="U49" s="2436"/>
      <c r="V49" s="2436"/>
      <c r="W49" s="2436"/>
      <c r="X49" s="2436"/>
      <c r="Y49" s="2436"/>
      <c r="Z49" s="2436"/>
      <c r="AA49" s="2436"/>
      <c r="AB49" s="2436"/>
      <c r="AC49" s="2436"/>
      <c r="AD49" s="2436"/>
    </row>
    <row r="50" spans="1:30" s="101" customFormat="1" ht="14.4" thickBot="1">
      <c r="A50" s="453"/>
      <c r="B50" s="442"/>
      <c r="C50" s="561">
        <v>100</v>
      </c>
      <c r="D50" s="444"/>
      <c r="E50" s="444"/>
      <c r="F50" s="444"/>
      <c r="G50" s="444"/>
      <c r="H50" s="444"/>
      <c r="I50" s="444"/>
      <c r="J50" s="444"/>
      <c r="K50" s="444"/>
      <c r="L50" s="444"/>
      <c r="M50" s="446"/>
      <c r="N50" s="2516"/>
      <c r="O50" s="2516"/>
      <c r="P50" s="2504"/>
      <c r="Q50" s="2504"/>
      <c r="R50" s="2436"/>
      <c r="S50" s="2436"/>
      <c r="T50" s="2436"/>
      <c r="U50" s="2436"/>
      <c r="V50" s="2436"/>
      <c r="W50" s="2436"/>
      <c r="X50" s="2436"/>
      <c r="Y50" s="2436"/>
      <c r="Z50" s="2436"/>
      <c r="AA50" s="2436"/>
      <c r="AB50" s="2436"/>
      <c r="AC50" s="2436"/>
      <c r="AD50" s="2436"/>
    </row>
    <row r="51" spans="1:30" ht="14.4">
      <c r="A51" s="377" t="s">
        <v>1719</v>
      </c>
      <c r="B51" s="458" t="s">
        <v>1685</v>
      </c>
      <c r="C51" s="459">
        <f>C9</f>
        <v>0</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4.4" thickBot="1">
      <c r="A52" s="365"/>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9.4" thickTop="1">
      <c r="A53" s="365"/>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4.4" thickBot="1">
      <c r="A54" s="365"/>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4.4" thickTop="1">
      <c r="A55" s="365"/>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4.4" thickBot="1">
      <c r="A56" s="365"/>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6" customFormat="1" ht="14.4"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6" customFormat="1" ht="14.4"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6" customFormat="1" ht="14.4"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6" customFormat="1" ht="14.4"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9.4" thickTop="1">
      <c r="A63" s="365"/>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 thickTop="1">
      <c r="A65" s="365"/>
      <c r="B65" s="475" t="s">
        <v>1813</v>
      </c>
      <c r="C65" s="579" t="s">
        <v>1799</v>
      </c>
      <c r="D65" s="579" t="s">
        <v>1800</v>
      </c>
      <c r="E65" s="579" t="s">
        <v>1801</v>
      </c>
      <c r="F65" s="579" t="s">
        <v>1802</v>
      </c>
      <c r="G65" s="579" t="s">
        <v>1803</v>
      </c>
      <c r="H65" s="468"/>
      <c r="I65" s="468"/>
      <c r="J65" s="468"/>
      <c r="K65" s="468"/>
      <c r="L65" s="468"/>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8"/>
      <c r="O66" s="2518"/>
      <c r="P66" s="2516"/>
      <c r="Q66" s="2504"/>
      <c r="R66" s="2483"/>
      <c r="S66" s="2483"/>
      <c r="T66" s="2483"/>
      <c r="U66" s="2483"/>
      <c r="V66" s="2483"/>
      <c r="W66" s="2483"/>
      <c r="X66" s="2483"/>
      <c r="Y66" s="2483"/>
      <c r="Z66" s="2483"/>
      <c r="AA66" s="2483"/>
      <c r="AB66" s="2483"/>
      <c r="AC66" s="2483"/>
      <c r="AD66" s="2483"/>
    </row>
    <row r="67" spans="1:30" ht="15" thickTop="1">
      <c r="A67" s="365"/>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 thickTop="1">
      <c r="A69" s="365"/>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4.4" thickBot="1">
      <c r="A70" s="365"/>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1" customFormat="1" ht="14.4" thickTop="1">
      <c r="A71" s="368"/>
      <c r="B71" s="467">
        <f>B23</f>
        <v>111</v>
      </c>
      <c r="C71" s="478"/>
      <c r="D71" s="478"/>
      <c r="E71" s="478"/>
      <c r="F71" s="478"/>
      <c r="G71" s="483"/>
      <c r="H71" s="483"/>
      <c r="I71" s="483"/>
      <c r="J71" s="483"/>
      <c r="K71" s="483"/>
      <c r="L71" s="508"/>
      <c r="M71" s="509"/>
      <c r="N71" s="2516"/>
      <c r="O71" s="2516"/>
      <c r="P71" s="2516"/>
      <c r="Q71" s="2504"/>
      <c r="R71" s="2436"/>
      <c r="S71" s="2436"/>
      <c r="T71" s="2436"/>
      <c r="U71" s="2436"/>
      <c r="V71" s="2436"/>
      <c r="W71" s="2436"/>
      <c r="X71" s="2436"/>
      <c r="Y71" s="2436"/>
      <c r="Z71" s="2436"/>
      <c r="AA71" s="2436"/>
      <c r="AB71" s="2436"/>
      <c r="AC71" s="2436"/>
      <c r="AD71" s="2436"/>
    </row>
    <row r="72" spans="1:30" s="101" customFormat="1" ht="14.4" thickBot="1">
      <c r="A72" s="368"/>
      <c r="B72" s="472"/>
      <c r="C72" s="489"/>
      <c r="D72" s="465"/>
      <c r="E72" s="465"/>
      <c r="F72" s="465"/>
      <c r="G72" s="465"/>
      <c r="H72" s="465"/>
      <c r="I72" s="465"/>
      <c r="J72" s="465"/>
      <c r="K72" s="465"/>
      <c r="L72" s="465"/>
      <c r="M72" s="466"/>
      <c r="N72" s="2518"/>
      <c r="O72" s="2518"/>
      <c r="P72" s="2516"/>
      <c r="Q72" s="2504"/>
      <c r="R72" s="2436"/>
      <c r="S72" s="2436"/>
      <c r="T72" s="2436"/>
      <c r="U72" s="2436"/>
      <c r="V72" s="2436"/>
      <c r="W72" s="2436"/>
      <c r="X72" s="2436"/>
      <c r="Y72" s="2436"/>
      <c r="Z72" s="2436"/>
      <c r="AA72" s="2436"/>
      <c r="AB72" s="2436"/>
      <c r="AC72" s="2436"/>
      <c r="AD72" s="2436"/>
    </row>
    <row r="73" spans="1:30" s="101" customFormat="1" ht="14.4" thickTop="1">
      <c r="A73" s="368"/>
      <c r="B73" s="467">
        <f>B24</f>
        <v>111</v>
      </c>
      <c r="C73" s="478"/>
      <c r="D73" s="478"/>
      <c r="E73" s="478"/>
      <c r="F73" s="478"/>
      <c r="G73" s="483"/>
      <c r="H73" s="483"/>
      <c r="I73" s="483"/>
      <c r="J73" s="483"/>
      <c r="K73" s="483"/>
      <c r="L73" s="483"/>
      <c r="M73" s="509"/>
      <c r="N73" s="2516"/>
      <c r="O73" s="2516"/>
      <c r="P73" s="2516"/>
      <c r="Q73" s="2504"/>
      <c r="R73" s="2436"/>
      <c r="S73" s="2436"/>
      <c r="T73" s="2436"/>
      <c r="U73" s="2436"/>
      <c r="V73" s="2436"/>
      <c r="W73" s="2436"/>
      <c r="X73" s="2436"/>
      <c r="Y73" s="2436"/>
      <c r="Z73" s="2436"/>
      <c r="AA73" s="2436"/>
      <c r="AB73" s="2436"/>
      <c r="AC73" s="2436"/>
      <c r="AD73" s="2436"/>
    </row>
    <row r="74" spans="1:30" s="101" customFormat="1" ht="14.4" thickBot="1">
      <c r="A74" s="368"/>
      <c r="B74" s="472"/>
      <c r="C74" s="489"/>
      <c r="D74" s="465"/>
      <c r="E74" s="465"/>
      <c r="F74" s="465"/>
      <c r="G74" s="465"/>
      <c r="H74" s="465"/>
      <c r="I74" s="465"/>
      <c r="J74" s="465"/>
      <c r="K74" s="465"/>
      <c r="L74" s="465"/>
      <c r="M74" s="466"/>
      <c r="N74" s="2518"/>
      <c r="O74" s="2518"/>
      <c r="P74" s="2516"/>
      <c r="Q74" s="2504"/>
      <c r="R74" s="2436"/>
      <c r="S74" s="2436"/>
      <c r="T74" s="2436"/>
      <c r="U74" s="2436"/>
      <c r="V74" s="2436"/>
      <c r="W74" s="2436"/>
      <c r="X74" s="2436"/>
      <c r="Y74" s="2436"/>
      <c r="Z74" s="2436"/>
      <c r="AA74" s="2436"/>
      <c r="AB74" s="2436"/>
      <c r="AC74" s="2436"/>
      <c r="AD74" s="2436"/>
    </row>
    <row r="75" spans="1:30" s="406" customFormat="1" ht="14.4"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6" customFormat="1" ht="14.4"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7"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c r="A80" s="365"/>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7"/>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7"/>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7"/>
      <c r="B87" s="475"/>
      <c r="C87" s="6"/>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4.4" thickBot="1">
      <c r="A88" s="365"/>
      <c r="B88" s="472"/>
      <c r="C88" s="489"/>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6" customFormat="1" ht="15" thickTop="1">
      <c r="A89" s="404"/>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6" customFormat="1" ht="14.4"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4.4" thickTop="1">
      <c r="A91" s="407"/>
      <c r="B91" s="467">
        <f>B32</f>
        <v>111</v>
      </c>
      <c r="C91" s="478"/>
      <c r="D91" s="478"/>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4.4" thickBot="1">
      <c r="A92" s="365"/>
      <c r="B92" s="472"/>
      <c r="C92" s="489"/>
      <c r="D92" s="465"/>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4.4" thickTop="1">
      <c r="A93" s="407"/>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4.4" thickBot="1">
      <c r="A94" s="365"/>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4.4" thickTop="1">
      <c r="A95" s="407"/>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4.4" thickBot="1">
      <c r="A96" s="365"/>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c r="A5" s="346"/>
      <c r="B5" s="347"/>
      <c r="C5" s="3361" t="s">
        <v>1673</v>
      </c>
      <c r="D5" s="3362"/>
      <c r="E5" s="3386" t="s">
        <v>1674</v>
      </c>
      <c r="F5" s="3387"/>
      <c r="G5" s="3361" t="s">
        <v>1675</v>
      </c>
      <c r="H5" s="3362"/>
      <c r="I5" s="3361" t="s">
        <v>1676</v>
      </c>
      <c r="J5" s="3362"/>
      <c r="K5" s="535"/>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384"/>
      <c r="Q6" s="3385"/>
      <c r="R6" s="3359"/>
      <c r="S6" s="3360"/>
      <c r="T6" s="3368"/>
      <c r="U6" s="3369"/>
      <c r="V6" s="3370"/>
      <c r="W6" s="3370"/>
      <c r="X6" s="1263"/>
      <c r="Y6" s="3368"/>
      <c r="Z6" s="3369"/>
      <c r="AA6" s="3376"/>
      <c r="AB6" s="3376"/>
      <c r="AC6" s="3376"/>
    </row>
    <row r="7" spans="1:29" s="101" customFormat="1" ht="15" thickBot="1">
      <c r="A7" s="350" t="s">
        <v>1679</v>
      </c>
      <c r="B7" s="351"/>
      <c r="C7" s="352">
        <f>'数据-取费表'!B2</f>
        <v>45649</v>
      </c>
      <c r="D7" s="353">
        <v>100</v>
      </c>
      <c r="E7" s="354"/>
      <c r="F7" s="355">
        <f>SUMIF(69:69,YEAR(E7)&amp;"-"&amp;INT((MONTH(E7)+2)/3),70:70)</f>
        <v>0</v>
      </c>
      <c r="G7" s="1820"/>
      <c r="H7" s="353">
        <f>SUMIF(69:69,YEAR(G7)&amp;"-"&amp;INT((MONTH(G7)+2)/3),70:70)</f>
        <v>0</v>
      </c>
      <c r="I7" s="1820"/>
      <c r="J7" s="353">
        <f>SUMIF(69:69,YEAR(I7)&amp;"-"&amp;INT((MONTH(I7)+2)/3),70:70)</f>
        <v>0</v>
      </c>
      <c r="K7" s="38"/>
      <c r="L7" s="2484"/>
      <c r="M7" s="2436"/>
      <c r="N7" s="2436"/>
      <c r="O7" s="2436"/>
      <c r="P7" s="3355" t="s">
        <v>1680</v>
      </c>
      <c r="Q7" s="3365"/>
      <c r="R7" s="662" t="s">
        <v>14</v>
      </c>
      <c r="S7" s="663">
        <f t="shared" ref="S7:S15" si="0">F7</f>
        <v>0</v>
      </c>
      <c r="T7" s="662" t="s">
        <v>14</v>
      </c>
      <c r="U7" s="663">
        <f t="shared" ref="U7:U15" si="1">H7</f>
        <v>0</v>
      </c>
      <c r="V7" s="662" t="s">
        <v>14</v>
      </c>
      <c r="W7" s="663">
        <f t="shared" ref="W7:W15" si="2">J7</f>
        <v>0</v>
      </c>
      <c r="X7" s="664"/>
      <c r="Y7" s="3355" t="s">
        <v>1680</v>
      </c>
      <c r="Z7" s="3356"/>
      <c r="AA7" s="50" t="e">
        <f>D7/F7</f>
        <v>#DIV/0!</v>
      </c>
      <c r="AB7" s="50" t="e">
        <f>D7/H7</f>
        <v>#DIV/0!</v>
      </c>
      <c r="AC7" s="50" t="e">
        <f>D7/J7</f>
        <v>#DIV/0!</v>
      </c>
    </row>
    <row r="8" spans="1:29" s="101"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4"/>
      <c r="M8" s="2436"/>
      <c r="N8" s="2436"/>
      <c r="O8" s="2436"/>
      <c r="P8" s="3355" t="s">
        <v>1683</v>
      </c>
      <c r="Q8" s="3356"/>
      <c r="R8" s="662" t="s">
        <v>14</v>
      </c>
      <c r="S8" s="663">
        <f t="shared" si="0"/>
        <v>0</v>
      </c>
      <c r="T8" s="662" t="s">
        <v>14</v>
      </c>
      <c r="U8" s="663">
        <f t="shared" si="1"/>
        <v>0</v>
      </c>
      <c r="V8" s="662" t="s">
        <v>14</v>
      </c>
      <c r="W8" s="663">
        <f t="shared" si="2"/>
        <v>0</v>
      </c>
      <c r="X8" s="664"/>
      <c r="Y8" s="3355" t="s">
        <v>1683</v>
      </c>
      <c r="Z8" s="3356"/>
      <c r="AA8" s="50" t="e">
        <f t="shared" ref="AA8:AA45" si="3">D8/F8</f>
        <v>#DIV/0!</v>
      </c>
      <c r="AB8" s="50" t="e">
        <f t="shared" ref="AB8:AB45" si="4">D8/H8</f>
        <v>#DIV/0!</v>
      </c>
      <c r="AC8" s="50" t="e">
        <f t="shared" ref="AC8:AC45" si="5">D8/J8</f>
        <v>#DIV/0!</v>
      </c>
    </row>
    <row r="9" spans="1:29" s="101" customFormat="1" ht="14.4">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354"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102</v>
      </c>
      <c r="G10" s="400"/>
      <c r="H10" s="117">
        <f>ROUND(100/'数据-取费表'!G16,0)</f>
        <v>102</v>
      </c>
      <c r="I10" s="400"/>
      <c r="J10" s="117">
        <f>ROUND(100/'数据-取费表'!G16,0)</f>
        <v>102</v>
      </c>
      <c r="K10" s="590"/>
      <c r="L10" s="2485"/>
      <c r="M10" s="2486"/>
      <c r="N10" s="2486"/>
      <c r="O10" s="2537"/>
      <c r="P10" s="3354"/>
      <c r="Q10" s="528" t="str">
        <f t="shared" si="6"/>
        <v>土地使用年限（年）</v>
      </c>
      <c r="R10" s="662" t="s">
        <v>14</v>
      </c>
      <c r="S10" s="663">
        <f t="shared" si="0"/>
        <v>102</v>
      </c>
      <c r="T10" s="662" t="s">
        <v>14</v>
      </c>
      <c r="U10" s="663">
        <f t="shared" si="1"/>
        <v>102</v>
      </c>
      <c r="V10" s="662" t="s">
        <v>14</v>
      </c>
      <c r="W10" s="663">
        <f t="shared" si="2"/>
        <v>102</v>
      </c>
      <c r="X10" s="664"/>
      <c r="Y10" s="3258"/>
      <c r="Z10" s="50" t="str">
        <f t="shared" si="7"/>
        <v>土地使用年限（年）</v>
      </c>
      <c r="AA10" s="50">
        <f t="shared" si="3"/>
        <v>0.98039215686274506</v>
      </c>
      <c r="AB10" s="50">
        <f t="shared" si="4"/>
        <v>0.98039215686274506</v>
      </c>
      <c r="AC10" s="50">
        <f t="shared" si="5"/>
        <v>0.98039215686274506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7"/>
      <c r="M11" s="2483"/>
      <c r="N11" s="2483"/>
      <c r="O11" s="2538"/>
      <c r="P11" s="3354"/>
      <c r="Q11" s="528" t="str">
        <f t="shared" si="6"/>
        <v>容积率</v>
      </c>
      <c r="R11" s="662" t="s">
        <v>14</v>
      </c>
      <c r="S11" s="663" t="e">
        <f t="shared" si="0"/>
        <v>#N/A</v>
      </c>
      <c r="T11" s="662" t="s">
        <v>14</v>
      </c>
      <c r="U11" s="663" t="e">
        <f t="shared" si="1"/>
        <v>#N/A</v>
      </c>
      <c r="V11" s="662" t="s">
        <v>14</v>
      </c>
      <c r="W11" s="663" t="e">
        <f t="shared" si="2"/>
        <v>#N/A</v>
      </c>
      <c r="X11" s="664"/>
      <c r="Y11" s="3258"/>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4"/>
      <c r="M12" s="2436"/>
      <c r="N12" s="2436"/>
      <c r="O12" s="2536"/>
      <c r="P12" s="3354"/>
      <c r="Q12" s="528" t="str">
        <f t="shared" si="6"/>
        <v>配建</v>
      </c>
      <c r="R12" s="662" t="s">
        <v>14</v>
      </c>
      <c r="S12" s="663">
        <f t="shared" si="0"/>
        <v>100</v>
      </c>
      <c r="T12" s="662" t="s">
        <v>14</v>
      </c>
      <c r="U12" s="663">
        <f t="shared" si="1"/>
        <v>100</v>
      </c>
      <c r="V12" s="662" t="s">
        <v>14</v>
      </c>
      <c r="W12" s="663">
        <f t="shared" si="2"/>
        <v>100</v>
      </c>
      <c r="X12" s="664"/>
      <c r="Y12" s="3258"/>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8"/>
      <c r="M13" s="2483"/>
      <c r="N13" s="2483"/>
      <c r="O13" s="2538"/>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D13/F13</f>
        <v>1</v>
      </c>
      <c r="AB13" s="50">
        <f>D13/H13</f>
        <v>1</v>
      </c>
      <c r="AC13" s="50">
        <f>D13/J13</f>
        <v>1</v>
      </c>
    </row>
    <row r="14" spans="1:29" ht="15.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8"/>
      <c r="M14" s="2483"/>
      <c r="N14" s="2483"/>
      <c r="O14" s="2538"/>
      <c r="P14" s="3354"/>
      <c r="Q14" s="528">
        <f t="shared" si="6"/>
        <v>111</v>
      </c>
      <c r="R14" s="662" t="s">
        <v>14</v>
      </c>
      <c r="S14" s="663">
        <f t="shared" si="0"/>
        <v>100</v>
      </c>
      <c r="T14" s="662" t="s">
        <v>14</v>
      </c>
      <c r="U14" s="663">
        <f t="shared" si="1"/>
        <v>100</v>
      </c>
      <c r="V14" s="662" t="s">
        <v>14</v>
      </c>
      <c r="W14" s="663">
        <f t="shared" si="2"/>
        <v>100</v>
      </c>
      <c r="X14" s="664"/>
      <c r="Y14" s="3258"/>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8"/>
      <c r="M15" s="2483"/>
      <c r="N15" s="2483"/>
      <c r="O15" s="2538"/>
      <c r="P15" s="3371" t="s">
        <v>1691</v>
      </c>
      <c r="Q15" s="1261" t="str">
        <f t="shared" si="6"/>
        <v>居住社区成熟度</v>
      </c>
      <c r="R15" s="665" t="s">
        <v>14</v>
      </c>
      <c r="S15" s="666">
        <f t="shared" si="0"/>
        <v>100</v>
      </c>
      <c r="T15" s="665" t="s">
        <v>14</v>
      </c>
      <c r="U15" s="666">
        <f t="shared" si="1"/>
        <v>100</v>
      </c>
      <c r="V15" s="665" t="s">
        <v>14</v>
      </c>
      <c r="W15" s="666">
        <f t="shared" si="2"/>
        <v>100</v>
      </c>
      <c r="X15" s="1263"/>
      <c r="Y15" s="3371"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8"/>
      <c r="M16" s="2483"/>
      <c r="N16" s="2483"/>
      <c r="O16" s="2538"/>
      <c r="P16" s="3372"/>
      <c r="Q16" s="1261"/>
      <c r="R16" s="665"/>
      <c r="S16" s="666"/>
      <c r="T16" s="665"/>
      <c r="U16" s="666"/>
      <c r="V16" s="665"/>
      <c r="W16" s="666"/>
      <c r="X16" s="1263"/>
      <c r="Y16" s="3372"/>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8"/>
      <c r="M17" s="2483"/>
      <c r="N17" s="2483"/>
      <c r="O17" s="2538"/>
      <c r="P17" s="3372"/>
      <c r="Q17" s="1261" t="str">
        <f>B17</f>
        <v>商业繁华度</v>
      </c>
      <c r="R17" s="665" t="s">
        <v>14</v>
      </c>
      <c r="S17" s="666">
        <f>F17</f>
        <v>100</v>
      </c>
      <c r="T17" s="665" t="s">
        <v>14</v>
      </c>
      <c r="U17" s="666">
        <f>H17</f>
        <v>100</v>
      </c>
      <c r="V17" s="665" t="s">
        <v>14</v>
      </c>
      <c r="W17" s="666">
        <f>J17</f>
        <v>100</v>
      </c>
      <c r="X17" s="1263"/>
      <c r="Y17" s="3372"/>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8"/>
      <c r="M18" s="2483"/>
      <c r="N18" s="2483"/>
      <c r="O18" s="2538"/>
      <c r="P18" s="3372"/>
      <c r="Q18" s="1261"/>
      <c r="R18" s="665"/>
      <c r="S18" s="666"/>
      <c r="T18" s="665"/>
      <c r="U18" s="666"/>
      <c r="V18" s="665"/>
      <c r="W18" s="666"/>
      <c r="X18" s="1263"/>
      <c r="Y18" s="3372"/>
      <c r="Z18" s="1262"/>
      <c r="AA18" s="1262">
        <v>1</v>
      </c>
      <c r="AB18" s="1262">
        <v>1</v>
      </c>
      <c r="AC18" s="1262">
        <v>1</v>
      </c>
    </row>
    <row r="19" spans="1:29" ht="15">
      <c r="A19" s="365"/>
      <c r="B19" s="388" t="s">
        <v>1811</v>
      </c>
      <c r="C19" s="1804">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8"/>
      <c r="M19" s="2483"/>
      <c r="N19" s="2483"/>
      <c r="O19" s="2538"/>
      <c r="P19" s="3372"/>
      <c r="Q19" s="1261" t="str">
        <f>B19</f>
        <v>办公集聚程度</v>
      </c>
      <c r="R19" s="665" t="s">
        <v>14</v>
      </c>
      <c r="S19" s="666">
        <f>F19</f>
        <v>100</v>
      </c>
      <c r="T19" s="665" t="s">
        <v>14</v>
      </c>
      <c r="U19" s="666">
        <f>H19</f>
        <v>100</v>
      </c>
      <c r="V19" s="665" t="s">
        <v>14</v>
      </c>
      <c r="W19" s="666">
        <f>J19</f>
        <v>100</v>
      </c>
      <c r="X19" s="1263"/>
      <c r="Y19" s="3372"/>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8"/>
      <c r="M20" s="2483"/>
      <c r="N20" s="2483"/>
      <c r="O20" s="2538"/>
      <c r="P20" s="3372"/>
      <c r="Q20" s="1261"/>
      <c r="R20" s="665"/>
      <c r="S20" s="666"/>
      <c r="T20" s="665"/>
      <c r="U20" s="666"/>
      <c r="V20" s="665"/>
      <c r="W20" s="666"/>
      <c r="X20" s="1263"/>
      <c r="Y20" s="3372"/>
      <c r="Z20" s="1262"/>
      <c r="AA20" s="1262">
        <v>1</v>
      </c>
      <c r="AB20" s="1262">
        <v>1</v>
      </c>
      <c r="AC20" s="1262">
        <v>1</v>
      </c>
    </row>
    <row r="21" spans="1:29" ht="15">
      <c r="A21" s="365"/>
      <c r="B21" s="388" t="s">
        <v>1833</v>
      </c>
      <c r="C21" s="1752">
        <f>估价对象房地状况!C18</f>
        <v>0</v>
      </c>
      <c r="D21" s="387">
        <v>100</v>
      </c>
      <c r="E21" s="389"/>
      <c r="F21" s="392">
        <f>SUMIF(93:93,E22,94:94)-SUMIF(93:93,C22,94:94)+100</f>
        <v>100</v>
      </c>
      <c r="G21" s="389"/>
      <c r="H21" s="387">
        <f>SUMIF(93:93,G22,94:94)-SUMIF(93:93,C22,94:94)+100</f>
        <v>100</v>
      </c>
      <c r="I21" s="391"/>
      <c r="J21" s="387">
        <f>SUMIF(93:93,I22,94:94)-SUMIF(93:93,C22,94:94)+100</f>
        <v>100</v>
      </c>
      <c r="K21" s="591"/>
      <c r="L21" s="2488"/>
      <c r="M21" s="2483"/>
      <c r="N21" s="2483"/>
      <c r="O21" s="2538"/>
      <c r="P21" s="3372"/>
      <c r="Q21" s="1261" t="str">
        <f>B21</f>
        <v>交通便捷度</v>
      </c>
      <c r="R21" s="665" t="s">
        <v>14</v>
      </c>
      <c r="S21" s="666">
        <f>F21</f>
        <v>100</v>
      </c>
      <c r="T21" s="665" t="s">
        <v>14</v>
      </c>
      <c r="U21" s="666">
        <f>H21</f>
        <v>100</v>
      </c>
      <c r="V21" s="665" t="s">
        <v>14</v>
      </c>
      <c r="W21" s="666">
        <f>J21</f>
        <v>100</v>
      </c>
      <c r="X21" s="1263"/>
      <c r="Y21" s="3372"/>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8"/>
      <c r="M22" s="2483"/>
      <c r="N22" s="2483"/>
      <c r="O22" s="2538"/>
      <c r="P22" s="3372"/>
      <c r="Q22" s="1261"/>
      <c r="R22" s="665"/>
      <c r="S22" s="666"/>
      <c r="T22" s="665"/>
      <c r="U22" s="666"/>
      <c r="V22" s="665"/>
      <c r="W22" s="666"/>
      <c r="X22" s="1263"/>
      <c r="Y22" s="3372"/>
      <c r="Z22" s="1262"/>
      <c r="AA22" s="1262">
        <v>1</v>
      </c>
      <c r="AB22" s="1262">
        <v>1</v>
      </c>
      <c r="AC22" s="1262">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8"/>
      <c r="M23" s="2483"/>
      <c r="N23" s="2483"/>
      <c r="O23" s="2538"/>
      <c r="P23" s="3372"/>
      <c r="Q23" s="1261" t="str">
        <f t="shared" ref="Q23:Q37" si="8">B23</f>
        <v>区域土地利用方向</v>
      </c>
      <c r="R23" s="665" t="s">
        <v>14</v>
      </c>
      <c r="S23" s="666">
        <f>F23</f>
        <v>100</v>
      </c>
      <c r="T23" s="665" t="s">
        <v>14</v>
      </c>
      <c r="U23" s="666">
        <f>H23</f>
        <v>100</v>
      </c>
      <c r="V23" s="665" t="s">
        <v>14</v>
      </c>
      <c r="W23" s="666">
        <f>J23</f>
        <v>100</v>
      </c>
      <c r="X23" s="1263"/>
      <c r="Y23" s="3372"/>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8"/>
      <c r="M24" s="2483"/>
      <c r="N24" s="2483"/>
      <c r="O24" s="2538"/>
      <c r="P24" s="3372"/>
      <c r="Q24" s="1261"/>
      <c r="R24" s="665"/>
      <c r="S24" s="666"/>
      <c r="T24" s="665"/>
      <c r="U24" s="666"/>
      <c r="V24" s="665"/>
      <c r="W24" s="666"/>
      <c r="X24" s="1263"/>
      <c r="Y24" s="3372"/>
      <c r="Z24" s="1262"/>
      <c r="AA24" s="1262"/>
      <c r="AB24" s="1262"/>
      <c r="AC24" s="1262"/>
    </row>
    <row r="25" spans="1:29" ht="28.8">
      <c r="A25" s="346"/>
      <c r="B25" s="584" t="s">
        <v>1872</v>
      </c>
      <c r="C25" s="1804">
        <f>估价对象房地状况!C20</f>
        <v>0</v>
      </c>
      <c r="D25" s="387">
        <v>100</v>
      </c>
      <c r="E25" s="389"/>
      <c r="F25" s="387">
        <f>SUMIF(97:97,E26,98:98)-SUMIF(97:97,C26,98:98)+100</f>
        <v>100</v>
      </c>
      <c r="G25" s="389"/>
      <c r="H25" s="387">
        <f>SUMIF(97:97,G26,98:98)-SUMIF(97:97,C26,98:98)+100</f>
        <v>100</v>
      </c>
      <c r="I25" s="391"/>
      <c r="J25" s="387">
        <f>SUMIF(97:97,I26,98:98)-SUMIF(97:97,C26,98:98)+100</f>
        <v>100</v>
      </c>
      <c r="K25" s="591"/>
      <c r="L25" s="2488"/>
      <c r="M25" s="2483"/>
      <c r="N25" s="2483"/>
      <c r="O25" s="2538"/>
      <c r="P25" s="3372"/>
      <c r="Q25" s="1261" t="str">
        <f t="shared" si="8"/>
        <v>自然及人文环境状况</v>
      </c>
      <c r="R25" s="665" t="s">
        <v>14</v>
      </c>
      <c r="S25" s="666">
        <f>F25</f>
        <v>100</v>
      </c>
      <c r="T25" s="665" t="s">
        <v>14</v>
      </c>
      <c r="U25" s="666">
        <f>H25</f>
        <v>100</v>
      </c>
      <c r="V25" s="665" t="s">
        <v>14</v>
      </c>
      <c r="W25" s="666">
        <f>J25</f>
        <v>100</v>
      </c>
      <c r="X25" s="1263"/>
      <c r="Y25" s="3372"/>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8"/>
      <c r="M26" s="2483"/>
      <c r="N26" s="2483"/>
      <c r="O26" s="2538"/>
      <c r="P26" s="3372"/>
      <c r="Q26" s="1261"/>
      <c r="R26" s="665"/>
      <c r="S26" s="666"/>
      <c r="T26" s="665"/>
      <c r="U26" s="666"/>
      <c r="V26" s="665"/>
      <c r="W26" s="666"/>
      <c r="X26" s="1263"/>
      <c r="Y26" s="3372"/>
      <c r="Z26" s="1262"/>
      <c r="AA26" s="1262">
        <v>1</v>
      </c>
      <c r="AB26" s="1262">
        <v>1</v>
      </c>
      <c r="AC26" s="1262">
        <v>1</v>
      </c>
    </row>
    <row r="27" spans="1:29" s="101" customFormat="1" ht="15">
      <c r="A27" s="441"/>
      <c r="B27" s="584" t="s">
        <v>1778</v>
      </c>
      <c r="C27" s="1752">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c r="L27" s="2484"/>
      <c r="M27" s="2436"/>
      <c r="N27" s="2436"/>
      <c r="O27" s="2536"/>
      <c r="P27" s="3372"/>
      <c r="Q27" s="528" t="str">
        <f t="shared" si="8"/>
        <v>公共配套设施</v>
      </c>
      <c r="R27" s="662" t="s">
        <v>14</v>
      </c>
      <c r="S27" s="663">
        <f>F27</f>
        <v>100</v>
      </c>
      <c r="T27" s="662" t="s">
        <v>14</v>
      </c>
      <c r="U27" s="663">
        <f>H27</f>
        <v>100</v>
      </c>
      <c r="V27" s="662" t="s">
        <v>14</v>
      </c>
      <c r="W27" s="663">
        <f>J27</f>
        <v>100</v>
      </c>
      <c r="X27" s="664"/>
      <c r="Y27" s="3372"/>
      <c r="Z27" s="50" t="str">
        <f>Q27</f>
        <v>公共配套设施</v>
      </c>
      <c r="AA27" s="1262">
        <f>D27/F27</f>
        <v>1</v>
      </c>
      <c r="AB27" s="1262">
        <f>D27/H27</f>
        <v>1</v>
      </c>
      <c r="AC27" s="1262">
        <f>D27/J27</f>
        <v>1</v>
      </c>
    </row>
    <row r="28" spans="1:29" s="101" customFormat="1" ht="15">
      <c r="A28" s="441"/>
      <c r="B28" s="393"/>
      <c r="C28" s="1824"/>
      <c r="D28" s="385"/>
      <c r="E28" s="1756"/>
      <c r="F28" s="385"/>
      <c r="G28" s="1756"/>
      <c r="H28" s="385"/>
      <c r="I28" s="384"/>
      <c r="J28" s="385"/>
      <c r="K28" s="590"/>
      <c r="L28" s="2484"/>
      <c r="M28" s="2436"/>
      <c r="N28" s="2436"/>
      <c r="O28" s="2536"/>
      <c r="P28" s="3372"/>
      <c r="Q28" s="528"/>
      <c r="R28" s="662"/>
      <c r="S28" s="663"/>
      <c r="T28" s="662"/>
      <c r="U28" s="663"/>
      <c r="V28" s="662"/>
      <c r="W28" s="663"/>
      <c r="X28" s="664"/>
      <c r="Y28" s="3372"/>
      <c r="Z28" s="50"/>
      <c r="AA28" s="1262">
        <v>1</v>
      </c>
      <c r="AB28" s="1262">
        <v>1</v>
      </c>
      <c r="AC28" s="1262">
        <v>1</v>
      </c>
    </row>
    <row r="29" spans="1:29" s="101" customFormat="1" ht="15">
      <c r="A29" s="441"/>
      <c r="B29" s="584" t="s">
        <v>1779</v>
      </c>
      <c r="C29" s="1752">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4"/>
      <c r="M29" s="2436"/>
      <c r="N29" s="2436"/>
      <c r="O29" s="2536"/>
      <c r="P29" s="3372"/>
      <c r="Q29" s="528" t="str">
        <f t="shared" ref="Q29" si="9">B29</f>
        <v>基础设施水平</v>
      </c>
      <c r="R29" s="662" t="s">
        <v>14</v>
      </c>
      <c r="S29" s="663">
        <f>F29</f>
        <v>100</v>
      </c>
      <c r="T29" s="662" t="s">
        <v>14</v>
      </c>
      <c r="U29" s="663">
        <f>H29</f>
        <v>100</v>
      </c>
      <c r="V29" s="662" t="s">
        <v>14</v>
      </c>
      <c r="W29" s="663">
        <f>J29</f>
        <v>100</v>
      </c>
      <c r="X29" s="664"/>
      <c r="Y29" s="3372"/>
      <c r="Z29" s="50" t="str">
        <f>Q29</f>
        <v>基础设施水平</v>
      </c>
      <c r="AA29" s="1262">
        <f>D29/F29</f>
        <v>1</v>
      </c>
      <c r="AB29" s="1262">
        <f>D29/H29</f>
        <v>1</v>
      </c>
      <c r="AC29" s="1262">
        <f>D29/J29</f>
        <v>1</v>
      </c>
    </row>
    <row r="30" spans="1:29" s="101" customFormat="1" ht="15">
      <c r="A30" s="441"/>
      <c r="B30" s="393"/>
      <c r="C30" s="1824"/>
      <c r="D30" s="385"/>
      <c r="E30" s="1825"/>
      <c r="F30" s="385"/>
      <c r="G30" s="1825"/>
      <c r="H30" s="385"/>
      <c r="I30" s="1825"/>
      <c r="J30" s="385"/>
      <c r="K30" s="590"/>
      <c r="L30" s="2484"/>
      <c r="M30" s="2436"/>
      <c r="N30" s="2436"/>
      <c r="O30" s="2536"/>
      <c r="P30" s="3372"/>
      <c r="Q30" s="528"/>
      <c r="R30" s="662"/>
      <c r="S30" s="663"/>
      <c r="T30" s="662"/>
      <c r="U30" s="663"/>
      <c r="V30" s="662"/>
      <c r="W30" s="663"/>
      <c r="X30" s="664"/>
      <c r="Y30" s="3372"/>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8"/>
      <c r="M31" s="2483"/>
      <c r="N31" s="2483"/>
      <c r="O31" s="2538"/>
      <c r="P31" s="3372"/>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72"/>
      <c r="Z31" s="1262" t="str">
        <f t="shared" ref="Z31:Z45" si="13">Q31</f>
        <v>临街状况</v>
      </c>
      <c r="AA31" s="1262">
        <f t="shared" si="3"/>
        <v>1</v>
      </c>
      <c r="AB31" s="1262">
        <f t="shared" si="4"/>
        <v>1</v>
      </c>
      <c r="AC31" s="1262">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8"/>
      <c r="M32" s="2483"/>
      <c r="N32" s="2483"/>
      <c r="O32" s="2538"/>
      <c r="P32" s="3372"/>
      <c r="Q32" s="1261" t="str">
        <f t="shared" si="8"/>
        <v>毗邻道路的类型与等级</v>
      </c>
      <c r="R32" s="665" t="s">
        <v>14</v>
      </c>
      <c r="S32" s="666">
        <f t="shared" si="10"/>
        <v>100</v>
      </c>
      <c r="T32" s="665" t="s">
        <v>14</v>
      </c>
      <c r="U32" s="666">
        <f t="shared" si="11"/>
        <v>100</v>
      </c>
      <c r="V32" s="665" t="s">
        <v>14</v>
      </c>
      <c r="W32" s="666">
        <f t="shared" si="12"/>
        <v>100</v>
      </c>
      <c r="X32" s="1263"/>
      <c r="Y32" s="3372"/>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8"/>
      <c r="M33" s="2483"/>
      <c r="N33" s="2483"/>
      <c r="O33" s="2538"/>
      <c r="P33" s="3372"/>
      <c r="Q33" s="1261"/>
      <c r="R33" s="665"/>
      <c r="S33" s="666"/>
      <c r="T33" s="665"/>
      <c r="U33" s="666"/>
      <c r="V33" s="665"/>
      <c r="W33" s="666"/>
      <c r="X33" s="1263"/>
      <c r="Y33" s="3372"/>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8"/>
      <c r="M34" s="2483"/>
      <c r="N34" s="2483"/>
      <c r="O34" s="2538"/>
      <c r="P34" s="3372"/>
      <c r="Q34" s="1261" t="str">
        <f t="shared" si="8"/>
        <v>土地级别</v>
      </c>
      <c r="R34" s="665" t="s">
        <v>14</v>
      </c>
      <c r="S34" s="666">
        <f t="shared" si="10"/>
        <v>100</v>
      </c>
      <c r="T34" s="665" t="s">
        <v>14</v>
      </c>
      <c r="U34" s="666">
        <f t="shared" si="11"/>
        <v>100</v>
      </c>
      <c r="V34" s="665" t="s">
        <v>14</v>
      </c>
      <c r="W34" s="666">
        <f t="shared" si="12"/>
        <v>100</v>
      </c>
      <c r="X34" s="1263"/>
      <c r="Y34" s="3372"/>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8"/>
      <c r="M35" s="2483"/>
      <c r="N35" s="2483"/>
      <c r="O35" s="2538"/>
      <c r="P35" s="3372"/>
      <c r="Q35" s="1261">
        <f t="shared" si="8"/>
        <v>111</v>
      </c>
      <c r="R35" s="665" t="s">
        <v>14</v>
      </c>
      <c r="S35" s="666">
        <f t="shared" si="10"/>
        <v>100</v>
      </c>
      <c r="T35" s="665" t="s">
        <v>14</v>
      </c>
      <c r="U35" s="666">
        <f t="shared" si="11"/>
        <v>100</v>
      </c>
      <c r="V35" s="665" t="s">
        <v>14</v>
      </c>
      <c r="W35" s="666">
        <f t="shared" si="12"/>
        <v>100</v>
      </c>
      <c r="X35" s="1263"/>
      <c r="Y35" s="3372"/>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8"/>
      <c r="M36" s="2483"/>
      <c r="N36" s="2483"/>
      <c r="O36" s="2538"/>
      <c r="P36" s="3388" t="s">
        <v>1696</v>
      </c>
      <c r="Q36" s="1261">
        <f t="shared" si="8"/>
        <v>111</v>
      </c>
      <c r="R36" s="665" t="s">
        <v>14</v>
      </c>
      <c r="S36" s="666">
        <f t="shared" si="10"/>
        <v>100</v>
      </c>
      <c r="T36" s="665" t="s">
        <v>14</v>
      </c>
      <c r="U36" s="666">
        <f t="shared" si="11"/>
        <v>100</v>
      </c>
      <c r="V36" s="665" t="s">
        <v>14</v>
      </c>
      <c r="W36" s="666">
        <f t="shared" si="12"/>
        <v>100</v>
      </c>
      <c r="X36" s="1263"/>
      <c r="Y36" s="3373" t="s">
        <v>1696</v>
      </c>
      <c r="Z36" s="1262">
        <f t="shared" si="13"/>
        <v>111</v>
      </c>
      <c r="AA36" s="1262">
        <f t="shared" si="3"/>
        <v>1</v>
      </c>
      <c r="AB36" s="1262">
        <f t="shared" si="4"/>
        <v>1</v>
      </c>
      <c r="AC36" s="1262">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7"/>
      <c r="M37" s="2489"/>
      <c r="N37" s="2489"/>
      <c r="O37" s="2539"/>
      <c r="P37" s="3373"/>
      <c r="Q37" s="1261">
        <f t="shared" si="8"/>
        <v>111</v>
      </c>
      <c r="R37" s="667" t="s">
        <v>14</v>
      </c>
      <c r="S37" s="668">
        <f t="shared" si="10"/>
        <v>100</v>
      </c>
      <c r="T37" s="667" t="s">
        <v>14</v>
      </c>
      <c r="U37" s="668">
        <f t="shared" si="11"/>
        <v>100</v>
      </c>
      <c r="V37" s="667" t="s">
        <v>14</v>
      </c>
      <c r="W37" s="668">
        <f t="shared" si="12"/>
        <v>100</v>
      </c>
      <c r="X37" s="669"/>
      <c r="Y37" s="3373"/>
      <c r="Z37" s="670">
        <f t="shared" si="13"/>
        <v>111</v>
      </c>
      <c r="AA37" s="1262">
        <f t="shared" si="3"/>
        <v>1</v>
      </c>
      <c r="AB37" s="1262">
        <f t="shared" si="4"/>
        <v>1</v>
      </c>
      <c r="AC37" s="1262">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8"/>
      <c r="M38" s="2483"/>
      <c r="N38" s="2483"/>
      <c r="O38" s="2538"/>
      <c r="P38" s="3373"/>
      <c r="Q38" s="1261" t="str">
        <f>B38</f>
        <v>宗地面积</v>
      </c>
      <c r="R38" s="665" t="s">
        <v>14</v>
      </c>
      <c r="S38" s="666" t="e">
        <f t="shared" si="10"/>
        <v>#N/A</v>
      </c>
      <c r="T38" s="665" t="s">
        <v>14</v>
      </c>
      <c r="U38" s="666" t="e">
        <f t="shared" si="11"/>
        <v>#N/A</v>
      </c>
      <c r="V38" s="665" t="s">
        <v>14</v>
      </c>
      <c r="W38" s="666" t="e">
        <f t="shared" si="12"/>
        <v>#N/A</v>
      </c>
      <c r="X38" s="1263"/>
      <c r="Y38" s="3373"/>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8"/>
      <c r="M39" s="2483"/>
      <c r="N39" s="2483"/>
      <c r="O39" s="2538"/>
      <c r="P39" s="3373"/>
      <c r="Q39" s="1261" t="str">
        <f t="shared" ref="Q39:Q45" si="14">B39</f>
        <v>宗地形状</v>
      </c>
      <c r="R39" s="665" t="s">
        <v>14</v>
      </c>
      <c r="S39" s="666">
        <f t="shared" si="10"/>
        <v>100</v>
      </c>
      <c r="T39" s="665" t="s">
        <v>14</v>
      </c>
      <c r="U39" s="666">
        <f t="shared" si="11"/>
        <v>100</v>
      </c>
      <c r="V39" s="665" t="s">
        <v>14</v>
      </c>
      <c r="W39" s="666">
        <f t="shared" si="12"/>
        <v>100</v>
      </c>
      <c r="X39" s="1263"/>
      <c r="Y39" s="3373"/>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8"/>
      <c r="M40" s="2483"/>
      <c r="N40" s="2483"/>
      <c r="O40" s="2538"/>
      <c r="P40" s="3373"/>
      <c r="Q40" s="1261" t="str">
        <f t="shared" si="14"/>
        <v>临街宽度及深度</v>
      </c>
      <c r="R40" s="665" t="s">
        <v>14</v>
      </c>
      <c r="S40" s="666">
        <f t="shared" si="10"/>
        <v>100</v>
      </c>
      <c r="T40" s="665" t="s">
        <v>14</v>
      </c>
      <c r="U40" s="666">
        <f t="shared" si="11"/>
        <v>100</v>
      </c>
      <c r="V40" s="665" t="s">
        <v>14</v>
      </c>
      <c r="W40" s="666">
        <f t="shared" si="12"/>
        <v>100</v>
      </c>
      <c r="X40" s="1263"/>
      <c r="Y40" s="3373"/>
      <c r="Z40" s="1262" t="str">
        <f t="shared" si="13"/>
        <v>临街宽度及深度</v>
      </c>
      <c r="AA40" s="1262">
        <f t="shared" si="3"/>
        <v>1</v>
      </c>
      <c r="AB40" s="1262">
        <f t="shared" si="4"/>
        <v>1</v>
      </c>
      <c r="AC40" s="1262">
        <f t="shared" si="5"/>
        <v>1</v>
      </c>
    </row>
    <row r="41" spans="1:29" s="101"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4"/>
      <c r="M41" s="2436"/>
      <c r="N41" s="2436"/>
      <c r="O41" s="2536"/>
      <c r="P41" s="3373"/>
      <c r="Q41" s="1261" t="str">
        <f t="shared" si="14"/>
        <v>宗地开发程度</v>
      </c>
      <c r="R41" s="662" t="s">
        <v>14</v>
      </c>
      <c r="S41" s="663">
        <f t="shared" si="10"/>
        <v>100</v>
      </c>
      <c r="T41" s="662" t="s">
        <v>14</v>
      </c>
      <c r="U41" s="663">
        <f t="shared" si="11"/>
        <v>100</v>
      </c>
      <c r="V41" s="662" t="s">
        <v>14</v>
      </c>
      <c r="W41" s="663">
        <f t="shared" si="12"/>
        <v>100</v>
      </c>
      <c r="X41" s="664"/>
      <c r="Y41" s="3373"/>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8"/>
      <c r="M42" s="2483"/>
      <c r="N42" s="2483"/>
      <c r="O42" s="2538"/>
      <c r="P42" s="3373" t="s">
        <v>1696</v>
      </c>
      <c r="Q42" s="1261" t="str">
        <f t="shared" si="14"/>
        <v>工程地质条件</v>
      </c>
      <c r="R42" s="665" t="s">
        <v>14</v>
      </c>
      <c r="S42" s="666">
        <f t="shared" si="10"/>
        <v>100</v>
      </c>
      <c r="T42" s="665" t="s">
        <v>14</v>
      </c>
      <c r="U42" s="666">
        <f t="shared" si="11"/>
        <v>100</v>
      </c>
      <c r="V42" s="665" t="s">
        <v>14</v>
      </c>
      <c r="W42" s="666">
        <f t="shared" si="12"/>
        <v>100</v>
      </c>
      <c r="X42" s="1263"/>
      <c r="Y42" s="3373"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8"/>
      <c r="M43" s="2483"/>
      <c r="N43" s="2483"/>
      <c r="O43" s="2538"/>
      <c r="P43" s="3373"/>
      <c r="Q43" s="1261">
        <f t="shared" si="14"/>
        <v>111</v>
      </c>
      <c r="R43" s="665" t="s">
        <v>14</v>
      </c>
      <c r="S43" s="666">
        <f t="shared" si="10"/>
        <v>100</v>
      </c>
      <c r="T43" s="665" t="s">
        <v>14</v>
      </c>
      <c r="U43" s="666">
        <f t="shared" si="11"/>
        <v>100</v>
      </c>
      <c r="V43" s="665" t="s">
        <v>14</v>
      </c>
      <c r="W43" s="666">
        <f t="shared" si="12"/>
        <v>100</v>
      </c>
      <c r="X43" s="1263"/>
      <c r="Y43" s="3373"/>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8"/>
      <c r="M44" s="2483"/>
      <c r="N44" s="2483"/>
      <c r="O44" s="2538"/>
      <c r="P44" s="3373"/>
      <c r="Q44" s="1261">
        <f t="shared" si="14"/>
        <v>111</v>
      </c>
      <c r="R44" s="665" t="s">
        <v>14</v>
      </c>
      <c r="S44" s="666">
        <f t="shared" si="10"/>
        <v>100</v>
      </c>
      <c r="T44" s="665" t="s">
        <v>14</v>
      </c>
      <c r="U44" s="666">
        <f t="shared" si="11"/>
        <v>100</v>
      </c>
      <c r="V44" s="665" t="s">
        <v>14</v>
      </c>
      <c r="W44" s="666">
        <f t="shared" si="12"/>
        <v>100</v>
      </c>
      <c r="X44" s="1263"/>
      <c r="Y44" s="3373"/>
      <c r="Z44" s="1262">
        <f t="shared" si="13"/>
        <v>111</v>
      </c>
      <c r="AA44" s="1262">
        <f t="shared" si="3"/>
        <v>1</v>
      </c>
      <c r="AB44" s="1262">
        <f t="shared" si="4"/>
        <v>1</v>
      </c>
      <c r="AC44" s="1262">
        <f t="shared" si="5"/>
        <v>1</v>
      </c>
    </row>
    <row r="45" spans="1:29" s="406" customFormat="1" ht="15.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7"/>
      <c r="M45" s="2489"/>
      <c r="N45" s="2489"/>
      <c r="O45" s="2539"/>
      <c r="P45" s="3373"/>
      <c r="Q45" s="1261">
        <f t="shared" si="14"/>
        <v>111</v>
      </c>
      <c r="R45" s="667" t="s">
        <v>14</v>
      </c>
      <c r="S45" s="668">
        <f t="shared" si="10"/>
        <v>100</v>
      </c>
      <c r="T45" s="667" t="s">
        <v>14</v>
      </c>
      <c r="U45" s="668">
        <f t="shared" si="11"/>
        <v>100</v>
      </c>
      <c r="V45" s="667" t="s">
        <v>14</v>
      </c>
      <c r="W45" s="668">
        <f t="shared" si="12"/>
        <v>100</v>
      </c>
      <c r="X45" s="669"/>
      <c r="Y45" s="3373"/>
      <c r="Z45" s="670">
        <f t="shared" si="13"/>
        <v>111</v>
      </c>
      <c r="AA45" s="1262">
        <f t="shared" si="3"/>
        <v>1</v>
      </c>
      <c r="AB45" s="1262">
        <f t="shared" si="4"/>
        <v>1</v>
      </c>
      <c r="AC45" s="1262">
        <f t="shared" si="5"/>
        <v>1</v>
      </c>
    </row>
    <row r="46" spans="1:29" ht="14.4">
      <c r="A46" s="414" t="s">
        <v>1844</v>
      </c>
      <c r="B46" s="1828" t="s">
        <v>1879</v>
      </c>
      <c r="C46" s="600" t="s">
        <v>0</v>
      </c>
      <c r="D46" s="416"/>
      <c r="E46" s="417"/>
      <c r="F46" s="418"/>
      <c r="G46" s="419"/>
      <c r="H46" s="420"/>
      <c r="I46" s="417"/>
      <c r="J46" s="420"/>
      <c r="K46" s="672"/>
      <c r="L46" s="2490"/>
      <c r="M46" s="2483"/>
      <c r="N46" s="2483"/>
      <c r="O46" s="2483"/>
      <c r="P46" s="3354" t="str">
        <f>A46</f>
        <v>成交单价</v>
      </c>
      <c r="Q46" s="3354"/>
      <c r="R46" s="3370">
        <f>E46</f>
        <v>0</v>
      </c>
      <c r="S46" s="3370"/>
      <c r="T46" s="3370">
        <f>G46</f>
        <v>0</v>
      </c>
      <c r="U46" s="3370"/>
      <c r="V46" s="3370">
        <f>I46</f>
        <v>0</v>
      </c>
      <c r="W46" s="3370"/>
      <c r="X46" s="383"/>
      <c r="Y46" s="671"/>
      <c r="Z46" s="383"/>
      <c r="AA46" s="383"/>
      <c r="AB46" s="383"/>
      <c r="AC46" s="383"/>
    </row>
    <row r="47" spans="1:29" ht="15" thickBot="1">
      <c r="A47" s="421" t="s">
        <v>1793</v>
      </c>
      <c r="B47" s="601"/>
      <c r="C47" s="424" t="e">
        <f>R48</f>
        <v>#DIV/0!</v>
      </c>
      <c r="D47" s="2139" t="s">
        <v>2137</v>
      </c>
      <c r="E47" s="424" t="e">
        <f>R47</f>
        <v>#DIV/0!</v>
      </c>
      <c r="F47" s="2140"/>
      <c r="G47" s="423" t="e">
        <f>T47</f>
        <v>#DIV/0!</v>
      </c>
      <c r="H47" s="2140"/>
      <c r="I47" s="424" t="e">
        <f>V47</f>
        <v>#DIV/0!</v>
      </c>
      <c r="J47" s="2140"/>
      <c r="K47" s="2142">
        <f>F47+H47+J47</f>
        <v>0</v>
      </c>
      <c r="L47" s="2490"/>
      <c r="M47" s="2483"/>
      <c r="N47" s="2483"/>
      <c r="O47" s="2483"/>
      <c r="P47" s="3354" t="str">
        <f>A47</f>
        <v>比较价值（元/平方米）</v>
      </c>
      <c r="Q47" s="3354"/>
      <c r="R47" s="3392" t="e">
        <f>ROUND(PRODUCT(R46,AA7:AA45),0)</f>
        <v>#DIV/0!</v>
      </c>
      <c r="S47" s="3392"/>
      <c r="T47" s="3392" t="e">
        <f>ROUND(PRODUCT(T46,AB7:AB45),0)</f>
        <v>#DIV/0!</v>
      </c>
      <c r="U47" s="3392"/>
      <c r="V47" s="3392" t="e">
        <f>ROUND(PRODUCT(V46,AC7:AC45),0)</f>
        <v>#DIV/0!</v>
      </c>
      <c r="W47" s="3392"/>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90"/>
      <c r="M48" s="2483"/>
      <c r="N48" s="2483"/>
      <c r="O48" s="2483"/>
      <c r="P48" s="3389" t="str">
        <f>A48</f>
        <v>估价对象XX用房的比较价值（楼面单价，元/平方米）</v>
      </c>
      <c r="Q48" s="3390"/>
      <c r="R48" s="3391" t="e">
        <f>ROUND(IF(D47="简单平均",AVERAGE(R47:W47),R47*F47+T47*H47+V47*J47),0)</f>
        <v>#DIV/0!</v>
      </c>
      <c r="S48" s="3391"/>
      <c r="T48" s="3391"/>
      <c r="U48" s="3391"/>
      <c r="V48" s="3391"/>
      <c r="W48" s="3391"/>
      <c r="X48" s="383"/>
      <c r="Y48" s="383"/>
      <c r="Z48" s="383"/>
      <c r="AA48" s="383"/>
      <c r="AB48" s="383"/>
      <c r="AC48" s="383"/>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3.5" customHeight="1">
      <c r="A53" s="2493"/>
      <c r="B53" s="2493"/>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4.4"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1881</v>
      </c>
      <c r="B55" s="603" t="s">
        <v>1882</v>
      </c>
      <c r="C55" s="1829" t="s">
        <v>1883</v>
      </c>
      <c r="D55" s="1830" t="s">
        <v>1884</v>
      </c>
      <c r="E55" s="604" t="s">
        <v>1885</v>
      </c>
      <c r="F55" s="835" t="s">
        <v>1886</v>
      </c>
      <c r="G55" s="3351" t="s">
        <v>1887</v>
      </c>
      <c r="H55" s="3352"/>
      <c r="I55" s="125"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1890</v>
      </c>
      <c r="B56" s="607" t="e">
        <f>C48</f>
        <v>#DIV/0!</v>
      </c>
      <c r="C56" s="608">
        <v>1</v>
      </c>
      <c r="D56" s="888">
        <v>1</v>
      </c>
      <c r="E56" s="608">
        <f>'数据-汇总表'!E8+'数据-汇总表'!E9</f>
        <v>43685.850000000006</v>
      </c>
      <c r="F56" s="831" t="e">
        <f t="shared" ref="F56:F64" si="15">ROUND(B56*E56/10000,0)</f>
        <v>#DIV/0!</v>
      </c>
      <c r="G56" s="3353"/>
      <c r="H56" s="3354"/>
      <c r="I56" s="836">
        <v>1</v>
      </c>
      <c r="J56" s="839">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1891</v>
      </c>
      <c r="B57" s="208" t="e">
        <f>ROUND($C$48*C57*D57,0)</f>
        <v>#DIV/0!</v>
      </c>
      <c r="C57" s="161">
        <f t="shared" ref="C57:C64" si="16">IF($C$55="北京市系数",I57,J57)</f>
        <v>0</v>
      </c>
      <c r="D57" s="889">
        <v>0.25</v>
      </c>
      <c r="E57" s="612"/>
      <c r="F57" s="831" t="e">
        <f t="shared" si="15"/>
        <v>#DIV/0!</v>
      </c>
      <c r="G57" s="2746" t="s">
        <v>1892</v>
      </c>
      <c r="H57" s="832">
        <f>项目基本情况!B37</f>
        <v>0</v>
      </c>
      <c r="I57" s="836">
        <f>SUMIF(修正!A57:A68,H57,修正!B57:B68)</f>
        <v>0</v>
      </c>
      <c r="J57" s="840"/>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1893</v>
      </c>
      <c r="B58" s="208" t="e">
        <f t="shared" ref="B58:B64" si="17">ROUND($C$48*C58*D58,0)</f>
        <v>#DIV/0!</v>
      </c>
      <c r="C58" s="161">
        <f t="shared" si="16"/>
        <v>0</v>
      </c>
      <c r="D58" s="889">
        <v>0.25</v>
      </c>
      <c r="E58" s="612"/>
      <c r="F58" s="831" t="e">
        <f t="shared" si="15"/>
        <v>#DIV/0!</v>
      </c>
      <c r="G58" s="2747"/>
      <c r="H58" s="832">
        <f>项目基本情况!B37</f>
        <v>0</v>
      </c>
      <c r="I58" s="836">
        <f>SUMIF(修正!A57:A68,H58,修正!C57:C68)</f>
        <v>0</v>
      </c>
      <c r="J58" s="840"/>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1894</v>
      </c>
      <c r="B59" s="208" t="e">
        <f t="shared" si="17"/>
        <v>#DIV/0!</v>
      </c>
      <c r="C59" s="161">
        <f t="shared" si="16"/>
        <v>0</v>
      </c>
      <c r="D59" s="889">
        <v>0.25</v>
      </c>
      <c r="E59" s="612"/>
      <c r="F59" s="831" t="e">
        <f t="shared" si="15"/>
        <v>#DIV/0!</v>
      </c>
      <c r="G59" s="2747"/>
      <c r="H59" s="832">
        <f>项目基本情况!B37</f>
        <v>0</v>
      </c>
      <c r="I59" s="836">
        <f>SUMIF(修正!A57:A68,H59,修正!D57:D68)</f>
        <v>0</v>
      </c>
      <c r="J59" s="840"/>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SUMIF(修正!A57:A68,H60,修正!E57:E68)</f>
        <v>0</v>
      </c>
      <c r="J60" s="840"/>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SUMIF(修正!A57:A68,H63,修正!G57:G68)</f>
        <v>0</v>
      </c>
      <c r="J63" s="840"/>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4.4"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SUMIF(修正!A57:A68,H64,修正!G57:G68)</f>
        <v>0</v>
      </c>
      <c r="J64" s="841"/>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thickBot="1">
      <c r="A65" s="613" t="s">
        <v>1903</v>
      </c>
      <c r="B65" s="614" t="s">
        <v>22</v>
      </c>
      <c r="C65" s="614" t="s">
        <v>23</v>
      </c>
      <c r="D65" s="614" t="s">
        <v>392</v>
      </c>
      <c r="E65" s="614">
        <f>IF(B46="楼面地价",SUM(E56:E64),'数据-汇总表'!D3)</f>
        <v>43685.850000000006</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3"/>
      <c r="B66" s="654"/>
      <c r="C66" s="655"/>
      <c r="D66" s="383"/>
      <c r="E66" s="383"/>
      <c r="F66" s="383"/>
      <c r="G66" s="383"/>
      <c r="H66" s="383"/>
      <c r="I66" s="383"/>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3"/>
      <c r="B67" s="654"/>
      <c r="C67" s="654" t="str">
        <f>YEAR(C7)&amp;"-"&amp;MONTH(C7)&amp;"-1"</f>
        <v>2024-12-1</v>
      </c>
      <c r="D67" s="654">
        <f>EDATE(C67,-3)</f>
        <v>45536</v>
      </c>
      <c r="E67" s="654">
        <f>EDATE(D67,-3)</f>
        <v>45444</v>
      </c>
      <c r="F67" s="654">
        <f t="shared" ref="F67:O67" si="18">EDATE(E67,-3)</f>
        <v>45352</v>
      </c>
      <c r="G67" s="654">
        <f t="shared" si="18"/>
        <v>45261</v>
      </c>
      <c r="H67" s="654">
        <f t="shared" si="18"/>
        <v>45170</v>
      </c>
      <c r="I67" s="654">
        <f t="shared" si="18"/>
        <v>45078</v>
      </c>
      <c r="J67" s="654">
        <f t="shared" si="18"/>
        <v>44986</v>
      </c>
      <c r="K67" s="654">
        <f t="shared" si="18"/>
        <v>44896</v>
      </c>
      <c r="L67" s="654">
        <f t="shared" si="18"/>
        <v>44805</v>
      </c>
      <c r="M67" s="654">
        <f t="shared" si="18"/>
        <v>44713</v>
      </c>
      <c r="N67" s="654">
        <f t="shared" si="18"/>
        <v>44621</v>
      </c>
      <c r="O67" s="654">
        <f t="shared" si="18"/>
        <v>44531</v>
      </c>
      <c r="P67" s="2483"/>
      <c r="Q67" s="2483"/>
      <c r="R67" s="2483"/>
      <c r="S67" s="2483"/>
      <c r="T67" s="2483"/>
      <c r="U67" s="2483"/>
      <c r="V67" s="2483"/>
      <c r="W67" s="2483"/>
      <c r="X67" s="2483"/>
      <c r="Y67" s="2483"/>
      <c r="Z67" s="2483"/>
      <c r="AA67" s="2483"/>
      <c r="AB67" s="2483"/>
      <c r="AC67" s="2483"/>
    </row>
    <row r="68" spans="1:29" ht="22.2" thickBot="1">
      <c r="A68" s="656" t="s">
        <v>1798</v>
      </c>
      <c r="B68" s="383"/>
      <c r="C68" s="657"/>
      <c r="D68" s="657"/>
      <c r="E68" s="657"/>
      <c r="F68" s="658"/>
      <c r="G68" s="658"/>
      <c r="H68" s="657"/>
      <c r="I68" s="657"/>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0" customFormat="1" ht="14.4">
      <c r="A69" s="1628" t="s">
        <v>1904</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6"/>
      <c r="Q69" s="2506"/>
      <c r="R69" s="2506"/>
      <c r="S69" s="2506"/>
      <c r="T69" s="2506"/>
      <c r="U69" s="2506"/>
      <c r="V69" s="2506"/>
      <c r="W69" s="2506"/>
      <c r="X69" s="2506"/>
      <c r="Y69" s="2506"/>
      <c r="Z69" s="2506"/>
      <c r="AA69" s="2506"/>
      <c r="AB69" s="2506"/>
      <c r="AC69" s="2506"/>
    </row>
    <row r="70" spans="1:29" s="101"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1" customFormat="1" ht="15" thickBot="1">
      <c r="A71" s="447" t="s">
        <v>1716</v>
      </c>
      <c r="B71" s="448"/>
      <c r="C71" s="449"/>
      <c r="D71" s="450"/>
      <c r="E71" s="450"/>
      <c r="F71" s="450"/>
      <c r="G71" s="450"/>
      <c r="H71" s="450"/>
      <c r="I71" s="450"/>
      <c r="J71" s="450"/>
      <c r="K71" s="450"/>
      <c r="L71" s="450"/>
      <c r="M71" s="451"/>
      <c r="N71" s="450"/>
      <c r="O71" s="887"/>
      <c r="P71" s="2504"/>
      <c r="Q71" s="2504"/>
      <c r="R71" s="2436"/>
      <c r="S71" s="2436"/>
      <c r="T71" s="2436"/>
      <c r="U71" s="2436"/>
      <c r="V71" s="2436"/>
      <c r="W71" s="2436"/>
      <c r="X71" s="2436"/>
      <c r="Y71" s="2436"/>
      <c r="Z71" s="2436"/>
      <c r="AA71" s="2436"/>
      <c r="AB71" s="2436"/>
      <c r="AC71" s="2436"/>
    </row>
    <row r="72" spans="1:29" s="101" customFormat="1" ht="14.4">
      <c r="A72" s="453" t="s">
        <v>1681</v>
      </c>
      <c r="B72" s="442"/>
      <c r="C72" s="454" t="s">
        <v>1776</v>
      </c>
      <c r="D72" s="31"/>
      <c r="E72" s="31"/>
      <c r="F72" s="31"/>
      <c r="G72" s="31"/>
      <c r="H72" s="31"/>
      <c r="I72" s="31"/>
      <c r="J72" s="31"/>
      <c r="K72" s="31"/>
      <c r="L72" s="455"/>
      <c r="M72" s="456"/>
      <c r="N72" s="2516"/>
      <c r="O72" s="2516"/>
      <c r="P72" s="2540"/>
      <c r="Q72" s="2504"/>
      <c r="R72" s="2436"/>
      <c r="S72" s="2436"/>
      <c r="T72" s="2436"/>
      <c r="U72" s="2436"/>
      <c r="V72" s="2436"/>
      <c r="W72" s="2436"/>
      <c r="X72" s="2436"/>
      <c r="Y72" s="2436"/>
      <c r="Z72" s="2436"/>
      <c r="AA72" s="2436"/>
      <c r="AB72" s="2436"/>
      <c r="AC72" s="2436"/>
    </row>
    <row r="73" spans="1:29" s="101" customFormat="1" ht="14.4" thickBot="1">
      <c r="A73" s="453"/>
      <c r="B73" s="442"/>
      <c r="C73" s="561">
        <v>100</v>
      </c>
      <c r="D73" s="444"/>
      <c r="E73" s="444"/>
      <c r="F73" s="444"/>
      <c r="G73" s="444"/>
      <c r="H73" s="444"/>
      <c r="I73" s="444"/>
      <c r="J73" s="444"/>
      <c r="K73" s="444"/>
      <c r="L73" s="444"/>
      <c r="M73" s="446"/>
      <c r="N73" s="2516"/>
      <c r="O73" s="2516"/>
      <c r="P73" s="2504"/>
      <c r="Q73" s="2504"/>
      <c r="R73" s="2436"/>
      <c r="S73" s="2436"/>
      <c r="T73" s="2436"/>
      <c r="U73" s="2436"/>
      <c r="V73" s="2436"/>
      <c r="W73" s="2436"/>
      <c r="X73" s="2436"/>
      <c r="Y73" s="2436"/>
      <c r="Z73" s="2436"/>
      <c r="AA73" s="2436"/>
      <c r="AB73" s="2436"/>
      <c r="AC73" s="2436"/>
    </row>
    <row r="74" spans="1:29" ht="14.4">
      <c r="A74" s="377" t="s">
        <v>1719</v>
      </c>
      <c r="B74" s="458" t="s">
        <v>1685</v>
      </c>
      <c r="C74" s="460"/>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4.4" thickBot="1">
      <c r="A75" s="365"/>
      <c r="B75" s="464"/>
      <c r="C75" s="465"/>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9.4" thickTop="1">
      <c r="A76" s="365"/>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4.4" thickBot="1">
      <c r="A77" s="365"/>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8"/>
      <c r="O78" s="2518"/>
      <c r="P78" s="2516"/>
      <c r="Q78" s="2504"/>
      <c r="R78" s="2483"/>
      <c r="S78" s="2483"/>
      <c r="T78" s="2483"/>
      <c r="U78" s="2483"/>
      <c r="V78" s="2483"/>
      <c r="W78" s="2483"/>
      <c r="X78" s="2483"/>
      <c r="Y78" s="2483"/>
      <c r="Z78" s="2483"/>
      <c r="AA78" s="2483"/>
      <c r="AB78" s="2483"/>
      <c r="AC78" s="2483"/>
    </row>
    <row r="79" spans="1:29">
      <c r="A79" s="365"/>
      <c r="B79" s="477"/>
      <c r="C79" s="478"/>
      <c r="D79" s="478"/>
      <c r="E79" s="478"/>
      <c r="F79" s="478"/>
      <c r="G79" s="478"/>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8"/>
      <c r="O80" s="2518"/>
      <c r="P80" s="2516"/>
      <c r="Q80" s="2504"/>
      <c r="R80" s="2483"/>
      <c r="S80" s="2483"/>
      <c r="T80" s="2483"/>
      <c r="U80" s="2483"/>
      <c r="V80" s="2483"/>
      <c r="W80" s="2483"/>
      <c r="X80" s="2483"/>
      <c r="Y80" s="2483"/>
      <c r="Z80" s="2483"/>
      <c r="AA80" s="2483"/>
      <c r="AB80" s="2483"/>
      <c r="AC80" s="2483"/>
    </row>
    <row r="81" spans="1:29" s="406" customFormat="1" ht="14.4" thickTop="1">
      <c r="A81" s="482"/>
      <c r="B81" s="467" t="str">
        <f>B12</f>
        <v>配建</v>
      </c>
      <c r="C81" s="483"/>
      <c r="D81" s="483"/>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6" customFormat="1" ht="14.4" thickBot="1">
      <c r="A82" s="482"/>
      <c r="B82" s="472"/>
      <c r="C82" s="489"/>
      <c r="D82" s="465"/>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6" customFormat="1" ht="14.4"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6" customFormat="1" ht="14.4"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6" customFormat="1" ht="14.4"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6" customFormat="1" ht="14.4"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ht="14.4">
      <c r="A87" s="377"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 thickTop="1">
      <c r="A89" s="365"/>
      <c r="B89" s="467" t="s">
        <v>1906</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 thickTop="1">
      <c r="A91" s="365"/>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 thickTop="1">
      <c r="A93" s="365"/>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1" customFormat="1" ht="29.4" thickTop="1">
      <c r="A95" s="368"/>
      <c r="B95" s="467" t="s">
        <v>1907</v>
      </c>
      <c r="C95" s="507" t="s">
        <v>1721</v>
      </c>
      <c r="D95" s="507" t="s">
        <v>1722</v>
      </c>
      <c r="E95" s="507" t="s">
        <v>1723</v>
      </c>
      <c r="F95" s="507" t="s">
        <v>1724</v>
      </c>
      <c r="G95" s="507" t="s">
        <v>1725</v>
      </c>
      <c r="H95" s="507"/>
      <c r="I95" s="507"/>
      <c r="J95" s="507"/>
      <c r="K95" s="507"/>
      <c r="L95" s="616"/>
      <c r="M95" s="545"/>
      <c r="N95" s="2516"/>
      <c r="O95" s="2516"/>
      <c r="P95" s="2516"/>
      <c r="Q95" s="2504"/>
      <c r="R95" s="2436"/>
      <c r="S95" s="2436"/>
      <c r="T95" s="2436"/>
      <c r="U95" s="2436"/>
      <c r="V95" s="2436"/>
      <c r="W95" s="2436"/>
      <c r="X95" s="2436"/>
      <c r="Y95" s="2436"/>
      <c r="Z95" s="2436"/>
      <c r="AA95" s="2436"/>
      <c r="AB95" s="2436"/>
      <c r="AC95" s="2436"/>
    </row>
    <row r="96" spans="1:29" s="101" customFormat="1" ht="14.4" thickBot="1">
      <c r="A96" s="368"/>
      <c r="B96" s="472"/>
      <c r="C96" s="510">
        <v>100</v>
      </c>
      <c r="D96" s="473">
        <f>C96-$K23</f>
        <v>100</v>
      </c>
      <c r="E96" s="473">
        <f>D96-$K23</f>
        <v>100</v>
      </c>
      <c r="F96" s="473">
        <f>E96-$K23</f>
        <v>100</v>
      </c>
      <c r="G96" s="473">
        <f>F96-$K23</f>
        <v>100</v>
      </c>
      <c r="H96" s="473"/>
      <c r="I96" s="473"/>
      <c r="J96" s="473"/>
      <c r="K96" s="473"/>
      <c r="L96" s="473"/>
      <c r="M96" s="474"/>
      <c r="N96" s="2518"/>
      <c r="O96" s="2518"/>
      <c r="P96" s="2516"/>
      <c r="Q96" s="2504"/>
      <c r="R96" s="2436"/>
      <c r="S96" s="2436"/>
      <c r="T96" s="2436"/>
      <c r="U96" s="2436"/>
      <c r="V96" s="2436"/>
      <c r="W96" s="2436"/>
      <c r="X96" s="2436"/>
      <c r="Y96" s="2436"/>
      <c r="Z96" s="2436"/>
      <c r="AA96" s="2436"/>
      <c r="AB96" s="2436"/>
      <c r="AC96" s="2436"/>
    </row>
    <row r="97" spans="1:29" s="101" customFormat="1" ht="29.4" thickTop="1">
      <c r="A97" s="368"/>
      <c r="B97" s="467" t="s">
        <v>1908</v>
      </c>
      <c r="C97" s="502" t="s">
        <v>1721</v>
      </c>
      <c r="D97" s="502" t="s">
        <v>1722</v>
      </c>
      <c r="E97" s="502" t="s">
        <v>1723</v>
      </c>
      <c r="F97" s="502" t="s">
        <v>1724</v>
      </c>
      <c r="G97" s="502" t="s">
        <v>1725</v>
      </c>
      <c r="H97" s="507"/>
      <c r="I97" s="507"/>
      <c r="J97" s="507"/>
      <c r="K97" s="507"/>
      <c r="L97" s="507"/>
      <c r="M97" s="545"/>
      <c r="N97" s="2516"/>
      <c r="O97" s="2516"/>
      <c r="P97" s="2516"/>
      <c r="Q97" s="2504"/>
      <c r="R97" s="2436"/>
      <c r="S97" s="2436"/>
      <c r="T97" s="2436"/>
      <c r="U97" s="2436"/>
      <c r="V97" s="2436"/>
      <c r="W97" s="2436"/>
      <c r="X97" s="2436"/>
      <c r="Y97" s="2436"/>
      <c r="Z97" s="2436"/>
      <c r="AA97" s="2436"/>
      <c r="AB97" s="2436"/>
      <c r="AC97" s="2436"/>
    </row>
    <row r="98" spans="1:29" s="101" customFormat="1" ht="14.4" thickBot="1">
      <c r="A98" s="368"/>
      <c r="B98" s="472"/>
      <c r="C98" s="473">
        <v>100</v>
      </c>
      <c r="D98" s="473">
        <f>C98-$K25</f>
        <v>100</v>
      </c>
      <c r="E98" s="473">
        <f>D98-$K25</f>
        <v>100</v>
      </c>
      <c r="F98" s="473">
        <f>E98-$K25</f>
        <v>100</v>
      </c>
      <c r="G98" s="473">
        <f>F98-$K25</f>
        <v>100</v>
      </c>
      <c r="H98" s="473"/>
      <c r="I98" s="473"/>
      <c r="J98" s="473"/>
      <c r="K98" s="473"/>
      <c r="L98" s="473"/>
      <c r="M98" s="474"/>
      <c r="N98" s="2518"/>
      <c r="O98" s="2518"/>
      <c r="P98" s="2516"/>
      <c r="Q98" s="2504"/>
      <c r="R98" s="2436"/>
      <c r="S98" s="2436"/>
      <c r="T98" s="2436"/>
      <c r="U98" s="2436"/>
      <c r="V98" s="2436"/>
      <c r="W98" s="2436"/>
      <c r="X98" s="2436"/>
      <c r="Y98" s="2436"/>
      <c r="Z98" s="2436"/>
      <c r="AA98" s="2436"/>
      <c r="AB98" s="2436"/>
      <c r="AC98" s="2436"/>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19"/>
      <c r="O101" s="2519"/>
      <c r="P101" s="2519"/>
      <c r="Q101" s="2511"/>
      <c r="R101" s="2489"/>
      <c r="S101" s="2489"/>
      <c r="T101" s="2489"/>
      <c r="U101" s="2489"/>
      <c r="V101" s="2489"/>
      <c r="W101" s="2489"/>
      <c r="X101" s="2489"/>
      <c r="Y101" s="2489"/>
      <c r="Z101" s="2489"/>
      <c r="AA101" s="2489"/>
      <c r="AB101" s="2489"/>
      <c r="AC101" s="2489"/>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5"/>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5"/>
      <c r="B107" s="467" t="s">
        <v>1873</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5"/>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4.4" thickBot="1">
      <c r="A110" s="365"/>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4.4"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4.4" thickBot="1">
      <c r="A112" s="365"/>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6" customFormat="1" ht="14.4" thickTop="1">
      <c r="A113" s="404"/>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6" customFormat="1" ht="14.4"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5"/>
      <c r="B116" s="475"/>
      <c r="C116" s="6"/>
      <c r="D116" s="6"/>
      <c r="E116" s="6"/>
      <c r="F116" s="6"/>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4.4" thickBot="1">
      <c r="A117" s="365"/>
      <c r="B117" s="472"/>
      <c r="C117" s="499"/>
      <c r="D117" s="519"/>
      <c r="E117" s="519"/>
      <c r="F117" s="519"/>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7"/>
      <c r="B118" s="467" t="s">
        <v>1914</v>
      </c>
      <c r="C118" s="511"/>
      <c r="D118" s="511"/>
      <c r="E118" s="511"/>
      <c r="F118" s="511"/>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7"/>
      <c r="B120" s="467" t="s">
        <v>1915</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8"/>
      <c r="O121" s="2518"/>
      <c r="P121" s="2516"/>
      <c r="Q121" s="2504"/>
      <c r="R121" s="2483"/>
      <c r="S121" s="2483"/>
      <c r="T121" s="2483"/>
      <c r="U121" s="2483"/>
      <c r="V121" s="2483"/>
      <c r="W121" s="2483"/>
      <c r="X121" s="2483"/>
      <c r="Y121" s="2483"/>
      <c r="Z121" s="2483"/>
      <c r="AA121" s="2483"/>
      <c r="AB121" s="2483"/>
      <c r="AC121" s="2483"/>
    </row>
    <row r="122" spans="1:29" s="406" customFormat="1" ht="15" thickTop="1">
      <c r="A122" s="404"/>
      <c r="B122" s="467" t="s">
        <v>1916</v>
      </c>
      <c r="C122" s="483"/>
      <c r="D122" s="483"/>
      <c r="E122" s="483"/>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7"/>
      <c r="B124" s="467" t="s">
        <v>1917</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7"/>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4.4" thickBot="1">
      <c r="A127" s="365"/>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4.4" thickTop="1">
      <c r="A128" s="407"/>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4.4" thickBot="1">
      <c r="A129" s="365"/>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6" customFormat="1" ht="14.4" thickTop="1">
      <c r="A130" s="404"/>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6" customFormat="1" ht="14.4"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2082</v>
      </c>
      <c r="C1" s="3452" t="s">
        <v>2083</v>
      </c>
      <c r="D1" s="3453"/>
      <c r="E1" s="3453"/>
      <c r="F1" s="3453"/>
      <c r="G1" s="3453"/>
      <c r="H1" s="3453"/>
      <c r="I1" s="3453"/>
      <c r="J1" s="3453"/>
      <c r="K1" s="3453"/>
      <c r="L1" s="3453"/>
      <c r="M1" s="3453"/>
      <c r="N1" s="3453"/>
      <c r="O1" s="3453"/>
      <c r="P1" s="3453"/>
      <c r="Q1" s="3453"/>
      <c r="R1" s="3453"/>
      <c r="S1" s="3454"/>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2086</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2092</v>
      </c>
      <c r="B17" s="1985"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2094</v>
      </c>
      <c r="E19" s="1251"/>
      <c r="F19" s="1251"/>
      <c r="G19" s="1251"/>
      <c r="H19" s="994"/>
      <c r="I19" s="149"/>
      <c r="J19" s="149"/>
      <c r="K19" s="149"/>
      <c r="L19" s="149"/>
      <c r="M19" s="149"/>
      <c r="N19" s="149"/>
      <c r="O19" s="149"/>
      <c r="P19" s="149"/>
      <c r="Q19" s="149"/>
      <c r="R19" s="149"/>
      <c r="S19" s="119"/>
    </row>
    <row r="20" spans="1:45" ht="16.2" thickBot="1">
      <c r="A20" s="630" t="s">
        <v>2095</v>
      </c>
      <c r="B20" s="284" t="e">
        <f ca="1">IF(D20="——",S22,S22-F20)</f>
        <v>#REF!</v>
      </c>
      <c r="C20" s="149"/>
      <c r="D20" s="1987"/>
      <c r="E20" s="1252"/>
      <c r="F20" s="927" t="e">
        <f ca="1">SUMIF(INDIRECT("'"&amp;H20&amp;"'"&amp;"!A:A"),"承租人权益价值",INDIRECT("'"&amp;H20&amp;"'"&amp;"!c:c"))</f>
        <v>#REF!</v>
      </c>
      <c r="G20" s="927" t="s">
        <v>2096</v>
      </c>
      <c r="H20" s="1988"/>
      <c r="I20" s="149"/>
      <c r="J20" s="149"/>
      <c r="K20" s="149"/>
      <c r="L20" s="149"/>
      <c r="M20" s="149"/>
      <c r="N20" s="149"/>
      <c r="O20" s="149"/>
      <c r="P20" s="149"/>
      <c r="Q20" s="149"/>
      <c r="R20" s="149"/>
      <c r="S20" s="119"/>
    </row>
    <row r="21" spans="1:45" ht="15.6">
      <c r="A21" s="630" t="s">
        <v>2097</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2098</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2080</v>
      </c>
      <c r="B1" s="4"/>
      <c r="C1" s="4"/>
      <c r="D1" s="4"/>
      <c r="E1" s="4"/>
      <c r="F1" s="2540"/>
      <c r="G1" s="2540"/>
      <c r="H1" s="2540"/>
      <c r="I1" s="2540"/>
      <c r="J1" s="2540"/>
      <c r="K1" s="2540"/>
      <c r="L1" s="2540"/>
      <c r="M1" s="2540"/>
      <c r="N1" s="2540"/>
      <c r="O1" s="2540"/>
      <c r="P1" s="2540"/>
    </row>
    <row r="2" spans="1:16" ht="15.6">
      <c r="A2" s="1982" t="s">
        <v>2072</v>
      </c>
      <c r="B2" s="2384" t="e">
        <f ca="1">SUMIF(B6:B13,"&lt;&gt;#ref!",B6:B13)</f>
        <v>#DIV/0!</v>
      </c>
      <c r="C2" s="1982" t="s">
        <v>2073</v>
      </c>
      <c r="D2" s="1982" t="s">
        <v>2074</v>
      </c>
      <c r="E2" s="2394">
        <f ca="1">SUMIF(E6:E13,"&lt;&gt;#ref!",E6:E13)</f>
        <v>0</v>
      </c>
      <c r="F2" s="2540"/>
      <c r="G2" s="2540"/>
      <c r="H2" s="2540"/>
      <c r="I2" s="2540"/>
      <c r="J2" s="2540"/>
      <c r="K2" s="2540"/>
      <c r="L2" s="2540"/>
      <c r="M2" s="2540"/>
      <c r="N2" s="2540"/>
      <c r="O2" s="2540"/>
      <c r="P2" s="2540"/>
    </row>
    <row r="3" spans="1:16" ht="15.6">
      <c r="A3" s="1982" t="s">
        <v>2075</v>
      </c>
      <c r="B3" s="2384" t="e">
        <f ca="1">ROUND(B2*10000/E2,0)</f>
        <v>#DIV/0!</v>
      </c>
      <c r="C3" s="1982" t="s">
        <v>2081</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2076</v>
      </c>
      <c r="B5" s="2392" t="s">
        <v>2077</v>
      </c>
      <c r="C5" s="1983"/>
      <c r="D5" s="2540"/>
      <c r="E5" s="2393" t="s">
        <v>2078</v>
      </c>
      <c r="F5" s="2540"/>
      <c r="G5" s="2540"/>
      <c r="H5" s="2540"/>
      <c r="I5" s="2540"/>
      <c r="J5" s="2540"/>
      <c r="K5" s="2540"/>
      <c r="L5" s="2540"/>
      <c r="M5" s="2540"/>
      <c r="N5" s="2540"/>
      <c r="O5" s="2540"/>
      <c r="P5" s="2540"/>
    </row>
    <row r="6" spans="1:16" ht="15.6">
      <c r="A6" s="2391" t="s">
        <v>2079</v>
      </c>
      <c r="B6" s="2384" t="e">
        <f ca="1">SUMIF(INDIRECT("'"&amp;A6&amp;"'"&amp;"!A:A"),"总价",INDIRECT("'"&amp;A6&amp;"'"&amp;"!B:B"))</f>
        <v>#DIV/0!</v>
      </c>
      <c r="C6" s="1982" t="s">
        <v>2073</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2073</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2073</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2073</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2073</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2073</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2073</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2073</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 zoomScaleNormal="80" zoomScaleSheetLayoutView="100" workbookViewId="0">
      <selection activeCell="H20" sqref="H20"/>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6" t="s">
        <v>1925</v>
      </c>
      <c r="B1" s="187"/>
      <c r="C1" s="191" t="s">
        <v>1926</v>
      </c>
      <c r="D1" s="331">
        <f>SUM(D33:D34,D37:D42)</f>
        <v>0</v>
      </c>
      <c r="E1" s="1840"/>
      <c r="F1" s="1840"/>
      <c r="G1" s="1840"/>
      <c r="H1" s="1840"/>
      <c r="I1" s="1840"/>
      <c r="J1" s="1840"/>
      <c r="K1" s="1054"/>
      <c r="L1" s="1841" t="s">
        <v>1927</v>
      </c>
      <c r="M1" s="808">
        <f>SUMPRODUCT((区片价!B5:B9=I2)*(区片价!C3:G3=E2)*(区片价!C5:G9))</f>
        <v>0</v>
      </c>
      <c r="N1" s="811">
        <f>SUMPRODUCT((因素修正幅度!B5:B9=I2)*(因素修正幅度!C3:G3=E2)*(因素修正幅度!C5:G9))</f>
        <v>0</v>
      </c>
      <c r="O1" s="1842"/>
      <c r="P1" s="1842"/>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6">
      <c r="A2" s="191" t="s">
        <v>1933</v>
      </c>
      <c r="B2" s="194" t="e">
        <f>C30</f>
        <v>#DIV/0!</v>
      </c>
      <c r="C2" s="1844" t="s">
        <v>1934</v>
      </c>
      <c r="D2" s="160" t="s">
        <v>1935</v>
      </c>
      <c r="E2" s="3116"/>
      <c r="F2" s="160" t="s">
        <v>1936</v>
      </c>
      <c r="G2" s="161">
        <f>IF(E2="商业",项目基本情况!B37,IF(E2="办公",项目基本情况!C37,IF(E2="住宅",项目基本情况!D37,IF(E2="工业",项目基本情况!E37,项目基本情况!F37))))</f>
        <v>0</v>
      </c>
      <c r="H2" s="160" t="s">
        <v>1937</v>
      </c>
      <c r="I2" s="161">
        <f>IF(E2="商业",项目基本情况!B38,IF(E2="办公",项目基本情况!C38,IF(E2="住宅",项目基本情况!D38,IF(E2="工业",项目基本情况!E38,项目基本情况!F38))))</f>
        <v>0</v>
      </c>
      <c r="J2" s="1840"/>
      <c r="K2" s="1054"/>
      <c r="L2" s="1845" t="s">
        <v>1938</v>
      </c>
      <c r="M2" s="809">
        <f>SUMPRODUCT((区片价!B10:B29=I2)*(区片价!C3:G3=E2)*(区片价!C10:G29))</f>
        <v>0</v>
      </c>
      <c r="N2" s="811">
        <f>SUMPRODUCT((因素修正幅度!B10:B29=I2)*(因素修正幅度!C3:G3=E2)*(因素修正幅度!C10:G29))</f>
        <v>0</v>
      </c>
      <c r="O2" s="1054"/>
      <c r="P2" s="1054"/>
      <c r="Q2" s="1054"/>
      <c r="R2" s="1127">
        <v>1</v>
      </c>
      <c r="S2" s="3059">
        <f>ROUND(SUMPRODUCT((B106:B110=R2)*(C105:N105=G2)*(C106:N110)),4)</f>
        <v>0</v>
      </c>
      <c r="T2" s="3059" t="e">
        <f t="shared" ref="T2:T16" si="0">ROUND($C$5*$C$22*$C$23*$C$24*S2*$C$28,0)</f>
        <v>#DIV/0!</v>
      </c>
      <c r="U2" s="1128"/>
      <c r="V2" s="3059" t="e">
        <f>ROUND(T2*U2/10000,0)</f>
        <v>#DIV/0!</v>
      </c>
      <c r="W2" s="1131"/>
      <c r="X2" s="1131"/>
      <c r="Y2" s="1131"/>
      <c r="Z2" s="1131"/>
      <c r="AA2" s="1131"/>
      <c r="AB2" s="1131"/>
      <c r="AC2" s="1132"/>
      <c r="AD2" s="1133"/>
      <c r="AE2" s="1133"/>
      <c r="AF2" s="1133"/>
      <c r="AG2" s="1133"/>
      <c r="AH2" s="1133"/>
      <c r="AI2" s="1133"/>
      <c r="AJ2" s="1134"/>
    </row>
    <row r="3" spans="1:36" ht="15.6">
      <c r="A3" s="193" t="s">
        <v>1939</v>
      </c>
      <c r="B3" s="194" t="e">
        <f>ROUND(B2*10000/D1,0)</f>
        <v>#DIV/0!</v>
      </c>
      <c r="C3" s="1844" t="s">
        <v>1940</v>
      </c>
      <c r="D3" s="160" t="s">
        <v>1941</v>
      </c>
      <c r="E3" s="3114"/>
      <c r="F3" s="1846"/>
      <c r="G3" s="706">
        <f>IF(F3="宗地容积率",'数据-汇总表'!I4,IF(F3="估价对象容积率",'数据-汇总表'!I6,'数据-汇总表'!I7))</f>
        <v>0</v>
      </c>
      <c r="H3" s="160" t="s">
        <v>1942</v>
      </c>
      <c r="I3" s="727"/>
      <c r="J3" s="1840" t="s">
        <v>1943</v>
      </c>
      <c r="K3" s="1054"/>
      <c r="L3" s="1845" t="s">
        <v>1944</v>
      </c>
      <c r="M3" s="809">
        <f>SUMPRODUCT((区片价!B30:B54=I2)*(区片价!C3:G3=E2)*(区片价!C30:G54))</f>
        <v>0</v>
      </c>
      <c r="N3" s="811">
        <f>SUMPRODUCT((因素修正幅度!B30:B54=I2)*(因素修正幅度!C3:G3=E2)*(因素修正幅度!C30:G54))</f>
        <v>0</v>
      </c>
      <c r="O3" s="1054"/>
      <c r="P3" s="1054"/>
      <c r="Q3" s="1054"/>
      <c r="R3" s="1127">
        <v>2</v>
      </c>
      <c r="S3" s="3059">
        <f>ROUND(SUMPRODUCT((B106:B110=R3)*(C105:N105=G2)*(C106:N110)),4)</f>
        <v>0</v>
      </c>
      <c r="T3" s="3059" t="e">
        <f t="shared" si="0"/>
        <v>#DIV/0!</v>
      </c>
      <c r="U3" s="1128"/>
      <c r="V3" s="3059" t="e">
        <f t="shared" ref="V3:V16" si="1">ROUND(T3*U3/10000,0)</f>
        <v>#DIV/0!</v>
      </c>
      <c r="W3" s="1131"/>
      <c r="X3" s="1131"/>
      <c r="Y3" s="1131"/>
      <c r="Z3" s="1131"/>
      <c r="AA3" s="1131"/>
      <c r="AB3" s="1131"/>
      <c r="AC3" s="1132"/>
      <c r="AD3" s="1133"/>
      <c r="AE3" s="1133"/>
      <c r="AF3" s="1133"/>
      <c r="AG3" s="1133"/>
      <c r="AH3" s="1133"/>
      <c r="AI3" s="1133"/>
      <c r="AJ3" s="1134"/>
    </row>
    <row r="4" spans="1:36" ht="15.6">
      <c r="A4" s="3462"/>
      <c r="B4" s="3463"/>
      <c r="C4" s="3463"/>
      <c r="D4" s="3464"/>
      <c r="E4" s="3464"/>
      <c r="F4" s="3464"/>
      <c r="G4" s="3464"/>
      <c r="H4" s="3464"/>
      <c r="I4" s="3464"/>
      <c r="J4" s="3465"/>
      <c r="K4" s="1054"/>
      <c r="L4" s="1845" t="s">
        <v>1945</v>
      </c>
      <c r="M4" s="809">
        <f>SUMPRODUCT((区片价!B55:B86=I2)*(区片价!C3:G3=E2)*(区片价!C55:G86))</f>
        <v>0</v>
      </c>
      <c r="N4" s="811">
        <f>SUMPRODUCT((因素修正幅度!B55:B86=I2)*(因素修正幅度!C3:G3=E2)*(因素修正幅度!C55:G86))</f>
        <v>0</v>
      </c>
      <c r="O4" s="1054"/>
      <c r="P4" s="1054"/>
      <c r="Q4" s="1054"/>
      <c r="R4" s="1127">
        <v>3</v>
      </c>
      <c r="S4" s="3059">
        <f>ROUND(SUMPRODUCT((B106:B110=R4)*(C105:N105=G2)*(C106:N110)),4)</f>
        <v>0</v>
      </c>
      <c r="T4" s="3059" t="e">
        <f t="shared" si="0"/>
        <v>#DIV/0!</v>
      </c>
      <c r="U4" s="1128"/>
      <c r="V4" s="3059" t="e">
        <f t="shared" si="1"/>
        <v>#DIV/0!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1946</v>
      </c>
      <c r="C5" s="707" t="e">
        <f>ROUND(IF(E2="商业",C6*C7*C17+C20,(IF(E2="住宅",C6*C13*C17+C20,IF(E2="办公",C6*C12*C17+C20,C6+C20)))),0)</f>
        <v>#DIV/0!</v>
      </c>
      <c r="D5" s="1250" t="e">
        <f>ROUND(C6*C17+C20,0)</f>
        <v>#DIV/0!</v>
      </c>
      <c r="E5" s="1250"/>
      <c r="F5" s="1849"/>
      <c r="G5" s="1850"/>
      <c r="H5" s="1850"/>
      <c r="I5" s="1850"/>
      <c r="J5" s="1851"/>
      <c r="K5" s="1852"/>
      <c r="L5" s="1845" t="s">
        <v>1947</v>
      </c>
      <c r="M5" s="809">
        <f>SUMPRODUCT((区片价!B87:B126=I2)*(区片价!C3:G3=E2)*(区片价!C87:G126))</f>
        <v>0</v>
      </c>
      <c r="N5" s="811">
        <f>SUMPRODUCT((因素修正幅度!B87:B126=I2)*(因素修正幅度!C3:G3=E2)*(因素修正幅度!C87:G126))</f>
        <v>0</v>
      </c>
      <c r="O5" s="1054"/>
      <c r="P5" s="1054"/>
      <c r="Q5" s="1054"/>
      <c r="R5" s="1127">
        <v>4</v>
      </c>
      <c r="S5" s="3059">
        <f>ROUND(SUMPRODUCT((B106:B110=R5)*(C105:N105=G2)*(C106:N110)),4)</f>
        <v>0</v>
      </c>
      <c r="T5" s="3059" t="e">
        <f t="shared" si="0"/>
        <v>#DIV/0!</v>
      </c>
      <c r="U5" s="1128"/>
      <c r="V5" s="3059" t="e">
        <f t="shared" si="1"/>
        <v>#DIV/0!</v>
      </c>
      <c r="W5" s="1131"/>
      <c r="X5" s="1131"/>
      <c r="Y5" s="1131"/>
      <c r="Z5" s="1131"/>
      <c r="AA5" s="1131"/>
      <c r="AB5" s="1131"/>
      <c r="AC5" s="1853"/>
      <c r="AD5" s="1854"/>
      <c r="AE5" s="1854"/>
      <c r="AF5" s="1854"/>
      <c r="AG5" s="1854"/>
      <c r="AH5" s="1854"/>
      <c r="AI5" s="1854"/>
      <c r="AJ5" s="1855"/>
    </row>
    <row r="6" spans="1:36" ht="15.6" thickBot="1">
      <c r="A6" s="1857" t="s">
        <v>1948</v>
      </c>
      <c r="B6" s="1858" t="s">
        <v>1949</v>
      </c>
      <c r="C6" s="708">
        <f>SUMIF(L1:L12,G2,M1:M12)</f>
        <v>0</v>
      </c>
      <c r="D6" s="1859"/>
      <c r="E6" s="1860"/>
      <c r="F6" s="1860"/>
      <c r="G6" s="1861"/>
      <c r="H6" s="1861"/>
      <c r="I6" s="1861"/>
      <c r="J6" s="1862"/>
      <c r="K6" s="1290"/>
      <c r="L6" s="1845" t="s">
        <v>1950</v>
      </c>
      <c r="M6" s="809">
        <f>SUMPRODUCT((区片价!B127:B189=I2)*(区片价!C3:G3=E2)*(区片价!C127:G189))</f>
        <v>0</v>
      </c>
      <c r="N6" s="811">
        <f>SUMPRODUCT((因素修正幅度!B127:B189=I2)*(因素修正幅度!C3:G3=E2)*(因素修正幅度!C127:G189))</f>
        <v>0</v>
      </c>
      <c r="O6" s="1054"/>
      <c r="P6" s="1054"/>
      <c r="Q6" s="1054"/>
      <c r="R6" s="1127">
        <v>5</v>
      </c>
      <c r="S6" s="3059">
        <f>ROUND(SUMPRODUCT((B106:B110=R6)*(C105:N105=G2)*(C106:N110)),4)</f>
        <v>0</v>
      </c>
      <c r="T6" s="3059" t="e">
        <f t="shared" si="0"/>
        <v>#DIV/0!</v>
      </c>
      <c r="U6" s="1128"/>
      <c r="V6" s="3059" t="e">
        <f t="shared" si="1"/>
        <v>#DIV/0!</v>
      </c>
      <c r="W6" s="1131"/>
      <c r="X6" s="1131"/>
      <c r="Y6" s="1131"/>
      <c r="Z6" s="1131"/>
      <c r="AA6" s="1131"/>
      <c r="AB6" s="1131"/>
      <c r="AC6" s="1853"/>
      <c r="AD6" s="1854"/>
      <c r="AE6" s="1854"/>
      <c r="AF6" s="1854"/>
      <c r="AG6" s="1854"/>
      <c r="AH6" s="1854"/>
      <c r="AI6" s="1854"/>
      <c r="AJ6" s="1855"/>
    </row>
    <row r="7" spans="1:36" ht="24.6" thickBot="1">
      <c r="A7" s="3008" t="s">
        <v>3229</v>
      </c>
      <c r="B7" s="1863" t="s">
        <v>1951</v>
      </c>
      <c r="C7" s="709" t="e">
        <f>IF(C8="不临65条商业街",1,ROUND(1+(1.6*E8+1.2*E9+0.8*E10+0.4*E11)*C9,4))</f>
        <v>#DIV/0!</v>
      </c>
      <c r="D7" s="1864" t="s">
        <v>1952</v>
      </c>
      <c r="E7" s="728"/>
      <c r="F7" s="1865"/>
      <c r="G7" s="1866"/>
      <c r="H7" s="1866"/>
      <c r="I7" s="1866"/>
      <c r="J7" s="1867"/>
      <c r="K7" s="1290"/>
      <c r="L7" s="1845" t="s">
        <v>1953</v>
      </c>
      <c r="M7" s="809">
        <f>SUMPRODUCT((区片价!B190:B233=I2)*(区片价!C3:G3=E2)*(区片价!C190:G233))</f>
        <v>0</v>
      </c>
      <c r="N7" s="811">
        <f>SUMPRODUCT((因素修正幅度!B190:B233=I2)*(因素修正幅度!C3:G3=E2)*(因素修正幅度!C190:G233))</f>
        <v>0</v>
      </c>
      <c r="O7" s="1054"/>
      <c r="P7" s="1054"/>
      <c r="Q7" s="1054"/>
      <c r="R7" s="1127">
        <v>6</v>
      </c>
      <c r="S7" s="3113"/>
      <c r="T7" s="3059" t="e">
        <f t="shared" si="0"/>
        <v>#DIV/0!</v>
      </c>
      <c r="U7" s="1128"/>
      <c r="V7" s="3059" t="e">
        <f t="shared" si="1"/>
        <v>#DIV/0!</v>
      </c>
      <c r="W7" s="1265" t="s">
        <v>1954</v>
      </c>
      <c r="X7" s="1129">
        <f>G2</f>
        <v>0</v>
      </c>
      <c r="Y7" s="1129" t="s">
        <v>1955</v>
      </c>
      <c r="Z7" s="1130">
        <f>G3</f>
        <v>0</v>
      </c>
      <c r="AA7" s="1131"/>
      <c r="AB7" s="1131"/>
      <c r="AC7" s="1132"/>
      <c r="AD7" s="1133"/>
      <c r="AE7" s="1133"/>
      <c r="AF7" s="1133"/>
      <c r="AG7" s="1133"/>
      <c r="AH7" s="1133"/>
      <c r="AI7" s="1133"/>
      <c r="AJ7" s="1134"/>
    </row>
    <row r="8" spans="1:36" ht="15">
      <c r="A8" s="3005"/>
      <c r="B8" s="160" t="s">
        <v>1956</v>
      </c>
      <c r="C8" s="1868"/>
      <c r="D8" s="710" t="s">
        <v>112</v>
      </c>
      <c r="E8" s="711" t="e">
        <f>ROUND(C11/E7,4)</f>
        <v>#DIV/0!</v>
      </c>
      <c r="F8" s="1869" t="s">
        <v>1957</v>
      </c>
      <c r="G8" s="1870"/>
      <c r="H8" s="1870"/>
      <c r="I8" s="1870"/>
      <c r="J8" s="1871"/>
      <c r="K8" s="1054"/>
      <c r="L8" s="1845" t="s">
        <v>1958</v>
      </c>
      <c r="M8" s="809">
        <f>SUMPRODUCT((区片价!B234:B276=I2)*(区片价!C3:G3=E2)*(区片价!C234:G276))</f>
        <v>0</v>
      </c>
      <c r="N8" s="811">
        <f>SUMPRODUCT((因素修正幅度!B234:B276=I2)*(因素修正幅度!C3:G3=E2)*(因素修正幅度!C234:G276))</f>
        <v>0</v>
      </c>
      <c r="O8" s="1054"/>
      <c r="P8" s="1054"/>
      <c r="Q8" s="1054"/>
      <c r="R8" s="1127">
        <v>7</v>
      </c>
      <c r="S8" s="1128"/>
      <c r="T8" s="3059" t="e">
        <f t="shared" si="0"/>
        <v>#DIV/0!</v>
      </c>
      <c r="U8" s="1128"/>
      <c r="V8" s="3059" t="e">
        <f t="shared" si="1"/>
        <v>#DIV/0!</v>
      </c>
      <c r="W8" s="3459" t="s">
        <v>1959</v>
      </c>
      <c r="X8" s="3460"/>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5"/>
      <c r="B9" s="160" t="s">
        <v>1972</v>
      </c>
      <c r="C9" s="712">
        <f>SUMIF(修正!C71:C138,C8,修正!E71:E138)</f>
        <v>0</v>
      </c>
      <c r="D9" s="161" t="s">
        <v>113</v>
      </c>
      <c r="E9" s="161" t="e">
        <f>ROUND(C11/E7,4)</f>
        <v>#DIV/0!</v>
      </c>
      <c r="F9" s="1869" t="s">
        <v>1973</v>
      </c>
      <c r="G9" s="1870"/>
      <c r="H9" s="1870"/>
      <c r="I9" s="1870"/>
      <c r="J9" s="1871"/>
      <c r="K9" s="1054"/>
      <c r="L9" s="1845" t="s">
        <v>1974</v>
      </c>
      <c r="M9" s="809">
        <f>SUMPRODUCT((区片价!B277:B326=I2)*(区片价!C3:G3=E2)*(区片价!C277:G326))</f>
        <v>0</v>
      </c>
      <c r="N9" s="811">
        <f>SUMPRODUCT((因素修正幅度!B277:B326=I2)*(因素修正幅度!C3:G3=E2)*(因素修正幅度!C277:G326))</f>
        <v>0</v>
      </c>
      <c r="O9" s="1054"/>
      <c r="P9" s="1054"/>
      <c r="Q9" s="1054"/>
      <c r="R9" s="1127">
        <v>8</v>
      </c>
      <c r="S9" s="1128"/>
      <c r="T9" s="3059" t="e">
        <f t="shared" si="0"/>
        <v>#DIV/0!</v>
      </c>
      <c r="U9" s="1128"/>
      <c r="V9" s="3059" t="e">
        <f t="shared" si="1"/>
        <v>#DIV/0!</v>
      </c>
      <c r="W9" s="3461"/>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0" t="s">
        <v>1975</v>
      </c>
      <c r="C10" s="161">
        <f>SUMIF(修正!C71:C138,C8,修正!F71:F138)</f>
        <v>0</v>
      </c>
      <c r="D10" s="161" t="s">
        <v>114</v>
      </c>
      <c r="E10" s="161" t="e">
        <f>ROUND(C11/E7,4)</f>
        <v>#DIV/0!</v>
      </c>
      <c r="F10" s="1869" t="s">
        <v>1976</v>
      </c>
      <c r="G10" s="1870"/>
      <c r="H10" s="1870"/>
      <c r="I10" s="1870"/>
      <c r="J10" s="1871"/>
      <c r="K10" s="1054"/>
      <c r="L10" s="1845" t="s">
        <v>1977</v>
      </c>
      <c r="M10" s="809">
        <f>SUMPRODUCT((区片价!B327:B357=I2)*(区片价!C3:G3=E2)*(区片价!C327:G357))</f>
        <v>0</v>
      </c>
      <c r="N10" s="811">
        <f>SUMPRODUCT((因素修正幅度!B327:B357=I2)*(因素修正幅度!C3:G3=E2)*(因素修正幅度!C327:G357))</f>
        <v>0</v>
      </c>
      <c r="O10" s="1054"/>
      <c r="P10" s="1054"/>
      <c r="Q10" s="1054"/>
      <c r="R10" s="1127">
        <v>9</v>
      </c>
      <c r="S10" s="1128"/>
      <c r="T10" s="3059" t="e">
        <f t="shared" si="0"/>
        <v>#DIV/0!</v>
      </c>
      <c r="U10" s="1128"/>
      <c r="V10" s="3059" t="e">
        <f t="shared" si="1"/>
        <v>#DIV/0!</v>
      </c>
      <c r="W10" s="3461"/>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1978</v>
      </c>
      <c r="C11" s="713">
        <f>C10/4</f>
        <v>0</v>
      </c>
      <c r="D11" s="713" t="s">
        <v>115</v>
      </c>
      <c r="E11" s="713" t="e">
        <f>ROUND(C11/E7,4)</f>
        <v>#DIV/0!</v>
      </c>
      <c r="F11" s="1873" t="s">
        <v>1979</v>
      </c>
      <c r="G11" s="1874"/>
      <c r="H11" s="1874"/>
      <c r="I11" s="1874"/>
      <c r="J11" s="1875"/>
      <c r="K11" s="1054"/>
      <c r="L11" s="1845" t="s">
        <v>1980</v>
      </c>
      <c r="M11" s="809">
        <f>SUMPRODUCT((区片价!B358:B377=I2)*(区片价!C3:G3=E2)*(区片价!C358:G377))</f>
        <v>0</v>
      </c>
      <c r="N11" s="811">
        <f>SUMPRODUCT((因素修正幅度!B358:B377=I2)*(因素修正幅度!C3:G3=E2)*(因素修正幅度!C358:G377))</f>
        <v>0</v>
      </c>
      <c r="O11" s="1054"/>
      <c r="P11" s="1054"/>
      <c r="Q11" s="1054"/>
      <c r="R11" s="1127">
        <v>10</v>
      </c>
      <c r="S11" s="1128"/>
      <c r="T11" s="3059" t="e">
        <f t="shared" si="0"/>
        <v>#DIV/0!</v>
      </c>
      <c r="U11" s="1128"/>
      <c r="V11" s="3059" t="e">
        <f t="shared" si="1"/>
        <v>#DIV/0!</v>
      </c>
      <c r="W11" s="1131"/>
      <c r="X11" s="1131"/>
      <c r="Y11" s="1131"/>
      <c r="Z11" s="1131"/>
      <c r="AA11" s="1131"/>
      <c r="AB11" s="1131"/>
      <c r="AC11" s="1132"/>
      <c r="AD11" s="2549"/>
      <c r="AE11" s="2549"/>
      <c r="AF11" s="2549"/>
      <c r="AG11" s="2549"/>
      <c r="AH11" s="2549"/>
      <c r="AI11" s="2549"/>
      <c r="AJ11" s="2550"/>
    </row>
    <row r="12" spans="1:36" ht="25.8" thickBot="1">
      <c r="A12" s="3008" t="s">
        <v>3230</v>
      </c>
      <c r="B12" s="3009" t="s">
        <v>3231</v>
      </c>
      <c r="C12" s="3010"/>
      <c r="D12" s="3011" t="s">
        <v>3232</v>
      </c>
      <c r="E12" s="3012" t="s">
        <v>3233</v>
      </c>
      <c r="F12" s="3013"/>
      <c r="G12" s="3014"/>
      <c r="H12" s="3014"/>
      <c r="I12" s="3014"/>
      <c r="J12" s="3015"/>
      <c r="K12" s="1054"/>
      <c r="L12" s="1794" t="s">
        <v>1983</v>
      </c>
      <c r="M12" s="810">
        <f>SUMPRODUCT((区片价!B378:B384=I2)*(区片价!C3:G3=E2)*(区片价!C378:G384))</f>
        <v>0</v>
      </c>
      <c r="N12" s="811">
        <f>SUMPRODUCT((因素修正幅度!B378:B384=I2)*(因素修正幅度!C3:G3=E2)*(因素修正幅度!C378:G384))</f>
        <v>0</v>
      </c>
      <c r="O12" s="1054"/>
      <c r="P12" s="1054"/>
      <c r="Q12" s="1054"/>
      <c r="R12" s="1127">
        <v>11</v>
      </c>
      <c r="S12" s="1128"/>
      <c r="T12" s="3059" t="e">
        <f t="shared" si="0"/>
        <v>#DIV/0!</v>
      </c>
      <c r="U12" s="1128"/>
      <c r="V12" s="3059" t="e">
        <f t="shared" si="1"/>
        <v>#DIV/0!</v>
      </c>
      <c r="W12" s="1131"/>
      <c r="X12" s="1131"/>
      <c r="Y12" s="1131"/>
      <c r="Z12" s="1131"/>
      <c r="AA12" s="1131"/>
      <c r="AB12" s="1131"/>
      <c r="AC12" s="1132"/>
      <c r="AD12" s="2549"/>
      <c r="AE12" s="2549"/>
      <c r="AF12" s="2549"/>
      <c r="AG12" s="2549"/>
      <c r="AH12" s="2549"/>
      <c r="AI12" s="2549"/>
      <c r="AJ12" s="2550"/>
    </row>
    <row r="13" spans="1:36" ht="24.6" thickBot="1">
      <c r="A13" s="3008" t="s">
        <v>3234</v>
      </c>
      <c r="B13" s="1876" t="s">
        <v>1981</v>
      </c>
      <c r="C13" s="709">
        <f>ROUND(C16*D16*E16*F16*G16*H16*I16*J16,4)</f>
        <v>0</v>
      </c>
      <c r="D13" s="1877" t="s">
        <v>1982</v>
      </c>
      <c r="E13" s="1878"/>
      <c r="F13" s="1878"/>
      <c r="G13" s="1879"/>
      <c r="H13" s="1879"/>
      <c r="I13" s="1879"/>
      <c r="J13" s="1880"/>
      <c r="K13" s="1054"/>
      <c r="L13" s="3"/>
      <c r="M13" s="4"/>
      <c r="N13" s="3006"/>
      <c r="O13" s="1054"/>
      <c r="P13" s="1054"/>
      <c r="Q13" s="1054"/>
      <c r="R13" s="1127">
        <v>12</v>
      </c>
      <c r="S13" s="1128"/>
      <c r="T13" s="3059" t="e">
        <f t="shared" si="0"/>
        <v>#DIV/0!</v>
      </c>
      <c r="U13" s="1128"/>
      <c r="V13" s="3059" t="e">
        <f t="shared" si="1"/>
        <v>#DIV/0!</v>
      </c>
      <c r="W13" s="1131"/>
      <c r="X13" s="1131"/>
      <c r="Y13" s="1131"/>
      <c r="Z13" s="1131"/>
      <c r="AA13" s="1131"/>
      <c r="AB13" s="1131"/>
      <c r="AC13" s="1132"/>
      <c r="AD13" s="2549"/>
      <c r="AE13" s="2549"/>
      <c r="AF13" s="2549"/>
      <c r="AG13" s="2549"/>
      <c r="AH13" s="2549"/>
      <c r="AI13" s="2549"/>
      <c r="AJ13" s="2550"/>
    </row>
    <row r="14" spans="1:36" ht="24">
      <c r="A14" s="3004"/>
      <c r="B14" s="1881" t="s">
        <v>1984</v>
      </c>
      <c r="C14" s="1882" t="s">
        <v>1985</v>
      </c>
      <c r="D14" s="1259" t="s">
        <v>1986</v>
      </c>
      <c r="E14" s="27" t="s">
        <v>1987</v>
      </c>
      <c r="F14" s="3016" t="s">
        <v>3235</v>
      </c>
      <c r="G14" s="3016" t="s">
        <v>3235</v>
      </c>
      <c r="H14" s="3016" t="s">
        <v>3235</v>
      </c>
      <c r="I14" s="3016" t="s">
        <v>3235</v>
      </c>
      <c r="J14" s="3016" t="s">
        <v>3235</v>
      </c>
      <c r="K14" s="1054"/>
      <c r="L14" s="1054"/>
      <c r="M14" s="1054"/>
      <c r="N14" s="1054"/>
      <c r="O14" s="1054"/>
      <c r="P14" s="1054"/>
      <c r="Q14" s="1054"/>
      <c r="R14" s="1127">
        <v>13</v>
      </c>
      <c r="S14" s="1128"/>
      <c r="T14" s="3059" t="e">
        <f t="shared" si="0"/>
        <v>#DIV/0!</v>
      </c>
      <c r="U14" s="1128"/>
      <c r="V14" s="3059" t="e">
        <f t="shared" si="1"/>
        <v>#DIV/0!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3236</v>
      </c>
      <c r="G15" s="1926"/>
      <c r="H15" s="3017"/>
      <c r="I15" s="3018"/>
      <c r="J15" s="3019"/>
      <c r="K15" s="1054"/>
      <c r="L15" s="1054"/>
      <c r="M15" s="1054"/>
      <c r="N15" s="1054"/>
      <c r="O15" s="1054"/>
      <c r="P15" s="1054"/>
      <c r="Q15" s="1054"/>
      <c r="R15" s="1127">
        <v>14</v>
      </c>
      <c r="S15" s="1128"/>
      <c r="T15" s="3059" t="e">
        <f t="shared" si="0"/>
        <v>#DIV/0!</v>
      </c>
      <c r="U15" s="1128"/>
      <c r="V15" s="3059" t="e">
        <f t="shared" si="1"/>
        <v>#DIV/0!</v>
      </c>
      <c r="W15" s="1131"/>
      <c r="X15" s="1131"/>
      <c r="Y15" s="1131"/>
      <c r="Z15" s="1131"/>
      <c r="AA15" s="1131"/>
      <c r="AB15" s="1131"/>
      <c r="AC15" s="1132"/>
      <c r="AD15" s="2549"/>
      <c r="AE15" s="2549"/>
      <c r="AF15" s="2549"/>
      <c r="AG15" s="2549"/>
      <c r="AH15" s="2549"/>
      <c r="AI15" s="2549"/>
      <c r="AJ15" s="2550"/>
    </row>
    <row r="16" spans="1:36" ht="15.6" thickBot="1">
      <c r="A16" s="3004"/>
      <c r="B16" s="3022" t="s">
        <v>1988</v>
      </c>
      <c r="C16" s="3020"/>
      <c r="D16" s="3020"/>
      <c r="E16" s="3020"/>
      <c r="F16" s="3020">
        <v>1</v>
      </c>
      <c r="G16" s="3020">
        <v>1</v>
      </c>
      <c r="H16" s="3020">
        <v>1</v>
      </c>
      <c r="I16" s="3020">
        <v>1</v>
      </c>
      <c r="J16" s="3021">
        <v>1</v>
      </c>
      <c r="K16" s="1054"/>
      <c r="L16" s="1842"/>
      <c r="M16" s="1842"/>
      <c r="N16" s="1842"/>
      <c r="O16" s="1842"/>
      <c r="P16" s="1842"/>
      <c r="Q16" s="1054"/>
      <c r="R16" s="1127">
        <v>15</v>
      </c>
      <c r="S16" s="1128"/>
      <c r="T16" s="3059" t="e">
        <f t="shared" si="0"/>
        <v>#DIV/0!</v>
      </c>
      <c r="U16" s="1128"/>
      <c r="V16" s="3059" t="e">
        <f t="shared" si="1"/>
        <v>#DIV/0!</v>
      </c>
      <c r="W16" s="1131"/>
      <c r="X16" s="1131"/>
      <c r="Y16" s="1131"/>
      <c r="Z16" s="1131"/>
      <c r="AA16" s="1131"/>
      <c r="AB16" s="1131"/>
      <c r="AC16" s="1132"/>
      <c r="AD16" s="2549"/>
      <c r="AE16" s="2549"/>
      <c r="AF16" s="2549"/>
      <c r="AG16" s="2549"/>
      <c r="AH16" s="2549"/>
      <c r="AI16" s="2549"/>
      <c r="AJ16" s="2550"/>
    </row>
    <row r="17" spans="1:37" ht="24">
      <c r="A17" s="3031" t="s">
        <v>3237</v>
      </c>
      <c r="B17" s="3023" t="s">
        <v>3238</v>
      </c>
      <c r="C17" s="3032">
        <f>ROUND(IF(OR(E2="工业",E2="公共服务"),1,IF(AND(E18=0,E19=0),1,IF(AND(E18=J24,E19=G19),0.8,IF(E19=0,1+E17*(-0.2),1+E17*G17*(-0.2))))),4)</f>
        <v>1</v>
      </c>
      <c r="D17" s="3024" t="s">
        <v>3239</v>
      </c>
      <c r="E17" s="3032" t="e">
        <f>ROUND(G18/I18,2)</f>
        <v>#DIV/0!</v>
      </c>
      <c r="F17" s="3024" t="s">
        <v>3242</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3240</v>
      </c>
      <c r="E18" s="2353"/>
      <c r="F18" s="3026" t="s">
        <v>3243</v>
      </c>
      <c r="G18" s="3030">
        <f>ROUND(1-(1/(POWER(1+G24,E18))),4)</f>
        <v>0</v>
      </c>
      <c r="H18" s="3026" t="s">
        <v>3245</v>
      </c>
      <c r="I18" s="3030">
        <f>ROUND(1-(1/(POWER(1+G24,J24))),4)</f>
        <v>0</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3241</v>
      </c>
      <c r="E19" s="3039"/>
      <c r="F19" s="3040" t="s">
        <v>3244</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59"/>
      <c r="AJ19" s="559"/>
      <c r="AK19" s="1897"/>
    </row>
    <row r="20" spans="1:37" s="1856" customFormat="1" ht="13.8">
      <c r="A20" s="3466" t="s">
        <v>3246</v>
      </c>
      <c r="B20" s="157" t="s">
        <v>1993</v>
      </c>
      <c r="C20" s="3027" t="e">
        <f>ROUND(IF(F21="与级别开发程度一致",0,(G21-E21)/C21),0)</f>
        <v>#DIV/0!</v>
      </c>
      <c r="D20" s="3042" t="s">
        <v>1997</v>
      </c>
      <c r="E20" s="3043"/>
      <c r="F20" s="3472" t="s">
        <v>1994</v>
      </c>
      <c r="G20" s="3473"/>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14.4" thickBot="1">
      <c r="A21" s="3467"/>
      <c r="B21" s="2000" t="s">
        <v>1996</v>
      </c>
      <c r="C21" s="2001">
        <f>IF(E3="M4科研用地",SUMPRODUCT((修正!A2:A7=E3)*(修正!B1:M1=G2)*(修正!B2:M7)),SUMPRODUCT((修正!A2:A7=E2)*(修正!B1:M1=G2)*(修正!B2:M7)))</f>
        <v>0</v>
      </c>
      <c r="D21" s="177"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4" t="s">
        <v>363</v>
      </c>
      <c r="B22" s="1995" t="s">
        <v>1999</v>
      </c>
      <c r="C22" s="1996">
        <f>SUMIF(修正!C20:C51,E3,修正!E20:E51)</f>
        <v>0</v>
      </c>
      <c r="D22" s="1997"/>
      <c r="E22" s="1998"/>
      <c r="F22" s="1998"/>
      <c r="G22" s="1998"/>
      <c r="H22" s="1998"/>
      <c r="I22" s="1998"/>
      <c r="J22" s="1999"/>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2000</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2001</v>
      </c>
      <c r="E23" s="715">
        <v>44197</v>
      </c>
      <c r="F23" s="1894" t="s">
        <v>2002</v>
      </c>
      <c r="G23" s="716">
        <f>'数据-取费表'!B2</f>
        <v>45649</v>
      </c>
      <c r="H23" s="3044" t="s">
        <v>3248</v>
      </c>
      <c r="I23" s="3045" t="str">
        <f>IF(H23="季度增幅（自定义）",SUMIF(N25:N28,E2,O25:O28),"")</f>
        <v/>
      </c>
      <c r="J23" s="3137" t="s">
        <v>3247</v>
      </c>
      <c r="K23" s="1059"/>
      <c r="L23" s="1895" t="s">
        <v>2003</v>
      </c>
      <c r="M23" s="1239">
        <f>ROUND(SUMIF(地价!B2:G2,E2,地价!B16:G16),0)</f>
        <v>0</v>
      </c>
      <c r="N23" s="1896" t="s">
        <v>2004</v>
      </c>
      <c r="O23" s="717">
        <f>ROUNDDOWN(DATEDIF(E23,G23,"M")/3,0)</f>
        <v>15</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2005</v>
      </c>
      <c r="C24" s="718" t="e">
        <f>ROUND(POWER(1+G24,J24-I24)*(POWER(1+G24,I24)-1)/(POWER(1+G24,J24)-1),4)</f>
        <v>#DIV/0!</v>
      </c>
      <c r="D24" s="1900" t="s">
        <v>2006</v>
      </c>
      <c r="E24" s="1246">
        <f>存贷款利率!E27/100</f>
        <v>4.3499999999999997E-2</v>
      </c>
      <c r="F24" s="1900" t="s">
        <v>1998</v>
      </c>
      <c r="G24" s="722">
        <f>SUMIF(M30:Q30,E2,M33:Q33)</f>
        <v>0</v>
      </c>
      <c r="H24" s="1900" t="s">
        <v>2007</v>
      </c>
      <c r="I24" s="723" t="e">
        <f>SUMIF('数据-取费表'!C6:C15,E2,'数据-取费表'!F6:F15)/COUNTIF('数据-取费表'!C6:C15,E2)</f>
        <v>#DIV/0!</v>
      </c>
      <c r="J24" s="724">
        <f>IF(E2="住宅",70,IF(E2="商业",40,50))</f>
        <v>50</v>
      </c>
      <c r="K24" s="1059"/>
      <c r="L24" s="1901" t="s">
        <v>2008</v>
      </c>
      <c r="M24" s="1240">
        <f>ROUND(SUMPRODUCT((地价!A4:A16=YEAR(G23)&amp;"-"&amp;ROUNDUP(MONTH(G23)/3,0))*(地价!B2:G2=E2)*(地价!B4:G16)),0)</f>
        <v>0</v>
      </c>
      <c r="N24" s="1902" t="s">
        <v>2009</v>
      </c>
      <c r="O24" s="1903" t="s">
        <v>2010</v>
      </c>
      <c r="P24" s="1904" t="s">
        <v>2011</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3327</v>
      </c>
      <c r="C25" s="459">
        <f>IF(B25="容积率修正",IF(G3&lt;10,D26,J26),C27)</f>
        <v>0</v>
      </c>
      <c r="D25" s="1907"/>
      <c r="E25" s="1907"/>
      <c r="F25" s="1907"/>
      <c r="G25" s="1907"/>
      <c r="H25" s="1907"/>
      <c r="I25" s="1907"/>
      <c r="J25" s="1908"/>
      <c r="K25" s="1059"/>
      <c r="L25" s="2548"/>
      <c r="M25" s="2548"/>
      <c r="N25" s="1909" t="s">
        <v>2012</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2013</v>
      </c>
      <c r="B26" s="1910" t="s">
        <v>2014</v>
      </c>
      <c r="C26" s="1910" t="s">
        <v>3249</v>
      </c>
      <c r="D26" s="1261">
        <f>IF(E26=G26,F26,IF(G3&lt;10,ROUND(F26+(H26-F26)*(G3-E26)/(G26-E26),4),"——"))</f>
        <v>0</v>
      </c>
      <c r="E26" s="706">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3250</v>
      </c>
      <c r="J26" s="372" t="str">
        <f>IF(G3&gt;=10,D115,"——")</f>
        <v>——</v>
      </c>
      <c r="K26" s="1059"/>
      <c r="L26" s="2548"/>
      <c r="M26" s="2548"/>
      <c r="N26" s="1909" t="s">
        <v>2015</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2016</v>
      </c>
      <c r="B27" s="1911" t="s">
        <v>2017</v>
      </c>
      <c r="C27" s="789">
        <f>ROUND(IF(I3&lt;6,SUMPRODUCT((B106:B110=I3)*(C105:N105=G2)*(C106:N110)),SUMIF(C105:N105,G2,C112:N112)),4)</f>
        <v>0</v>
      </c>
      <c r="D27" s="1840"/>
      <c r="E27" s="1840"/>
      <c r="F27" s="1912"/>
      <c r="G27" s="1913"/>
      <c r="H27" s="1914"/>
      <c r="I27" s="1915"/>
      <c r="J27" s="1916"/>
      <c r="K27" s="1054"/>
      <c r="L27" s="1842"/>
      <c r="M27" s="1842"/>
      <c r="N27" s="1909" t="s">
        <v>2018</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2019</v>
      </c>
      <c r="C28" s="714">
        <f>SUMIF(A47:A101,E2,B47:B101)</f>
        <v>0</v>
      </c>
      <c r="D28" s="1892"/>
      <c r="E28" s="1917"/>
      <c r="F28" s="1917"/>
      <c r="G28" s="1917"/>
      <c r="H28" s="1917"/>
      <c r="I28" s="1917"/>
      <c r="J28" s="1918"/>
      <c r="K28" s="1059"/>
      <c r="L28" s="2548"/>
      <c r="M28" s="2548"/>
      <c r="N28" s="1919"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2021</v>
      </c>
      <c r="C29" s="719"/>
      <c r="D29" s="1866"/>
      <c r="E29" s="1866"/>
      <c r="F29" s="1921"/>
      <c r="G29" s="1866"/>
      <c r="H29" s="1866"/>
      <c r="I29" s="1866"/>
      <c r="J29" s="1867"/>
      <c r="K29" s="1054"/>
      <c r="L29" s="1842"/>
      <c r="M29" s="1842"/>
      <c r="N29" s="2545" t="s">
        <v>2022</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2023</v>
      </c>
      <c r="C30" s="2143" t="e">
        <f>IF(B25="容积率修正",E33+SUM(E37:E42),SUM(V2:V16)+SUM(E37:E42))</f>
        <v>#DIV/0!</v>
      </c>
      <c r="D30" s="1923"/>
      <c r="E30" s="1840"/>
      <c r="F30" s="1924"/>
      <c r="G30" s="1840"/>
      <c r="H30" s="1840"/>
      <c r="I30" s="1840"/>
      <c r="J30" s="1925"/>
      <c r="K30" s="1054"/>
      <c r="L30" s="3051" t="s">
        <v>1935</v>
      </c>
      <c r="M30" s="3052" t="s">
        <v>1989</v>
      </c>
      <c r="N30" s="3052" t="s">
        <v>1990</v>
      </c>
      <c r="O30" s="3052" t="s">
        <v>1991</v>
      </c>
      <c r="P30" s="3052" t="s">
        <v>1992</v>
      </c>
      <c r="Q30" s="3055" t="s">
        <v>3254</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2024</v>
      </c>
      <c r="C31" s="720" t="e">
        <f>E34+SUM(I37:I42)</f>
        <v>#DIV/0!</v>
      </c>
      <c r="D31" s="1927"/>
      <c r="E31" s="1928"/>
      <c r="F31" s="1929"/>
      <c r="G31" s="1928"/>
      <c r="H31" s="1928"/>
      <c r="I31" s="1928"/>
      <c r="J31" s="1930"/>
      <c r="K31" s="1054"/>
      <c r="L31" s="3053" t="s">
        <v>1995</v>
      </c>
      <c r="M31" s="160">
        <v>0.25</v>
      </c>
      <c r="N31" s="160">
        <v>0.2</v>
      </c>
      <c r="O31" s="160">
        <v>0.15</v>
      </c>
      <c r="P31" s="160">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2025</v>
      </c>
      <c r="C32" s="1933" t="s">
        <v>2026</v>
      </c>
      <c r="D32" s="1933" t="s">
        <v>2027</v>
      </c>
      <c r="E32" s="1934" t="s">
        <v>2028</v>
      </c>
      <c r="F32" s="1935"/>
      <c r="G32" s="1879"/>
      <c r="H32" s="1879"/>
      <c r="I32" s="1879"/>
      <c r="J32" s="1880"/>
      <c r="K32" s="1054"/>
      <c r="L32" s="3054" t="s">
        <v>1998</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2029</v>
      </c>
      <c r="C33" s="165" t="e">
        <f>ROUND(C5*C22*C23*C24*C25*C28,0)</f>
        <v>#DIV/0!</v>
      </c>
      <c r="D33" s="1938"/>
      <c r="E33" s="725" t="e">
        <f>ROUND(C33*D33/10000,0)</f>
        <v>#DIV/0!</v>
      </c>
      <c r="F33" s="3046" t="s">
        <v>3252</v>
      </c>
      <c r="G33" s="1939"/>
      <c r="H33" s="1939"/>
      <c r="I33" s="1939"/>
      <c r="J33" s="1940"/>
      <c r="K33" s="1054"/>
      <c r="L33" s="3049" t="s">
        <v>3255</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2030</v>
      </c>
      <c r="C34" s="177" t="e">
        <f>ROUND(IF(E2="工业",C33*M42,IF(B25="楼层修正",SUM(V2:V16)*M41*10000/D34,C33*M41)),0)</f>
        <v>#DIV/0!</v>
      </c>
      <c r="D34" s="1943"/>
      <c r="E34" s="725" t="e">
        <f>ROUND(IF(B25="楼层修正",SUM(V2:V16)*M40,C34*D34/10000),0)</f>
        <v>#DIV/0!</v>
      </c>
      <c r="F34" s="1944" t="s">
        <v>2031</v>
      </c>
      <c r="G34" s="1945"/>
      <c r="H34" s="1945"/>
      <c r="I34" s="1945"/>
      <c r="J34" s="1946"/>
      <c r="K34" s="1054"/>
      <c r="L34" s="3049" t="s">
        <v>3256</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2032</v>
      </c>
      <c r="C35" s="3047" t="s">
        <v>3253</v>
      </c>
      <c r="D35" s="1879"/>
      <c r="E35" s="1949"/>
      <c r="F35" s="1949"/>
      <c r="G35" s="1877" t="s">
        <v>2033</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4" t="s">
        <v>2026</v>
      </c>
      <c r="D36" s="431" t="s">
        <v>2027</v>
      </c>
      <c r="E36" s="431" t="s">
        <v>2028</v>
      </c>
      <c r="F36" s="331" t="s">
        <v>2034</v>
      </c>
      <c r="G36" s="1952" t="s">
        <v>2026</v>
      </c>
      <c r="H36" s="1952" t="s">
        <v>2027</v>
      </c>
      <c r="I36" s="1952" t="s">
        <v>2028</v>
      </c>
      <c r="J36" s="233"/>
      <c r="K36" s="1962" t="s">
        <v>3257</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470"/>
      <c r="B37" s="1953" t="s">
        <v>2035</v>
      </c>
      <c r="C37" s="165" t="e">
        <f>ROUND(D5*C22*C23*C24*C28*F37,0)</f>
        <v>#DIV/0!</v>
      </c>
      <c r="D37" s="1938"/>
      <c r="E37" s="161" t="e">
        <f>ROUND(C37*D37/10000,0)</f>
        <v>#DIV/0!</v>
      </c>
      <c r="F37" s="161">
        <f>SUMIF(修正!A57:A68,G2,修正!B57:B68)</f>
        <v>0</v>
      </c>
      <c r="G37" s="161" t="e">
        <f>ROUND(IF(E2="工业",C37*$M$42,C37*$M$41),0)</f>
        <v>#DIV/0!</v>
      </c>
      <c r="H37" s="161">
        <f>D37</f>
        <v>0</v>
      </c>
      <c r="I37" s="161" t="e">
        <f>ROUND(G37*H37/10000,0)</f>
        <v>#DIV/0!</v>
      </c>
      <c r="J37" s="2750"/>
      <c r="K37" s="3057" t="s">
        <v>3258</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71"/>
      <c r="B38" s="1882" t="s">
        <v>2036</v>
      </c>
      <c r="C38" s="165" t="e">
        <f>ROUND(D5*C22*C23*C24*C28*F38,0)</f>
        <v>#DIV/0!</v>
      </c>
      <c r="D38" s="1938"/>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471"/>
      <c r="B39" s="1882" t="s">
        <v>3251</v>
      </c>
      <c r="C39" s="165" t="e">
        <f>ROUND(D5*C22*C23*C24*C28*F39,0)</f>
        <v>#DIV/0!</v>
      </c>
      <c r="D39" s="1938"/>
      <c r="E39" s="161" t="e">
        <f t="shared" si="4"/>
        <v>#DIV/0!</v>
      </c>
      <c r="F39" s="161">
        <f>SUMIF(修正!A57:A68,G2,修正!D57:D68)</f>
        <v>0</v>
      </c>
      <c r="G39" s="161" t="e">
        <f>ROUND(IF(E2="工业",C39*$M$42,C39*$M$41),0)</f>
        <v>#DIV/0!</v>
      </c>
      <c r="H39" s="161">
        <f t="shared" si="5"/>
        <v>0</v>
      </c>
      <c r="I39" s="161" t="e">
        <f t="shared" si="6"/>
        <v>#DIV/0!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2037</v>
      </c>
      <c r="C40" s="161" t="e">
        <f>ROUND(D5*C22*C23*C24*C28*F40,0)</f>
        <v>#DIV/0!</v>
      </c>
      <c r="D40" s="1938"/>
      <c r="E40" s="161" t="e">
        <f t="shared" si="4"/>
        <v>#DIV/0!</v>
      </c>
      <c r="F40" s="165">
        <f>SUMIF(修正!A57:A68,G2,修正!E57:E68)</f>
        <v>0</v>
      </c>
      <c r="G40" s="161" t="e">
        <f>ROUND(IF(E2="工业",C40*$M$42,C40*$M$41),0)</f>
        <v>#DIV/0!</v>
      </c>
      <c r="H40" s="161">
        <f t="shared" si="5"/>
        <v>0</v>
      </c>
      <c r="I40" s="161" t="e">
        <f t="shared" si="6"/>
        <v>#DIV/0!</v>
      </c>
      <c r="J40" s="937"/>
      <c r="L40" s="1955" t="s">
        <v>2038</v>
      </c>
      <c r="M40" s="1956"/>
      <c r="Z40" s="1055"/>
      <c r="AA40" s="1055"/>
      <c r="AB40" s="1055"/>
      <c r="AC40" s="1055"/>
      <c r="AD40" s="1055"/>
      <c r="AE40" s="1055"/>
      <c r="AF40" s="1055"/>
      <c r="AG40" s="1055"/>
      <c r="AH40" s="1055"/>
      <c r="AI40" s="1055"/>
      <c r="AJ40" s="1055"/>
    </row>
    <row r="41" spans="1:37" s="1054" customFormat="1">
      <c r="A41" s="1954"/>
      <c r="B41" s="1882" t="s">
        <v>2039</v>
      </c>
      <c r="C41" s="161" t="e">
        <f>ROUND(D5*C22*C23*C44*C28*F41,0)</f>
        <v>#DIV/0!</v>
      </c>
      <c r="D41" s="1938"/>
      <c r="E41" s="161" t="e">
        <f t="shared" si="4"/>
        <v>#DIV/0!</v>
      </c>
      <c r="F41" s="165">
        <f>SUMIF(修正!A57:A68,G2,修正!F57:F68)</f>
        <v>0</v>
      </c>
      <c r="G41" s="161" t="e">
        <f>ROUND(IF(E2="工业",C41*$M$42,C41*$M$41),0)</f>
        <v>#DIV/0!</v>
      </c>
      <c r="H41" s="161">
        <f t="shared" si="5"/>
        <v>0</v>
      </c>
      <c r="I41" s="161" t="e">
        <f t="shared" si="6"/>
        <v>#DIV/0!</v>
      </c>
      <c r="J41" s="937"/>
      <c r="L41" s="3058" t="s">
        <v>3259</v>
      </c>
      <c r="M41" s="1957">
        <v>0.25</v>
      </c>
      <c r="Z41" s="1055"/>
      <c r="AA41" s="1055"/>
      <c r="AB41" s="1055"/>
      <c r="AC41" s="1055"/>
      <c r="AD41" s="1055"/>
      <c r="AE41" s="1055"/>
      <c r="AF41" s="1055"/>
      <c r="AG41" s="1055"/>
      <c r="AH41" s="1055"/>
      <c r="AI41" s="1055"/>
      <c r="AJ41" s="1055"/>
    </row>
    <row r="42" spans="1:37" s="1054" customFormat="1" ht="13.8" thickBot="1">
      <c r="A42" s="1941"/>
      <c r="B42" s="1958" t="s">
        <v>2040</v>
      </c>
      <c r="C42" s="177" t="e">
        <f>ROUND(D5*C22*C23*C44*C28*F42,0)</f>
        <v>#DIV/0!</v>
      </c>
      <c r="D42" s="1943"/>
      <c r="E42" s="177" t="e">
        <f t="shared" si="4"/>
        <v>#DIV/0!</v>
      </c>
      <c r="F42" s="721">
        <f>SUMIF(修正!A57:A68,G2,修正!G57:G68)</f>
        <v>0</v>
      </c>
      <c r="G42" s="177" t="e">
        <f>ROUND(IF(E2="工业",C42*$M$42,C42*$M$41),0)</f>
        <v>#DIV/0!</v>
      </c>
      <c r="H42" s="177">
        <f t="shared" si="5"/>
        <v>0</v>
      </c>
      <c r="I42" s="177" t="e">
        <f t="shared" si="6"/>
        <v>#DIV/0!</v>
      </c>
      <c r="J42" s="1959"/>
      <c r="L42" s="1960" t="s">
        <v>1992</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2121</v>
      </c>
      <c r="C44" s="331" t="e">
        <f>ROUND(POWER(1+E44,H44-G44)*(POWER(1+E44,G44)-1)/(POWER(1+E44,H44)-1),4)</f>
        <v>#DIV/0!</v>
      </c>
      <c r="D44" s="161" t="s">
        <v>1998</v>
      </c>
      <c r="E44" s="1989">
        <f>G24</f>
        <v>0</v>
      </c>
      <c r="F44" s="161" t="s">
        <v>2007</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2041</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2042</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2043</v>
      </c>
      <c r="B49" s="1260" t="s">
        <v>2044</v>
      </c>
      <c r="C49" s="1260" t="s">
        <v>2045</v>
      </c>
      <c r="D49" s="1260" t="s">
        <v>2046</v>
      </c>
      <c r="E49" s="699" t="s">
        <v>2047</v>
      </c>
      <c r="F49" s="1969" t="s">
        <v>2048</v>
      </c>
      <c r="G49" s="1260" t="s">
        <v>310</v>
      </c>
      <c r="H49" s="1970" t="s">
        <v>2049</v>
      </c>
      <c r="I49" s="1260" t="s">
        <v>2050</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5.2">
      <c r="A50" s="1968" t="s">
        <v>2051</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4">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24">
      <c r="A51" s="1968" t="s">
        <v>2052</v>
      </c>
      <c r="B51" s="1260">
        <f>估价对象房地状况!C18</f>
        <v>0</v>
      </c>
      <c r="C51" s="1885"/>
      <c r="D51" s="1000">
        <f t="shared" si="7"/>
        <v>0</v>
      </c>
      <c r="E51" s="701"/>
      <c r="F51" s="1673"/>
      <c r="G51" s="998"/>
      <c r="H51" s="1001" t="str">
        <f t="shared" si="8"/>
        <v>——</v>
      </c>
      <c r="I51" s="3064">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c r="A52" s="3066" t="s">
        <v>3261</v>
      </c>
      <c r="B52" s="1260">
        <f>估价对象房地状况!C19</f>
        <v>0</v>
      </c>
      <c r="C52" s="1885"/>
      <c r="D52" s="1000">
        <f t="shared" si="7"/>
        <v>0</v>
      </c>
      <c r="E52" s="701"/>
      <c r="F52" s="1673"/>
      <c r="G52" s="998"/>
      <c r="H52" s="1001" t="str">
        <f t="shared" si="8"/>
        <v>——</v>
      </c>
      <c r="I52" s="3064">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c r="A53" s="1968" t="s">
        <v>2053</v>
      </c>
      <c r="B53" s="1972" t="s">
        <v>2054</v>
      </c>
      <c r="C53" s="1885"/>
      <c r="D53" s="1000">
        <f t="shared" si="7"/>
        <v>0</v>
      </c>
      <c r="E53" s="701"/>
      <c r="F53" s="1673"/>
      <c r="G53" s="998"/>
      <c r="H53" s="1001" t="str">
        <f t="shared" si="8"/>
        <v>——</v>
      </c>
      <c r="I53" s="3064">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2055</v>
      </c>
      <c r="B54" s="1260">
        <f>估价对象房地状况!C24</f>
        <v>0</v>
      </c>
      <c r="C54" s="1885"/>
      <c r="D54" s="1000">
        <f t="shared" si="7"/>
        <v>0</v>
      </c>
      <c r="E54" s="701"/>
      <c r="F54" s="1673"/>
      <c r="G54" s="998"/>
      <c r="H54" s="1001" t="str">
        <f t="shared" si="8"/>
        <v>——</v>
      </c>
      <c r="I54" s="3064">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c r="A55" s="1968" t="s">
        <v>2056</v>
      </c>
      <c r="B55" s="1973" t="s">
        <v>2057</v>
      </c>
      <c r="C55" s="1885"/>
      <c r="D55" s="1000">
        <f t="shared" si="7"/>
        <v>0</v>
      </c>
      <c r="E55" s="701"/>
      <c r="F55" s="1673"/>
      <c r="G55" s="998"/>
      <c r="H55" s="1001" t="str">
        <f t="shared" si="8"/>
        <v>——</v>
      </c>
      <c r="I55" s="3064">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4" t="s">
        <v>2058</v>
      </c>
      <c r="B56" s="1238">
        <f>估价对象房地状况!C21</f>
        <v>0</v>
      </c>
      <c r="C56" s="1885"/>
      <c r="D56" s="1000">
        <f t="shared" si="7"/>
        <v>0</v>
      </c>
      <c r="E56" s="701"/>
      <c r="F56" s="1673"/>
      <c r="G56" s="998"/>
      <c r="H56" s="1001" t="str">
        <f t="shared" si="8"/>
        <v>——</v>
      </c>
      <c r="I56" s="3064">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4" t="s">
        <v>2059</v>
      </c>
      <c r="B57" s="1260">
        <f>估价对象房地状况!C22</f>
        <v>0</v>
      </c>
      <c r="C57" s="1885"/>
      <c r="D57" s="1000">
        <f t="shared" si="7"/>
        <v>0</v>
      </c>
      <c r="E57" s="701"/>
      <c r="F57" s="1673"/>
      <c r="G57" s="998"/>
      <c r="H57" s="1001" t="str">
        <f t="shared" si="8"/>
        <v>——</v>
      </c>
      <c r="I57" s="3064">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36.6" thickBot="1">
      <c r="A58" s="1975" t="s">
        <v>2060</v>
      </c>
      <c r="B58" s="1976">
        <f>估价对象房地状况!C20</f>
        <v>0</v>
      </c>
      <c r="C58" s="1885"/>
      <c r="D58" s="1000">
        <f t="shared" si="7"/>
        <v>0</v>
      </c>
      <c r="E58" s="702"/>
      <c r="F58" s="1673"/>
      <c r="G58" s="998"/>
      <c r="H58" s="1001" t="str">
        <f t="shared" si="8"/>
        <v>——</v>
      </c>
      <c r="I58" s="3065">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c r="A59" s="1965" t="s">
        <v>2061</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2043</v>
      </c>
      <c r="B60" s="1260"/>
      <c r="C60" s="1260" t="s">
        <v>2045</v>
      </c>
      <c r="D60" s="1260" t="s">
        <v>2046</v>
      </c>
      <c r="E60" s="699" t="s">
        <v>2047</v>
      </c>
      <c r="F60" s="1969" t="s">
        <v>2062</v>
      </c>
      <c r="G60" s="1260" t="s">
        <v>310</v>
      </c>
      <c r="H60" s="1970" t="s">
        <v>2049</v>
      </c>
      <c r="I60" s="1260" t="s">
        <v>2050</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8" t="s">
        <v>2063</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24">
      <c r="A62" s="1968" t="s">
        <v>2052</v>
      </c>
      <c r="B62" s="1260">
        <f>估价对象房地状况!C18</f>
        <v>0</v>
      </c>
      <c r="C62" s="1885"/>
      <c r="D62" s="1000">
        <f t="shared" si="12"/>
        <v>0</v>
      </c>
      <c r="E62" s="701"/>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3261</v>
      </c>
      <c r="B63" s="1260">
        <f>估价对象房地状况!C19</f>
        <v>0</v>
      </c>
      <c r="C63" s="1885"/>
      <c r="D63" s="1000">
        <f t="shared" si="12"/>
        <v>0</v>
      </c>
      <c r="E63" s="701"/>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2053</v>
      </c>
      <c r="B64" s="1972" t="s">
        <v>2054</v>
      </c>
      <c r="C64" s="1885"/>
      <c r="D64" s="1000">
        <f t="shared" si="12"/>
        <v>0</v>
      </c>
      <c r="E64" s="701"/>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2055</v>
      </c>
      <c r="B65" s="1260">
        <f>估价对象房地状况!C24</f>
        <v>0</v>
      </c>
      <c r="C65" s="1885"/>
      <c r="D65" s="1000">
        <f t="shared" si="12"/>
        <v>0</v>
      </c>
      <c r="E65" s="701"/>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2056</v>
      </c>
      <c r="B66" s="1973" t="s">
        <v>2057</v>
      </c>
      <c r="C66" s="1885"/>
      <c r="D66" s="1000">
        <f t="shared" si="12"/>
        <v>0</v>
      </c>
      <c r="E66" s="701"/>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8" t="s">
        <v>2058</v>
      </c>
      <c r="B67" s="1238">
        <f>估价对象房地状况!C21</f>
        <v>0</v>
      </c>
      <c r="C67" s="1885"/>
      <c r="D67" s="1000">
        <f t="shared" si="12"/>
        <v>0</v>
      </c>
      <c r="E67" s="701"/>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8" t="s">
        <v>2059</v>
      </c>
      <c r="B68" s="1238">
        <f>估价对象房地状况!C22</f>
        <v>0</v>
      </c>
      <c r="C68" s="1885"/>
      <c r="D68" s="1000">
        <f t="shared" si="12"/>
        <v>0</v>
      </c>
      <c r="E68" s="701"/>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36.6" thickBot="1">
      <c r="A69" s="1975" t="s">
        <v>2060</v>
      </c>
      <c r="B69" s="1977">
        <f>估价对象房地状况!C20</f>
        <v>0</v>
      </c>
      <c r="C69" s="1885"/>
      <c r="D69" s="1000">
        <f t="shared" si="12"/>
        <v>0</v>
      </c>
      <c r="E69" s="702"/>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2064</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2043</v>
      </c>
      <c r="B71" s="1260"/>
      <c r="C71" s="1260" t="s">
        <v>2045</v>
      </c>
      <c r="D71" s="1260" t="s">
        <v>2046</v>
      </c>
      <c r="E71" s="699" t="s">
        <v>2047</v>
      </c>
      <c r="F71" s="1969" t="s">
        <v>2062</v>
      </c>
      <c r="G71" s="1260" t="s">
        <v>310</v>
      </c>
      <c r="H71" s="1970" t="s">
        <v>2049</v>
      </c>
      <c r="I71" s="1260" t="s">
        <v>2050</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8" t="s">
        <v>2065</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24">
      <c r="A73" s="1968" t="s">
        <v>2052</v>
      </c>
      <c r="B73" s="1260">
        <f>估价对象房地状况!C18</f>
        <v>0</v>
      </c>
      <c r="C73" s="1885"/>
      <c r="D73" s="1000">
        <f t="shared" si="17"/>
        <v>0</v>
      </c>
      <c r="E73" s="703"/>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3261</v>
      </c>
      <c r="B74" s="1260">
        <f>估价对象房地状况!C19</f>
        <v>0</v>
      </c>
      <c r="C74" s="1885"/>
      <c r="D74" s="1000">
        <f t="shared" si="17"/>
        <v>0</v>
      </c>
      <c r="E74" s="703"/>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2066</v>
      </c>
      <c r="B75" s="1260">
        <f>估价对象房地状况!C24</f>
        <v>0</v>
      </c>
      <c r="C75" s="1885"/>
      <c r="D75" s="1000">
        <f t="shared" si="17"/>
        <v>0</v>
      </c>
      <c r="E75" s="703"/>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4">
      <c r="A76" s="1968" t="s">
        <v>2058</v>
      </c>
      <c r="B76" s="1238">
        <f>估价对象房地状况!C21</f>
        <v>0</v>
      </c>
      <c r="C76" s="1885"/>
      <c r="D76" s="1000">
        <f t="shared" si="17"/>
        <v>0</v>
      </c>
      <c r="E76" s="703"/>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4">
      <c r="A77" s="1968" t="s">
        <v>2059</v>
      </c>
      <c r="B77" s="1238">
        <f>估价对象房地状况!C22</f>
        <v>0</v>
      </c>
      <c r="C77" s="1885"/>
      <c r="D77" s="1000">
        <f t="shared" si="17"/>
        <v>0</v>
      </c>
      <c r="E77" s="703"/>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2056</v>
      </c>
      <c r="B78" s="1973" t="s">
        <v>2057</v>
      </c>
      <c r="C78" s="1885"/>
      <c r="D78" s="1000">
        <f t="shared" si="17"/>
        <v>0</v>
      </c>
      <c r="E78" s="703"/>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6">
      <c r="A79" s="1968" t="s">
        <v>2060</v>
      </c>
      <c r="B79" s="1971">
        <f>估价对象房地状况!C20</f>
        <v>0</v>
      </c>
      <c r="C79" s="1885"/>
      <c r="D79" s="1000">
        <f t="shared" si="17"/>
        <v>0</v>
      </c>
      <c r="E79" s="703"/>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2067</v>
      </c>
      <c r="B80" s="1979"/>
      <c r="C80" s="1885"/>
      <c r="D80" s="1000">
        <f t="shared" si="17"/>
        <v>0</v>
      </c>
      <c r="E80" s="704"/>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2068</v>
      </c>
      <c r="B81" s="1966">
        <f>1+E83</f>
        <v>1</v>
      </c>
      <c r="C81" s="697"/>
      <c r="D81" s="697"/>
      <c r="E81" s="698"/>
      <c r="F81" s="1967"/>
      <c r="G81" s="3"/>
      <c r="H81" s="3"/>
      <c r="I81" s="3"/>
      <c r="J81" s="4"/>
      <c r="K81" s="4"/>
      <c r="L81" s="4"/>
      <c r="M81" s="4"/>
      <c r="N81" s="4"/>
      <c r="Z81" s="1843"/>
      <c r="AA81" s="1893"/>
      <c r="AG81" s="1056"/>
      <c r="AK81" s="1893"/>
    </row>
    <row r="82" spans="1:37" ht="25.2">
      <c r="A82" s="1968" t="s">
        <v>2043</v>
      </c>
      <c r="B82" s="1260"/>
      <c r="C82" s="1260" t="s">
        <v>2045</v>
      </c>
      <c r="D82" s="1260" t="s">
        <v>2046</v>
      </c>
      <c r="E82" s="699" t="s">
        <v>2047</v>
      </c>
      <c r="F82" s="1969" t="s">
        <v>2062</v>
      </c>
      <c r="G82" s="1260" t="s">
        <v>310</v>
      </c>
      <c r="H82" s="1970" t="s">
        <v>2049</v>
      </c>
      <c r="I82" s="1260" t="s">
        <v>2050</v>
      </c>
      <c r="J82" s="528" t="s">
        <v>1721</v>
      </c>
      <c r="K82" s="528" t="s">
        <v>1722</v>
      </c>
      <c r="L82" s="528" t="s">
        <v>1723</v>
      </c>
      <c r="M82" s="528" t="s">
        <v>1724</v>
      </c>
      <c r="N82" s="528" t="s">
        <v>1725</v>
      </c>
      <c r="Z82" s="1843"/>
      <c r="AA82" s="1893"/>
      <c r="AG82" s="1056"/>
      <c r="AK82" s="1893"/>
    </row>
    <row r="83" spans="1:37" ht="52.8">
      <c r="A83" s="1968" t="s">
        <v>2069</v>
      </c>
      <c r="B83" s="1260" t="str">
        <f>估价对象房地状况!G15</f>
        <v>环首都存瑞云计算产业基地、科华数据(张家口腾致数据中心)、腾讯华北信息技术产业基地，一般</v>
      </c>
      <c r="C83" s="1885"/>
      <c r="D83" s="1000">
        <f t="shared" ref="D83:D90" si="22">SUMIF($J$82:$N$82,C83,J83:N83)</f>
        <v>0</v>
      </c>
      <c r="E83" s="700">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24">
      <c r="A84" s="1968" t="s">
        <v>2052</v>
      </c>
      <c r="B84" s="1260" t="str">
        <f>估价对象房地状况!G16</f>
        <v>怀来404路，较差</v>
      </c>
      <c r="C84" s="1885"/>
      <c r="D84" s="1000">
        <f t="shared" si="22"/>
        <v>0</v>
      </c>
      <c r="E84" s="703"/>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3262</v>
      </c>
      <c r="B85" s="1260" t="str">
        <f>估价对象房地状况!G17</f>
        <v>一致</v>
      </c>
      <c r="C85" s="1885"/>
      <c r="D85" s="1000">
        <f t="shared" si="22"/>
        <v>0</v>
      </c>
      <c r="E85" s="703"/>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2066</v>
      </c>
      <c r="B86" s="1260">
        <f>估价对象房地状况!G22</f>
        <v>0</v>
      </c>
      <c r="C86" s="1885"/>
      <c r="D86" s="1000">
        <f t="shared" si="22"/>
        <v>0</v>
      </c>
      <c r="E86" s="703"/>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4">
      <c r="A87" s="1968" t="s">
        <v>2058</v>
      </c>
      <c r="B87" s="1238" t="str">
        <f>估价对象房地状况!G19</f>
        <v>较差</v>
      </c>
      <c r="C87" s="1885"/>
      <c r="D87" s="1000">
        <f t="shared" si="22"/>
        <v>0</v>
      </c>
      <c r="E87" s="703"/>
      <c r="F87" s="1673"/>
      <c r="G87" s="998"/>
      <c r="H87" s="1001" t="str">
        <f t="shared" si="23"/>
        <v>——</v>
      </c>
      <c r="I87" s="3064">
        <v>0.06</v>
      </c>
      <c r="J87" s="999">
        <f t="shared" si="24"/>
        <v>0</v>
      </c>
      <c r="K87" s="999">
        <f t="shared" si="25"/>
        <v>0</v>
      </c>
      <c r="L87" s="999">
        <v>0</v>
      </c>
      <c r="M87" s="999">
        <f t="shared" si="26"/>
        <v>0</v>
      </c>
      <c r="N87" s="999">
        <f t="shared" si="26"/>
        <v>0</v>
      </c>
    </row>
    <row r="88" spans="1:37" ht="24">
      <c r="A88" s="1968" t="s">
        <v>2059</v>
      </c>
      <c r="B88" s="1238" t="str">
        <f>估价对象房地状况!G20</f>
        <v>五通/六通</v>
      </c>
      <c r="C88" s="1885"/>
      <c r="D88" s="1000">
        <f t="shared" si="22"/>
        <v>0</v>
      </c>
      <c r="E88" s="703"/>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2056</v>
      </c>
      <c r="B89" s="1973" t="s">
        <v>2070</v>
      </c>
      <c r="C89" s="1885"/>
      <c r="D89" s="1000">
        <f t="shared" si="22"/>
        <v>0</v>
      </c>
      <c r="E89" s="703"/>
      <c r="F89" s="1673"/>
      <c r="G89" s="998"/>
      <c r="H89" s="1001" t="str">
        <f t="shared" si="23"/>
        <v>——</v>
      </c>
      <c r="I89" s="3064">
        <v>0.06</v>
      </c>
      <c r="J89" s="999">
        <f t="shared" si="24"/>
        <v>0</v>
      </c>
      <c r="K89" s="999">
        <f t="shared" si="25"/>
        <v>0</v>
      </c>
      <c r="L89" s="999">
        <v>0</v>
      </c>
      <c r="M89" s="999">
        <f t="shared" si="26"/>
        <v>0</v>
      </c>
      <c r="N89" s="999">
        <f t="shared" si="26"/>
        <v>0</v>
      </c>
    </row>
    <row r="90" spans="1:37" ht="14.4" thickBot="1">
      <c r="A90" s="1975" t="s">
        <v>2071</v>
      </c>
      <c r="B90" s="1980" t="str">
        <f>估价对象房地状况!G18</f>
        <v>一般</v>
      </c>
      <c r="C90" s="1885"/>
      <c r="D90" s="1000">
        <f t="shared" si="22"/>
        <v>0</v>
      </c>
      <c r="E90" s="704"/>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2604</v>
      </c>
      <c r="B91" s="3075">
        <f>1+E93</f>
        <v>1</v>
      </c>
      <c r="C91" s="3068"/>
      <c r="D91" s="3069"/>
      <c r="E91" s="1673"/>
      <c r="F91" s="1673"/>
      <c r="G91" s="3070"/>
      <c r="H91" s="3071"/>
      <c r="I91" s="3072"/>
      <c r="J91" s="3073"/>
      <c r="K91" s="3073"/>
      <c r="L91" s="3073"/>
      <c r="M91" s="3073"/>
      <c r="N91" s="3073"/>
    </row>
    <row r="92" spans="1:37" ht="25.2">
      <c r="A92" s="3076" t="s">
        <v>3263</v>
      </c>
      <c r="B92" s="2306"/>
      <c r="C92" s="2306" t="s">
        <v>3272</v>
      </c>
      <c r="D92" s="2306" t="s">
        <v>3273</v>
      </c>
      <c r="E92" s="3048" t="s">
        <v>3274</v>
      </c>
      <c r="F92" s="3078" t="s">
        <v>3275</v>
      </c>
      <c r="G92" s="2306" t="s">
        <v>3276</v>
      </c>
      <c r="H92" s="3085" t="s">
        <v>3279</v>
      </c>
      <c r="I92" s="2306" t="s">
        <v>3280</v>
      </c>
      <c r="J92" s="2148" t="s">
        <v>3281</v>
      </c>
      <c r="K92" s="2148" t="s">
        <v>3282</v>
      </c>
      <c r="L92" s="2148" t="s">
        <v>3283</v>
      </c>
      <c r="M92" s="2148" t="s">
        <v>3284</v>
      </c>
      <c r="N92" s="2148" t="s">
        <v>3285</v>
      </c>
    </row>
    <row r="93" spans="1:37" ht="24">
      <c r="A93" s="3066" t="s">
        <v>3264</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24">
      <c r="A94" s="3076" t="s">
        <v>3265</v>
      </c>
      <c r="B94" s="3067">
        <f>估价对象房地状况!C18</f>
        <v>0</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3261</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3266</v>
      </c>
      <c r="B96" s="3082" t="s">
        <v>3277</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3267</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3268</v>
      </c>
      <c r="B98" s="3083" t="s">
        <v>3278</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4">
      <c r="A99" s="3076" t="s">
        <v>3269</v>
      </c>
      <c r="B99" s="3067">
        <f>估价对象房地状况!C21</f>
        <v>0</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4">
      <c r="A100" s="3076" t="s">
        <v>3270</v>
      </c>
      <c r="B100" s="3067">
        <f>估价对象房地状况!C22</f>
        <v>0</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36.6" thickBot="1">
      <c r="A101" s="3077" t="s">
        <v>3271</v>
      </c>
      <c r="B101" s="3084">
        <f>估价对象房地状况!C20</f>
        <v>0</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468" t="s">
        <v>3286</v>
      </c>
      <c r="B103" s="3468"/>
      <c r="C103" s="3468"/>
      <c r="D103" s="3468"/>
      <c r="E103" s="3468"/>
      <c r="F103" s="3468"/>
      <c r="G103" s="3468"/>
      <c r="H103" s="3468"/>
      <c r="I103" s="3468"/>
      <c r="J103" s="3468"/>
      <c r="K103" s="1665"/>
      <c r="L103" s="1665"/>
      <c r="M103" s="1665"/>
      <c r="N103" s="1665"/>
    </row>
    <row r="104" spans="1:14">
      <c r="A104" s="3469" t="s">
        <v>3287</v>
      </c>
      <c r="B104" s="3469" t="s">
        <v>3288</v>
      </c>
      <c r="C104" s="3086" t="s">
        <v>3289</v>
      </c>
      <c r="D104" s="3087"/>
      <c r="E104" s="3087"/>
      <c r="F104" s="3087"/>
      <c r="G104" s="3087"/>
      <c r="H104" s="3087"/>
      <c r="I104" s="3087"/>
      <c r="J104" s="3088"/>
      <c r="K104" s="3089"/>
      <c r="L104" s="3089"/>
      <c r="M104" s="3089"/>
      <c r="N104" s="3089"/>
    </row>
    <row r="105" spans="1:14">
      <c r="A105" s="3469"/>
      <c r="B105" s="3469"/>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455"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56"/>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56"/>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56"/>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56"/>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56"/>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57"/>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58" t="s">
        <v>3303</v>
      </c>
      <c r="B113" s="3458"/>
      <c r="C113" s="3458"/>
      <c r="D113" s="3458"/>
      <c r="E113" s="3458"/>
      <c r="F113" s="3458"/>
      <c r="G113" s="3458"/>
      <c r="H113" s="3458"/>
      <c r="I113" s="3458"/>
      <c r="J113" s="3458"/>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3304</v>
      </c>
      <c r="B116" s="3110">
        <f>G3</f>
        <v>0</v>
      </c>
      <c r="C116" s="3095" t="s">
        <v>3305</v>
      </c>
      <c r="D116" s="3096">
        <f>SUMPRODUCT((A118:A122=F116)*(B117:M117=H116)*B118:M122)</f>
        <v>0</v>
      </c>
      <c r="E116" s="160" t="s">
        <v>3306</v>
      </c>
      <c r="F116" s="3097">
        <f>E2</f>
        <v>0</v>
      </c>
      <c r="G116" s="160" t="s">
        <v>3307</v>
      </c>
      <c r="H116" s="3097">
        <f>G2</f>
        <v>0</v>
      </c>
      <c r="I116" s="160"/>
      <c r="J116" s="3098"/>
      <c r="K116" s="3098"/>
      <c r="L116" s="3098"/>
      <c r="M116" s="3098"/>
      <c r="N116" s="3093"/>
    </row>
    <row r="117" spans="1:14">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c r="A118" s="3053" t="s">
        <v>3320</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3321</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3322</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3323</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2604</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83" t="s">
        <v>2599</v>
      </c>
      <c r="B20" s="3478" t="s">
        <v>2620</v>
      </c>
      <c r="C20" s="2838" t="s">
        <v>2431</v>
      </c>
      <c r="D20" s="2839"/>
      <c r="E20" s="2840">
        <v>1</v>
      </c>
      <c r="F20" s="2841" t="s">
        <v>2432</v>
      </c>
      <c r="G20" s="2841"/>
    </row>
    <row r="21" spans="1:13" ht="19.5" customHeight="1">
      <c r="A21" s="3484"/>
      <c r="B21" s="3477"/>
      <c r="C21" s="2842" t="s">
        <v>2433</v>
      </c>
      <c r="D21" s="2843"/>
      <c r="E21" s="2844">
        <v>1</v>
      </c>
      <c r="F21" s="2841" t="s">
        <v>2434</v>
      </c>
      <c r="G21" s="2841"/>
    </row>
    <row r="22" spans="1:13" ht="19.5" customHeight="1">
      <c r="A22" s="3484"/>
      <c r="B22" s="3477"/>
      <c r="C22" s="2842" t="s">
        <v>2435</v>
      </c>
      <c r="D22" s="2843"/>
      <c r="E22" s="2844">
        <v>0.9</v>
      </c>
      <c r="F22" s="2841" t="s">
        <v>2436</v>
      </c>
      <c r="G22" s="2841"/>
    </row>
    <row r="23" spans="1:13" ht="19.5" customHeight="1">
      <c r="A23" s="3484"/>
      <c r="B23" s="3477"/>
      <c r="C23" s="2842" t="s">
        <v>2437</v>
      </c>
      <c r="D23" s="2843"/>
      <c r="E23" s="2844">
        <v>0.9</v>
      </c>
      <c r="F23" s="2841" t="s">
        <v>2438</v>
      </c>
      <c r="G23" s="2841"/>
    </row>
    <row r="24" spans="1:13" ht="19.5" customHeight="1">
      <c r="A24" s="3484"/>
      <c r="B24" s="3477"/>
      <c r="C24" s="2842" t="s">
        <v>2439</v>
      </c>
      <c r="D24" s="2843"/>
      <c r="E24" s="2844">
        <v>0.8</v>
      </c>
      <c r="F24" s="2841" t="s">
        <v>2440</v>
      </c>
      <c r="G24" s="2841"/>
    </row>
    <row r="25" spans="1:13" ht="19.5" customHeight="1" thickBot="1">
      <c r="A25" s="3485"/>
      <c r="B25" s="3479"/>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80" t="s">
        <v>2623</v>
      </c>
      <c r="B27" s="3478" t="s">
        <v>2604</v>
      </c>
      <c r="C27" s="2838" t="s">
        <v>2444</v>
      </c>
      <c r="D27" s="2839"/>
      <c r="E27" s="2840">
        <v>1</v>
      </c>
      <c r="F27" s="2841" t="s">
        <v>2445</v>
      </c>
      <c r="G27" s="2841"/>
    </row>
    <row r="28" spans="1:13" ht="19.5" customHeight="1">
      <c r="A28" s="3481"/>
      <c r="B28" s="3477"/>
      <c r="C28" s="2842" t="s">
        <v>2446</v>
      </c>
      <c r="D28" s="2843"/>
      <c r="E28" s="2844">
        <v>1</v>
      </c>
      <c r="F28" s="2841" t="s">
        <v>2447</v>
      </c>
      <c r="G28" s="2841"/>
    </row>
    <row r="29" spans="1:13" ht="19.5" customHeight="1">
      <c r="A29" s="3481"/>
      <c r="B29" s="3477"/>
      <c r="C29" s="2842" t="s">
        <v>2448</v>
      </c>
      <c r="D29" s="2843"/>
      <c r="E29" s="2844">
        <v>0.8</v>
      </c>
      <c r="F29" s="2841" t="s">
        <v>2449</v>
      </c>
      <c r="G29" s="2841"/>
    </row>
    <row r="30" spans="1:13" ht="19.5" customHeight="1">
      <c r="A30" s="3481"/>
      <c r="B30" s="3477"/>
      <c r="C30" s="2842" t="s">
        <v>2450</v>
      </c>
      <c r="D30" s="2843"/>
      <c r="E30" s="2844">
        <v>0.8</v>
      </c>
      <c r="F30" s="2841" t="s">
        <v>2451</v>
      </c>
      <c r="G30" s="2841"/>
    </row>
    <row r="31" spans="1:13" ht="19.5" customHeight="1">
      <c r="A31" s="3481"/>
      <c r="B31" s="3477"/>
      <c r="C31" s="2842" t="s">
        <v>2452</v>
      </c>
      <c r="D31" s="2843"/>
      <c r="E31" s="2844">
        <v>0.8</v>
      </c>
      <c r="F31" s="2841" t="s">
        <v>2453</v>
      </c>
      <c r="G31" s="2841"/>
    </row>
    <row r="32" spans="1:13" ht="19.5" customHeight="1">
      <c r="A32" s="3481"/>
      <c r="B32" s="3477"/>
      <c r="C32" s="2842" t="s">
        <v>2454</v>
      </c>
      <c r="D32" s="2843"/>
      <c r="E32" s="2844">
        <v>0.7</v>
      </c>
      <c r="F32" s="2841" t="s">
        <v>2455</v>
      </c>
      <c r="G32" s="2841"/>
    </row>
    <row r="33" spans="1:7" ht="19.5" customHeight="1">
      <c r="A33" s="3481"/>
      <c r="B33" s="3477"/>
      <c r="C33" s="2842" t="s">
        <v>2456</v>
      </c>
      <c r="D33" s="2843"/>
      <c r="E33" s="2844">
        <v>0.8</v>
      </c>
      <c r="F33" s="2841" t="s">
        <v>2457</v>
      </c>
      <c r="G33" s="2841"/>
    </row>
    <row r="34" spans="1:7" ht="19.5" customHeight="1">
      <c r="A34" s="3481"/>
      <c r="B34" s="3477"/>
      <c r="C34" s="2842" t="s">
        <v>2458</v>
      </c>
      <c r="D34" s="2843"/>
      <c r="E34" s="2844">
        <v>0.6</v>
      </c>
      <c r="F34" s="2841" t="s">
        <v>2459</v>
      </c>
      <c r="G34" s="2841"/>
    </row>
    <row r="35" spans="1:7" ht="19.5" customHeight="1">
      <c r="A35" s="3481"/>
      <c r="B35" s="3477"/>
      <c r="C35" s="2842" t="s">
        <v>2460</v>
      </c>
      <c r="D35" s="2843"/>
      <c r="E35" s="2844">
        <v>0.2</v>
      </c>
      <c r="F35" s="2841" t="s">
        <v>2461</v>
      </c>
      <c r="G35" s="2841"/>
    </row>
    <row r="36" spans="1:7" ht="19.5" customHeight="1">
      <c r="A36" s="3481"/>
      <c r="B36" s="3477"/>
      <c r="C36" s="2842" t="s">
        <v>2462</v>
      </c>
      <c r="D36" s="2843"/>
      <c r="E36" s="2844">
        <v>0.2</v>
      </c>
      <c r="F36" s="2841" t="s">
        <v>2463</v>
      </c>
      <c r="G36" s="2841"/>
    </row>
    <row r="37" spans="1:7" ht="19.5" customHeight="1">
      <c r="A37" s="3481"/>
      <c r="B37" s="3475" t="s">
        <v>2624</v>
      </c>
      <c r="C37" s="2842" t="s">
        <v>2464</v>
      </c>
      <c r="D37" s="2843"/>
      <c r="E37" s="2844">
        <v>0.6</v>
      </c>
      <c r="F37" s="2841" t="s">
        <v>2465</v>
      </c>
      <c r="G37" s="2841"/>
    </row>
    <row r="38" spans="1:7" ht="19.5" customHeight="1">
      <c r="A38" s="3481"/>
      <c r="B38" s="3477"/>
      <c r="C38" s="2842" t="s">
        <v>2466</v>
      </c>
      <c r="D38" s="2843"/>
      <c r="E38" s="2844">
        <v>0.6</v>
      </c>
      <c r="F38" s="2841" t="s">
        <v>2467</v>
      </c>
      <c r="G38" s="2841"/>
    </row>
    <row r="39" spans="1:7" ht="19.5" customHeight="1" thickBot="1">
      <c r="A39" s="3482"/>
      <c r="B39" s="3479"/>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83" t="s">
        <v>2602</v>
      </c>
      <c r="B41" s="3478" t="s">
        <v>2626</v>
      </c>
      <c r="C41" s="2838" t="s">
        <v>2471</v>
      </c>
      <c r="D41" s="2839"/>
      <c r="E41" s="2840">
        <v>1</v>
      </c>
      <c r="F41" s="2841" t="s">
        <v>2472</v>
      </c>
      <c r="G41" s="2841"/>
    </row>
    <row r="42" spans="1:7" ht="19.5" customHeight="1">
      <c r="A42" s="3484"/>
      <c r="B42" s="3477"/>
      <c r="C42" s="2842" t="s">
        <v>2473</v>
      </c>
      <c r="D42" s="2843"/>
      <c r="E42" s="2844">
        <v>1</v>
      </c>
      <c r="F42" s="2841" t="s">
        <v>2474</v>
      </c>
      <c r="G42" s="2841"/>
    </row>
    <row r="43" spans="1:7" ht="19.5" customHeight="1">
      <c r="A43" s="3484"/>
      <c r="B43" s="3476"/>
      <c r="C43" s="2842" t="s">
        <v>2475</v>
      </c>
      <c r="D43" s="2843"/>
      <c r="E43" s="2844">
        <v>1.5</v>
      </c>
      <c r="F43" s="2841" t="s">
        <v>2476</v>
      </c>
      <c r="G43" s="2841"/>
    </row>
    <row r="44" spans="1:7" ht="19.5" customHeight="1">
      <c r="A44" s="3484"/>
      <c r="B44" s="2853" t="s">
        <v>2627</v>
      </c>
      <c r="C44" s="2842" t="s">
        <v>2628</v>
      </c>
      <c r="D44" s="2843"/>
      <c r="E44" s="2844">
        <v>2</v>
      </c>
      <c r="F44" s="2841" t="s">
        <v>2477</v>
      </c>
      <c r="G44" s="2841"/>
    </row>
    <row r="45" spans="1:7" ht="19.5" customHeight="1">
      <c r="A45" s="3484"/>
      <c r="B45" s="3475" t="s">
        <v>2629</v>
      </c>
      <c r="C45" s="2842" t="s">
        <v>2478</v>
      </c>
      <c r="D45" s="2843"/>
      <c r="E45" s="2844">
        <v>1</v>
      </c>
      <c r="F45" s="2841" t="s">
        <v>2479</v>
      </c>
      <c r="G45" s="2841"/>
    </row>
    <row r="46" spans="1:7" ht="19.5" customHeight="1">
      <c r="A46" s="3484"/>
      <c r="B46" s="3477"/>
      <c r="C46" s="2842" t="s">
        <v>2480</v>
      </c>
      <c r="D46" s="2843"/>
      <c r="E46" s="2844">
        <v>1</v>
      </c>
      <c r="F46" s="2841" t="s">
        <v>2481</v>
      </c>
      <c r="G46" s="2841"/>
    </row>
    <row r="47" spans="1:7" ht="19.5" customHeight="1">
      <c r="A47" s="3484"/>
      <c r="B47" s="3477"/>
      <c r="C47" s="2842" t="s">
        <v>2482</v>
      </c>
      <c r="D47" s="2843"/>
      <c r="E47" s="2844">
        <v>1</v>
      </c>
      <c r="F47" s="2841" t="s">
        <v>2483</v>
      </c>
      <c r="G47" s="2841"/>
    </row>
    <row r="48" spans="1:7" ht="19.5" customHeight="1">
      <c r="A48" s="3484"/>
      <c r="B48" s="3477"/>
      <c r="C48" s="2842" t="s">
        <v>2484</v>
      </c>
      <c r="D48" s="2843"/>
      <c r="E48" s="2844">
        <v>1</v>
      </c>
      <c r="F48" s="2841" t="s">
        <v>2485</v>
      </c>
      <c r="G48" s="2841"/>
    </row>
    <row r="49" spans="1:7" ht="19.5" customHeight="1">
      <c r="A49" s="3484"/>
      <c r="B49" s="3477"/>
      <c r="C49" s="2842" t="s">
        <v>2486</v>
      </c>
      <c r="D49" s="2843"/>
      <c r="E49" s="2844">
        <v>1</v>
      </c>
      <c r="F49" s="2841" t="s">
        <v>2487</v>
      </c>
      <c r="G49" s="2841"/>
    </row>
    <row r="50" spans="1:7" ht="19.5" customHeight="1">
      <c r="A50" s="3484"/>
      <c r="B50" s="3477"/>
      <c r="C50" s="2842" t="s">
        <v>2488</v>
      </c>
      <c r="D50" s="2843"/>
      <c r="E50" s="2844">
        <v>1</v>
      </c>
      <c r="F50" s="2841" t="s">
        <v>2489</v>
      </c>
      <c r="G50" s="2841"/>
    </row>
    <row r="51" spans="1:7" ht="19.5" customHeight="1" thickBot="1">
      <c r="A51" s="3485"/>
      <c r="B51" s="3479"/>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4.4">
      <c r="A72" s="2853"/>
      <c r="B72" s="2853"/>
      <c r="C72" s="2853" t="s">
        <v>2642</v>
      </c>
      <c r="D72" s="2853"/>
      <c r="E72" s="2853" t="s">
        <v>2613</v>
      </c>
      <c r="F72" s="2853" t="s">
        <v>2613</v>
      </c>
    </row>
    <row r="73" spans="1:7" ht="14.4">
      <c r="A73" s="2853">
        <v>1</v>
      </c>
      <c r="B73" s="3475" t="s">
        <v>2643</v>
      </c>
      <c r="C73" s="2827" t="s">
        <v>2644</v>
      </c>
      <c r="D73" s="2827" t="s">
        <v>2645</v>
      </c>
      <c r="E73" s="2853">
        <v>0.2</v>
      </c>
      <c r="F73" s="2853">
        <v>25</v>
      </c>
    </row>
    <row r="74" spans="1:7" ht="24">
      <c r="A74" s="2853">
        <v>2</v>
      </c>
      <c r="B74" s="3477"/>
      <c r="C74" s="2827" t="s">
        <v>2646</v>
      </c>
      <c r="D74" s="2827" t="s">
        <v>2647</v>
      </c>
      <c r="E74" s="2853">
        <v>0.2</v>
      </c>
      <c r="F74" s="2853">
        <v>25</v>
      </c>
    </row>
    <row r="75" spans="1:7" ht="24">
      <c r="A75" s="2853">
        <v>3</v>
      </c>
      <c r="B75" s="3477"/>
      <c r="C75" s="2827" t="s">
        <v>2648</v>
      </c>
      <c r="D75" s="2827" t="s">
        <v>2649</v>
      </c>
      <c r="E75" s="2853">
        <v>0.2</v>
      </c>
      <c r="F75" s="2853">
        <v>25</v>
      </c>
    </row>
    <row r="76" spans="1:7" ht="14.4">
      <c r="A76" s="2853">
        <v>4</v>
      </c>
      <c r="B76" s="3477"/>
      <c r="C76" s="2827" t="s">
        <v>2650</v>
      </c>
      <c r="D76" s="2827" t="s">
        <v>2651</v>
      </c>
      <c r="E76" s="2853">
        <v>0.15</v>
      </c>
      <c r="F76" s="2853">
        <v>20</v>
      </c>
    </row>
    <row r="77" spans="1:7" ht="24">
      <c r="A77" s="2853">
        <v>5</v>
      </c>
      <c r="B77" s="3477"/>
      <c r="C77" s="2827" t="s">
        <v>2652</v>
      </c>
      <c r="D77" s="2827" t="s">
        <v>2653</v>
      </c>
      <c r="E77" s="2853">
        <v>0.15</v>
      </c>
      <c r="F77" s="2853">
        <v>20</v>
      </c>
    </row>
    <row r="78" spans="1:7" ht="24">
      <c r="A78" s="2853">
        <v>6</v>
      </c>
      <c r="B78" s="3477"/>
      <c r="C78" s="2827" t="s">
        <v>2654</v>
      </c>
      <c r="D78" s="2827" t="s">
        <v>2655</v>
      </c>
      <c r="E78" s="2853">
        <v>0.15</v>
      </c>
      <c r="F78" s="2853">
        <v>20</v>
      </c>
    </row>
    <row r="79" spans="1:7" ht="24">
      <c r="A79" s="2853">
        <v>7</v>
      </c>
      <c r="B79" s="3477"/>
      <c r="C79" s="2827" t="s">
        <v>2656</v>
      </c>
      <c r="D79" s="2827" t="s">
        <v>2657</v>
      </c>
      <c r="E79" s="2853">
        <v>0.15</v>
      </c>
      <c r="F79" s="2853">
        <v>20</v>
      </c>
    </row>
    <row r="80" spans="1:7" ht="24">
      <c r="A80" s="2853">
        <v>8</v>
      </c>
      <c r="B80" s="3477"/>
      <c r="C80" s="2827" t="s">
        <v>2658</v>
      </c>
      <c r="D80" s="2827" t="s">
        <v>2659</v>
      </c>
      <c r="E80" s="2853">
        <v>0.1</v>
      </c>
      <c r="F80" s="2853">
        <v>15</v>
      </c>
    </row>
    <row r="81" spans="1:6" ht="24">
      <c r="A81" s="2853">
        <v>9</v>
      </c>
      <c r="B81" s="3477"/>
      <c r="C81" s="2827" t="s">
        <v>2660</v>
      </c>
      <c r="D81" s="2827" t="s">
        <v>2661</v>
      </c>
      <c r="E81" s="2853">
        <v>0.1</v>
      </c>
      <c r="F81" s="2853">
        <v>15</v>
      </c>
    </row>
    <row r="82" spans="1:6" ht="24">
      <c r="A82" s="2853">
        <v>10</v>
      </c>
      <c r="B82" s="3477"/>
      <c r="C82" s="2827" t="s">
        <v>2662</v>
      </c>
      <c r="D82" s="2827" t="s">
        <v>2663</v>
      </c>
      <c r="E82" s="2853">
        <v>0.1</v>
      </c>
      <c r="F82" s="2853">
        <v>15</v>
      </c>
    </row>
    <row r="83" spans="1:6" ht="24">
      <c r="A83" s="2853">
        <v>11</v>
      </c>
      <c r="B83" s="3477"/>
      <c r="C83" s="2827" t="s">
        <v>2664</v>
      </c>
      <c r="D83" s="2827" t="s">
        <v>2665</v>
      </c>
      <c r="E83" s="2853">
        <v>0.1</v>
      </c>
      <c r="F83" s="2853">
        <v>15</v>
      </c>
    </row>
    <row r="84" spans="1:6" ht="24">
      <c r="A84" s="2853">
        <v>12</v>
      </c>
      <c r="B84" s="3477"/>
      <c r="C84" s="2827" t="s">
        <v>2666</v>
      </c>
      <c r="D84" s="2827" t="s">
        <v>2667</v>
      </c>
      <c r="E84" s="2853">
        <v>0.1</v>
      </c>
      <c r="F84" s="2853">
        <v>15</v>
      </c>
    </row>
    <row r="85" spans="1:6" ht="24">
      <c r="A85" s="2853">
        <v>13</v>
      </c>
      <c r="B85" s="3477"/>
      <c r="C85" s="2827" t="s">
        <v>2668</v>
      </c>
      <c r="D85" s="2827" t="s">
        <v>2669</v>
      </c>
      <c r="E85" s="2853">
        <v>0.1</v>
      </c>
      <c r="F85" s="2853">
        <v>15</v>
      </c>
    </row>
    <row r="86" spans="1:6" ht="24">
      <c r="A86" s="2853">
        <v>14</v>
      </c>
      <c r="B86" s="3477"/>
      <c r="C86" s="2827" t="s">
        <v>2670</v>
      </c>
      <c r="D86" s="2827" t="s">
        <v>2671</v>
      </c>
      <c r="E86" s="2853">
        <v>0.1</v>
      </c>
      <c r="F86" s="2853">
        <v>15</v>
      </c>
    </row>
    <row r="87" spans="1:6" ht="24">
      <c r="A87" s="2853">
        <v>15</v>
      </c>
      <c r="B87" s="3477"/>
      <c r="C87" s="2827" t="s">
        <v>2672</v>
      </c>
      <c r="D87" s="2827" t="s">
        <v>2673</v>
      </c>
      <c r="E87" s="2853">
        <v>0.1</v>
      </c>
      <c r="F87" s="2853">
        <v>15</v>
      </c>
    </row>
    <row r="88" spans="1:6" ht="24">
      <c r="A88" s="2853">
        <v>16</v>
      </c>
      <c r="B88" s="3477"/>
      <c r="C88" s="2827" t="s">
        <v>2674</v>
      </c>
      <c r="D88" s="2827" t="s">
        <v>2675</v>
      </c>
      <c r="E88" s="2853">
        <v>0.1</v>
      </c>
      <c r="F88" s="2853">
        <v>15</v>
      </c>
    </row>
    <row r="89" spans="1:6" ht="24">
      <c r="A89" s="2853">
        <v>17</v>
      </c>
      <c r="B89" s="3476"/>
      <c r="C89" s="2827" t="s">
        <v>2676</v>
      </c>
      <c r="D89" s="2827" t="s">
        <v>2677</v>
      </c>
      <c r="E89" s="2853">
        <v>0.1</v>
      </c>
      <c r="F89" s="2853">
        <v>15</v>
      </c>
    </row>
    <row r="90" spans="1:6" ht="14.4">
      <c r="A90" s="2853">
        <v>18</v>
      </c>
      <c r="B90" s="3475" t="s">
        <v>2678</v>
      </c>
      <c r="C90" s="2827" t="s">
        <v>2679</v>
      </c>
      <c r="D90" s="2827" t="s">
        <v>2680</v>
      </c>
      <c r="E90" s="2853">
        <v>0.2</v>
      </c>
      <c r="F90" s="2853">
        <v>25</v>
      </c>
    </row>
    <row r="91" spans="1:6" ht="24">
      <c r="A91" s="2853">
        <v>19</v>
      </c>
      <c r="B91" s="3477"/>
      <c r="C91" s="2827" t="s">
        <v>2681</v>
      </c>
      <c r="D91" s="2827" t="s">
        <v>2682</v>
      </c>
      <c r="E91" s="2853">
        <v>0.2</v>
      </c>
      <c r="F91" s="2853">
        <v>25</v>
      </c>
    </row>
    <row r="92" spans="1:6" ht="14.4">
      <c r="A92" s="2853">
        <v>20</v>
      </c>
      <c r="B92" s="3477"/>
      <c r="C92" s="2827" t="s">
        <v>2683</v>
      </c>
      <c r="D92" s="2827" t="s">
        <v>2684</v>
      </c>
      <c r="E92" s="2853">
        <v>0.15</v>
      </c>
      <c r="F92" s="2853">
        <v>20</v>
      </c>
    </row>
    <row r="93" spans="1:6" ht="24">
      <c r="A93" s="2853">
        <v>21</v>
      </c>
      <c r="B93" s="3477"/>
      <c r="C93" s="2827" t="s">
        <v>2685</v>
      </c>
      <c r="D93" s="2827" t="s">
        <v>2686</v>
      </c>
      <c r="E93" s="2853">
        <v>0.15</v>
      </c>
      <c r="F93" s="2853">
        <v>20</v>
      </c>
    </row>
    <row r="94" spans="1:6" ht="24">
      <c r="A94" s="2853">
        <v>22</v>
      </c>
      <c r="B94" s="3477"/>
      <c r="C94" s="2827" t="s">
        <v>2687</v>
      </c>
      <c r="D94" s="2827" t="s">
        <v>2688</v>
      </c>
      <c r="E94" s="2853">
        <v>0.15</v>
      </c>
      <c r="F94" s="2853">
        <v>20</v>
      </c>
    </row>
    <row r="95" spans="1:6" ht="36">
      <c r="A95" s="2853">
        <v>23</v>
      </c>
      <c r="B95" s="3477"/>
      <c r="C95" s="2827" t="s">
        <v>2689</v>
      </c>
      <c r="D95" s="2827" t="s">
        <v>2690</v>
      </c>
      <c r="E95" s="2853">
        <v>0.15</v>
      </c>
      <c r="F95" s="2853">
        <v>20</v>
      </c>
    </row>
    <row r="96" spans="1:6" ht="24">
      <c r="A96" s="2853">
        <v>24</v>
      </c>
      <c r="B96" s="3477"/>
      <c r="C96" s="2827" t="s">
        <v>2691</v>
      </c>
      <c r="D96" s="2827" t="s">
        <v>2692</v>
      </c>
      <c r="E96" s="2853">
        <v>0.1</v>
      </c>
      <c r="F96" s="2853">
        <v>15</v>
      </c>
    </row>
    <row r="97" spans="1:6" ht="24">
      <c r="A97" s="2853">
        <v>25</v>
      </c>
      <c r="B97" s="3477"/>
      <c r="C97" s="2827" t="s">
        <v>2693</v>
      </c>
      <c r="D97" s="2827" t="s">
        <v>2694</v>
      </c>
      <c r="E97" s="2853">
        <v>0.1</v>
      </c>
      <c r="F97" s="2853">
        <v>15</v>
      </c>
    </row>
    <row r="98" spans="1:6" ht="24">
      <c r="A98" s="2853">
        <v>26</v>
      </c>
      <c r="B98" s="3477"/>
      <c r="C98" s="2827" t="s">
        <v>2695</v>
      </c>
      <c r="D98" s="2827" t="s">
        <v>2696</v>
      </c>
      <c r="E98" s="2853">
        <v>0.1</v>
      </c>
      <c r="F98" s="2853">
        <v>15</v>
      </c>
    </row>
    <row r="99" spans="1:6" ht="24">
      <c r="A99" s="2853">
        <v>27</v>
      </c>
      <c r="B99" s="3477"/>
      <c r="C99" s="2827" t="s">
        <v>2697</v>
      </c>
      <c r="D99" s="2827" t="s">
        <v>2698</v>
      </c>
      <c r="E99" s="2853">
        <v>0.1</v>
      </c>
      <c r="F99" s="2853">
        <v>15</v>
      </c>
    </row>
    <row r="100" spans="1:6" ht="24">
      <c r="A100" s="2853">
        <v>28</v>
      </c>
      <c r="B100" s="3477"/>
      <c r="C100" s="2827" t="s">
        <v>2699</v>
      </c>
      <c r="D100" s="2827" t="s">
        <v>2700</v>
      </c>
      <c r="E100" s="2853">
        <v>0.1</v>
      </c>
      <c r="F100" s="2853">
        <v>15</v>
      </c>
    </row>
    <row r="101" spans="1:6" ht="24">
      <c r="A101" s="2853">
        <v>29</v>
      </c>
      <c r="B101" s="3477"/>
      <c r="C101" s="2827" t="s">
        <v>2701</v>
      </c>
      <c r="D101" s="2827" t="s">
        <v>2702</v>
      </c>
      <c r="E101" s="2853">
        <v>0.1</v>
      </c>
      <c r="F101" s="2853">
        <v>15</v>
      </c>
    </row>
    <row r="102" spans="1:6" ht="24">
      <c r="A102" s="2853">
        <v>30</v>
      </c>
      <c r="B102" s="3477"/>
      <c r="C102" s="2827" t="s">
        <v>2703</v>
      </c>
      <c r="D102" s="2827" t="s">
        <v>2704</v>
      </c>
      <c r="E102" s="2853">
        <v>0.1</v>
      </c>
      <c r="F102" s="2853">
        <v>15</v>
      </c>
    </row>
    <row r="103" spans="1:6" ht="24">
      <c r="A103" s="2853">
        <v>31</v>
      </c>
      <c r="B103" s="3477"/>
      <c r="C103" s="2827" t="s">
        <v>2705</v>
      </c>
      <c r="D103" s="2827" t="s">
        <v>2706</v>
      </c>
      <c r="E103" s="2853">
        <v>0.1</v>
      </c>
      <c r="F103" s="2853">
        <v>15</v>
      </c>
    </row>
    <row r="104" spans="1:6" ht="24">
      <c r="A104" s="2853">
        <v>32</v>
      </c>
      <c r="B104" s="3477"/>
      <c r="C104" s="2827" t="s">
        <v>2707</v>
      </c>
      <c r="D104" s="2827" t="s">
        <v>2708</v>
      </c>
      <c r="E104" s="2853">
        <v>0.1</v>
      </c>
      <c r="F104" s="2853">
        <v>15</v>
      </c>
    </row>
    <row r="105" spans="1:6" ht="24">
      <c r="A105" s="2853">
        <v>33</v>
      </c>
      <c r="B105" s="3477"/>
      <c r="C105" s="2827" t="s">
        <v>2709</v>
      </c>
      <c r="D105" s="2827" t="s">
        <v>2710</v>
      </c>
      <c r="E105" s="2853">
        <v>0.1</v>
      </c>
      <c r="F105" s="2853">
        <v>15</v>
      </c>
    </row>
    <row r="106" spans="1:6" ht="24">
      <c r="A106" s="2853">
        <v>34</v>
      </c>
      <c r="B106" s="3476"/>
      <c r="C106" s="2827" t="s">
        <v>2711</v>
      </c>
      <c r="D106" s="2827" t="s">
        <v>2712</v>
      </c>
      <c r="E106" s="2853">
        <v>0.1</v>
      </c>
      <c r="F106" s="2853">
        <v>15</v>
      </c>
    </row>
    <row r="107" spans="1:6" ht="36">
      <c r="A107" s="2853">
        <v>35</v>
      </c>
      <c r="B107" s="3475" t="s">
        <v>2713</v>
      </c>
      <c r="C107" s="2853" t="s">
        <v>2714</v>
      </c>
      <c r="D107" s="2827" t="s">
        <v>2715</v>
      </c>
      <c r="E107" s="2853">
        <v>0.15</v>
      </c>
      <c r="F107" s="2853">
        <v>20</v>
      </c>
    </row>
    <row r="108" spans="1:6" ht="24">
      <c r="A108" s="2853">
        <v>36</v>
      </c>
      <c r="B108" s="3477"/>
      <c r="C108" s="2853" t="s">
        <v>2716</v>
      </c>
      <c r="D108" s="2827" t="s">
        <v>2717</v>
      </c>
      <c r="E108" s="2853">
        <v>0.15</v>
      </c>
      <c r="F108" s="2853">
        <v>20</v>
      </c>
    </row>
    <row r="109" spans="1:6" ht="24">
      <c r="A109" s="2853">
        <v>37</v>
      </c>
      <c r="B109" s="3477"/>
      <c r="C109" s="2853" t="s">
        <v>2718</v>
      </c>
      <c r="D109" s="2827" t="s">
        <v>2719</v>
      </c>
      <c r="E109" s="2853">
        <v>0.15</v>
      </c>
      <c r="F109" s="2853">
        <v>20</v>
      </c>
    </row>
    <row r="110" spans="1:6" ht="24">
      <c r="A110" s="2853">
        <v>38</v>
      </c>
      <c r="B110" s="3477"/>
      <c r="C110" s="2853" t="s">
        <v>2720</v>
      </c>
      <c r="D110" s="2827" t="s">
        <v>2721</v>
      </c>
      <c r="E110" s="2853">
        <v>0.1</v>
      </c>
      <c r="F110" s="2853">
        <v>15</v>
      </c>
    </row>
    <row r="111" spans="1:6" ht="24">
      <c r="A111" s="2853">
        <v>39</v>
      </c>
      <c r="B111" s="3477"/>
      <c r="C111" s="2853" t="s">
        <v>2722</v>
      </c>
      <c r="D111" s="2827" t="s">
        <v>2723</v>
      </c>
      <c r="E111" s="2853">
        <v>0.1</v>
      </c>
      <c r="F111" s="2853">
        <v>15</v>
      </c>
    </row>
    <row r="112" spans="1:6" ht="24">
      <c r="A112" s="2853">
        <v>40</v>
      </c>
      <c r="B112" s="3476"/>
      <c r="C112" s="2853" t="s">
        <v>2724</v>
      </c>
      <c r="D112" s="2827" t="s">
        <v>2725</v>
      </c>
      <c r="E112" s="2853">
        <v>0.1</v>
      </c>
      <c r="F112" s="2853">
        <v>15</v>
      </c>
    </row>
    <row r="113" spans="1:6" ht="24">
      <c r="A113" s="2853">
        <v>41</v>
      </c>
      <c r="B113" s="3474" t="s">
        <v>2726</v>
      </c>
      <c r="C113" s="2853" t="s">
        <v>2727</v>
      </c>
      <c r="D113" s="2827" t="s">
        <v>2728</v>
      </c>
      <c r="E113" s="2853">
        <v>0.1</v>
      </c>
      <c r="F113" s="2853">
        <v>15</v>
      </c>
    </row>
    <row r="114" spans="1:6" ht="24">
      <c r="A114" s="2853">
        <v>42</v>
      </c>
      <c r="B114" s="3474"/>
      <c r="C114" s="2853" t="s">
        <v>2729</v>
      </c>
      <c r="D114" s="2827" t="s">
        <v>2730</v>
      </c>
      <c r="E114" s="2853">
        <v>0.1</v>
      </c>
      <c r="F114" s="2853">
        <v>15</v>
      </c>
    </row>
    <row r="115" spans="1:6" ht="24">
      <c r="A115" s="2853">
        <v>43</v>
      </c>
      <c r="B115" s="3474"/>
      <c r="C115" s="2853" t="s">
        <v>2731</v>
      </c>
      <c r="D115" s="2827" t="s">
        <v>2732</v>
      </c>
      <c r="E115" s="2853">
        <v>0.1</v>
      </c>
      <c r="F115" s="2853">
        <v>15</v>
      </c>
    </row>
    <row r="116" spans="1:6" ht="24">
      <c r="A116" s="2853">
        <v>44</v>
      </c>
      <c r="B116" s="3475" t="s">
        <v>2733</v>
      </c>
      <c r="C116" s="2853" t="s">
        <v>2734</v>
      </c>
      <c r="D116" s="2827" t="s">
        <v>2735</v>
      </c>
      <c r="E116" s="2853">
        <v>0.1</v>
      </c>
      <c r="F116" s="2853">
        <v>15</v>
      </c>
    </row>
    <row r="117" spans="1:6" ht="24">
      <c r="A117" s="2853">
        <v>45</v>
      </c>
      <c r="B117" s="3476"/>
      <c r="C117" s="2827" t="s">
        <v>2736</v>
      </c>
      <c r="D117" s="2827" t="s">
        <v>2737</v>
      </c>
      <c r="E117" s="2853">
        <v>0.1</v>
      </c>
      <c r="F117" s="2853">
        <v>15</v>
      </c>
    </row>
    <row r="118" spans="1:6" ht="24">
      <c r="A118" s="2853">
        <v>46</v>
      </c>
      <c r="B118" s="3475" t="s">
        <v>2738</v>
      </c>
      <c r="C118" s="2853" t="s">
        <v>2739</v>
      </c>
      <c r="D118" s="2827" t="s">
        <v>2740</v>
      </c>
      <c r="E118" s="2853">
        <v>0.1</v>
      </c>
      <c r="F118" s="2853">
        <v>15</v>
      </c>
    </row>
    <row r="119" spans="1:6" ht="24">
      <c r="A119" s="2853">
        <v>47</v>
      </c>
      <c r="B119" s="3476"/>
      <c r="C119" s="2853" t="s">
        <v>2741</v>
      </c>
      <c r="D119" s="2827" t="s">
        <v>2742</v>
      </c>
      <c r="E119" s="2853">
        <v>0.1</v>
      </c>
      <c r="F119" s="2853">
        <v>15</v>
      </c>
    </row>
    <row r="120" spans="1:6" ht="24">
      <c r="A120" s="2853">
        <v>48</v>
      </c>
      <c r="B120" s="3475" t="s">
        <v>2743</v>
      </c>
      <c r="C120" s="2853" t="s">
        <v>2744</v>
      </c>
      <c r="D120" s="2827" t="s">
        <v>2745</v>
      </c>
      <c r="E120" s="2853">
        <v>0.1</v>
      </c>
      <c r="F120" s="2853">
        <v>15</v>
      </c>
    </row>
    <row r="121" spans="1:6" ht="24">
      <c r="A121" s="2853">
        <v>49</v>
      </c>
      <c r="B121" s="3476"/>
      <c r="C121" s="2853" t="s">
        <v>2746</v>
      </c>
      <c r="D121" s="2827" t="s">
        <v>2747</v>
      </c>
      <c r="E121" s="2853">
        <v>0.1</v>
      </c>
      <c r="F121" s="2853">
        <v>15</v>
      </c>
    </row>
    <row r="122" spans="1:6" ht="24">
      <c r="A122" s="2853">
        <v>50</v>
      </c>
      <c r="B122" s="3474" t="s">
        <v>2748</v>
      </c>
      <c r="C122" s="2853" t="s">
        <v>2749</v>
      </c>
      <c r="D122" s="2827" t="s">
        <v>2750</v>
      </c>
      <c r="E122" s="2853">
        <v>0.1</v>
      </c>
      <c r="F122" s="2853">
        <v>15</v>
      </c>
    </row>
    <row r="123" spans="1:6" ht="24">
      <c r="A123" s="2853">
        <v>51</v>
      </c>
      <c r="B123" s="3474"/>
      <c r="C123" s="2853" t="s">
        <v>2751</v>
      </c>
      <c r="D123" s="2827" t="s">
        <v>2752</v>
      </c>
      <c r="E123" s="2853">
        <v>0.1</v>
      </c>
      <c r="F123" s="2853">
        <v>15</v>
      </c>
    </row>
    <row r="124" spans="1:6" ht="24">
      <c r="A124" s="2853">
        <v>52</v>
      </c>
      <c r="B124" s="3474" t="s">
        <v>2753</v>
      </c>
      <c r="C124" s="2853" t="s">
        <v>2754</v>
      </c>
      <c r="D124" s="2827" t="s">
        <v>2755</v>
      </c>
      <c r="E124" s="2853">
        <v>0.1</v>
      </c>
      <c r="F124" s="2853">
        <v>15</v>
      </c>
    </row>
    <row r="125" spans="1:6" ht="24">
      <c r="A125" s="2853">
        <v>53</v>
      </c>
      <c r="B125" s="3474"/>
      <c r="C125" s="2853" t="s">
        <v>2756</v>
      </c>
      <c r="D125" s="2827" t="s">
        <v>2757</v>
      </c>
      <c r="E125" s="2853">
        <v>0.1</v>
      </c>
      <c r="F125" s="2853">
        <v>15</v>
      </c>
    </row>
    <row r="126" spans="1:6" ht="24">
      <c r="A126" s="2853">
        <v>54</v>
      </c>
      <c r="B126" s="2853" t="s">
        <v>2758</v>
      </c>
      <c r="C126" s="2853" t="s">
        <v>2759</v>
      </c>
      <c r="D126" s="2827" t="s">
        <v>2760</v>
      </c>
      <c r="E126" s="2853">
        <v>0.1</v>
      </c>
      <c r="F126" s="2853">
        <v>15</v>
      </c>
    </row>
    <row r="127" spans="1:6" ht="24">
      <c r="A127" s="2853">
        <v>55</v>
      </c>
      <c r="B127" s="3474" t="s">
        <v>2761</v>
      </c>
      <c r="C127" s="2853" t="s">
        <v>2762</v>
      </c>
      <c r="D127" s="2827" t="s">
        <v>2763</v>
      </c>
      <c r="E127" s="2853">
        <v>0.1</v>
      </c>
      <c r="F127" s="2853">
        <v>15</v>
      </c>
    </row>
    <row r="128" spans="1:6" ht="24">
      <c r="A128" s="2853">
        <v>56</v>
      </c>
      <c r="B128" s="3474"/>
      <c r="C128" s="2853" t="s">
        <v>2764</v>
      </c>
      <c r="D128" s="2827" t="s">
        <v>2765</v>
      </c>
      <c r="E128" s="2853">
        <v>0.1</v>
      </c>
      <c r="F128" s="2853">
        <v>15</v>
      </c>
    </row>
    <row r="129" spans="1:6" ht="24">
      <c r="A129" s="2853">
        <v>57</v>
      </c>
      <c r="B129" s="3474"/>
      <c r="C129" s="2853" t="s">
        <v>2766</v>
      </c>
      <c r="D129" s="2827" t="s">
        <v>2767</v>
      </c>
      <c r="E129" s="2853">
        <v>0.1</v>
      </c>
      <c r="F129" s="2853">
        <v>15</v>
      </c>
    </row>
    <row r="130" spans="1:6" ht="24">
      <c r="A130" s="2853">
        <v>58</v>
      </c>
      <c r="B130" s="3474" t="s">
        <v>2768</v>
      </c>
      <c r="C130" s="2853" t="s">
        <v>2769</v>
      </c>
      <c r="D130" s="2827" t="s">
        <v>2770</v>
      </c>
      <c r="E130" s="2853">
        <v>0.1</v>
      </c>
      <c r="F130" s="2853">
        <v>15</v>
      </c>
    </row>
    <row r="131" spans="1:6" ht="24">
      <c r="A131" s="2853">
        <v>59</v>
      </c>
      <c r="B131" s="3474"/>
      <c r="C131" s="2853" t="s">
        <v>2771</v>
      </c>
      <c r="D131" s="2827" t="s">
        <v>2772</v>
      </c>
      <c r="E131" s="2853">
        <v>0.1</v>
      </c>
      <c r="F131" s="2853">
        <v>15</v>
      </c>
    </row>
    <row r="132" spans="1:6" ht="24">
      <c r="A132" s="2853">
        <v>60</v>
      </c>
      <c r="B132" s="3475" t="s">
        <v>2773</v>
      </c>
      <c r="C132" s="2853" t="s">
        <v>2774</v>
      </c>
      <c r="D132" s="2827" t="s">
        <v>2775</v>
      </c>
      <c r="E132" s="2853">
        <v>0.1</v>
      </c>
      <c r="F132" s="2853">
        <v>15</v>
      </c>
    </row>
    <row r="133" spans="1:6" ht="24">
      <c r="A133" s="2853">
        <v>61</v>
      </c>
      <c r="B133" s="3476"/>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24">
      <c r="A135" s="2853">
        <v>63</v>
      </c>
      <c r="B135" s="3474" t="s">
        <v>2781</v>
      </c>
      <c r="C135" s="2853" t="s">
        <v>2782</v>
      </c>
      <c r="D135" s="2827" t="s">
        <v>2783</v>
      </c>
      <c r="E135" s="2853">
        <v>0.1</v>
      </c>
      <c r="F135" s="2853">
        <v>15</v>
      </c>
    </row>
    <row r="136" spans="1:6" ht="24">
      <c r="A136" s="2853">
        <v>64</v>
      </c>
      <c r="B136" s="3474"/>
      <c r="C136" s="2853" t="s">
        <v>2784</v>
      </c>
      <c r="D136" s="2827" t="s">
        <v>2785</v>
      </c>
      <c r="E136" s="2853">
        <v>0.1</v>
      </c>
      <c r="F136" s="2853">
        <v>15</v>
      </c>
    </row>
    <row r="137" spans="1:6" ht="24">
      <c r="A137" s="2853">
        <v>65</v>
      </c>
      <c r="B137" s="2853" t="s">
        <v>2786</v>
      </c>
      <c r="C137" s="2853" t="s">
        <v>2787</v>
      </c>
      <c r="D137" s="2827" t="s">
        <v>2788</v>
      </c>
      <c r="E137" s="2853">
        <v>0.1</v>
      </c>
      <c r="F137" s="2853">
        <v>15</v>
      </c>
    </row>
    <row r="138" spans="1:6" ht="14.4">
      <c r="A138" s="2853"/>
      <c r="B138" s="2853"/>
      <c r="C138" s="2853"/>
      <c r="D138" s="2853"/>
      <c r="E138" s="2853" t="s">
        <v>2789</v>
      </c>
      <c r="F138" s="2853"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89"/>
      <c r="B4" s="3171" t="s">
        <v>917</v>
      </c>
      <c r="C4" s="3171"/>
      <c r="D4" s="3171"/>
      <c r="E4" s="1389"/>
    </row>
    <row r="5" spans="1:5" ht="16.2" thickTop="1">
      <c r="B5" s="3169" t="s">
        <v>909</v>
      </c>
      <c r="C5" s="1390" t="s">
        <v>910</v>
      </c>
      <c r="D5" s="795">
        <f ca="1">结果表!H101</f>
        <v>16073</v>
      </c>
    </row>
    <row r="6" spans="1:5" ht="15.6">
      <c r="B6" s="3169"/>
      <c r="C6" s="1390" t="s">
        <v>911</v>
      </c>
      <c r="D6" s="795" t="str">
        <f ca="1">NUMBERSTRING(INT(D5*10000),2)&amp;"元整"</f>
        <v>壹亿陆仟零柒拾叁万元整</v>
      </c>
    </row>
    <row r="7" spans="1:5" ht="15.6">
      <c r="B7" s="3174"/>
      <c r="C7" s="1391" t="s">
        <v>912</v>
      </c>
      <c r="D7" s="796">
        <f ca="1">结果表!H102</f>
        <v>3679</v>
      </c>
    </row>
    <row r="8" spans="1:5" ht="15.6">
      <c r="B8" s="3175" t="str">
        <f>结果表!E103</f>
        <v>2.估价师知悉的法定优先受偿款</v>
      </c>
      <c r="C8" s="1392" t="s">
        <v>913</v>
      </c>
      <c r="D8" s="796">
        <f>结果表!H103</f>
        <v>0</v>
      </c>
    </row>
    <row r="9" spans="1:5" ht="15.6">
      <c r="B9" s="3177"/>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68" t="str">
        <f>结果表!E107</f>
        <v>3.房地产抵押价值</v>
      </c>
      <c r="C13" s="1395" t="s">
        <v>910</v>
      </c>
      <c r="D13" s="798">
        <f ca="1">结果表!H107</f>
        <v>16073</v>
      </c>
    </row>
    <row r="14" spans="1:5" ht="15.6">
      <c r="B14" s="3169"/>
      <c r="C14" s="1390" t="s">
        <v>911</v>
      </c>
      <c r="D14" s="795" t="str">
        <f ca="1">NUMBERSTRING(INT(D13*10000),2)&amp;"元整"</f>
        <v>壹亿陆仟零柒拾叁万元整</v>
      </c>
    </row>
    <row r="15" spans="1:5" ht="15.6">
      <c r="B15" s="3174"/>
      <c r="C15" s="1391" t="s">
        <v>921</v>
      </c>
      <c r="D15" s="804">
        <f ca="1">结果表!H108</f>
        <v>3679</v>
      </c>
    </row>
    <row r="16" spans="1:5" ht="15.6">
      <c r="B16" s="3175" t="str">
        <f>结果表!E109</f>
        <v>——</v>
      </c>
      <c r="C16" s="1395" t="s">
        <v>922</v>
      </c>
      <c r="D16" s="1396" t="str">
        <f>结果表!H109</f>
        <v>——</v>
      </c>
    </row>
    <row r="17" spans="1:5" ht="15.6">
      <c r="B17" s="3176"/>
      <c r="C17" s="1390" t="s">
        <v>923</v>
      </c>
      <c r="D17" s="795" t="e">
        <f>NUMBERSTRING(INT(D16*10000),2)&amp;"元整"</f>
        <v>#VALUE!</v>
      </c>
    </row>
    <row r="18" spans="1:5" ht="15.6">
      <c r="B18" s="3177"/>
      <c r="C18" s="1391" t="s">
        <v>912</v>
      </c>
      <c r="D18" s="804" t="str">
        <f>结果表!H110</f>
        <v>——</v>
      </c>
    </row>
    <row r="19" spans="1:5" ht="15.6">
      <c r="B19" s="3168" t="str">
        <f>结果表!E111</f>
        <v>4.抵押净值</v>
      </c>
      <c r="C19" s="1395" t="s">
        <v>910</v>
      </c>
      <c r="D19" s="796">
        <f ca="1">结果表!H111</f>
        <v>15223</v>
      </c>
    </row>
    <row r="20" spans="1:5" ht="15.6">
      <c r="B20" s="3169"/>
      <c r="C20" s="1390" t="s">
        <v>923</v>
      </c>
      <c r="D20" s="795" t="str">
        <f ca="1">NUMBERSTRING(INT(D19*10000),2)&amp;"元整"</f>
        <v>壹亿伍仟贰佰贰拾叁万元整</v>
      </c>
    </row>
    <row r="21" spans="1:5" ht="16.2" thickBot="1">
      <c r="B21" s="3170"/>
      <c r="C21" s="1397" t="s">
        <v>921</v>
      </c>
      <c r="D21" s="805">
        <f ca="1">结果表!H112</f>
        <v>3485</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2790</v>
      </c>
      <c r="B1" s="2861"/>
      <c r="C1" s="2861"/>
      <c r="D1" s="2861"/>
      <c r="E1" s="2861"/>
      <c r="F1" s="2861"/>
      <c r="G1" s="2861"/>
      <c r="H1" s="2861"/>
      <c r="I1" s="2861"/>
      <c r="J1" s="2861"/>
      <c r="K1" s="2861"/>
      <c r="L1" s="2861"/>
      <c r="M1" s="2861"/>
      <c r="N1" s="705"/>
    </row>
    <row r="2" spans="1:20">
      <c r="A2" s="2862" t="s">
        <v>2791</v>
      </c>
      <c r="B2" s="2863" t="s">
        <v>2587</v>
      </c>
      <c r="C2" s="2863" t="s">
        <v>2588</v>
      </c>
      <c r="D2" s="2863" t="s">
        <v>2589</v>
      </c>
      <c r="E2" s="2863" t="s">
        <v>2590</v>
      </c>
      <c r="F2" s="2863" t="s">
        <v>2591</v>
      </c>
      <c r="G2" s="2863" t="s">
        <v>2592</v>
      </c>
      <c r="H2" s="2864" t="s">
        <v>2593</v>
      </c>
      <c r="I2" s="2864" t="s">
        <v>2594</v>
      </c>
      <c r="J2" s="2865"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2792</v>
      </c>
      <c r="B93" s="2861"/>
      <c r="C93" s="2861"/>
      <c r="D93" s="2861"/>
      <c r="E93" s="2861"/>
      <c r="F93" s="2861"/>
      <c r="G93" s="2861"/>
      <c r="H93" s="2861"/>
      <c r="I93" s="2861"/>
      <c r="J93" s="2861"/>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2865" t="s">
        <v>2595</v>
      </c>
      <c r="K94" s="2865" t="s">
        <v>2596</v>
      </c>
      <c r="L94" s="2865" t="s">
        <v>2597</v>
      </c>
      <c r="M94" s="2866" t="s">
        <v>2598</v>
      </c>
      <c r="N94">
        <f>SUMPRODUCT((A95:A184=ROUNDDOWN(基准地价修正!G3,1))*(B94:M94=基准地价修正!G2)*(B95:M184))</f>
        <v>0</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2793</v>
      </c>
      <c r="B185" s="2861"/>
      <c r="C185" s="2861"/>
      <c r="D185" s="2861"/>
      <c r="E185" s="2861"/>
      <c r="F185" s="2861"/>
      <c r="G185" s="2861"/>
      <c r="H185" s="2861"/>
      <c r="I185" s="2861"/>
      <c r="J185" s="2861"/>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2865"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2794</v>
      </c>
      <c r="B277" s="2861"/>
      <c r="C277" s="2861"/>
      <c r="D277" s="2861"/>
      <c r="E277" s="2861"/>
      <c r="F277" s="2861"/>
      <c r="G277" s="2861"/>
      <c r="H277" s="2861"/>
      <c r="I277" s="2861"/>
      <c r="J277" s="2861"/>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2865"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2795</v>
      </c>
      <c r="B369" s="2874"/>
      <c r="C369" s="2874"/>
      <c r="D369" s="2874"/>
      <c r="E369" s="2874"/>
      <c r="F369" s="2874"/>
      <c r="G369" s="2874"/>
      <c r="H369" s="2874"/>
      <c r="I369" s="2874"/>
      <c r="J369" s="2874"/>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2865" t="s">
        <v>2595</v>
      </c>
      <c r="K370" s="2865" t="s">
        <v>2596</v>
      </c>
      <c r="L370" s="2865" t="s">
        <v>2597</v>
      </c>
      <c r="M370" s="2866" t="s">
        <v>2598</v>
      </c>
      <c r="N370">
        <f>SUMPRODUCT((A371:A460=ROUNDDOWN(基准地价修正!G3,1))*(B370:M370=基准地价修正!G2)*(B371:M460))</f>
        <v>0</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41975</v>
      </c>
      <c r="C2" s="2" t="s">
        <v>106</v>
      </c>
      <c r="D2" s="189"/>
      <c r="E2" s="189"/>
      <c r="F2" s="189"/>
      <c r="G2" s="189"/>
    </row>
    <row r="3" spans="1:7" s="190" customFormat="1" ht="18" customHeight="1" thickBot="1">
      <c r="A3" s="193" t="s">
        <v>58</v>
      </c>
      <c r="B3" s="194">
        <f ca="1">ROUND(B2*10000/'数据-汇总表'!E3,0)</f>
        <v>9608</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20810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810</v>
      </c>
      <c r="D7" s="210"/>
      <c r="E7" s="208"/>
      <c r="F7" s="211">
        <f>'数据-取费表'!B48+'数据-取费表'!B49</f>
        <v>4.0500000000000001E-2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0</v>
      </c>
      <c r="F9" s="211"/>
      <c r="G9" s="216"/>
    </row>
    <row r="10" spans="1:7" s="204" customFormat="1" ht="13.5" customHeight="1">
      <c r="A10" s="731" t="s">
        <v>356</v>
      </c>
      <c r="B10" s="214" t="s">
        <v>67</v>
      </c>
      <c r="C10" s="215">
        <f>ROUND(D10*E10/10000,0)</f>
        <v>153</v>
      </c>
      <c r="D10" s="793">
        <f>'数据-汇总表'!E6</f>
        <v>43685.850000000006</v>
      </c>
      <c r="E10" s="215">
        <f>'数据-取费表'!B28</f>
        <v>35</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655</v>
      </c>
      <c r="D19" s="202">
        <f>'数据-汇总表'!E3</f>
        <v>43685.850000000006</v>
      </c>
      <c r="E19" s="201">
        <f>'数据-取费表'!B31</f>
        <v>150</v>
      </c>
      <c r="F19" s="221"/>
      <c r="G19" s="1" t="s">
        <v>436</v>
      </c>
    </row>
    <row r="20" spans="1:7" s="204" customFormat="1" ht="13.5" customHeight="1">
      <c r="A20" s="729" t="s">
        <v>419</v>
      </c>
      <c r="B20" s="200" t="s">
        <v>77</v>
      </c>
      <c r="C20" s="222">
        <f>ROUND((C5+C19)*F20,0)</f>
        <v>429</v>
      </c>
      <c r="D20" s="222"/>
      <c r="E20" s="222"/>
      <c r="F20" s="223">
        <f>'数据-取费表'!B37</f>
        <v>0.02</v>
      </c>
      <c r="G20" s="1002" t="s">
        <v>430</v>
      </c>
    </row>
    <row r="21" spans="1:7" s="204" customFormat="1" ht="13.5" customHeight="1">
      <c r="A21" s="729" t="s">
        <v>421</v>
      </c>
      <c r="B21" s="200" t="s">
        <v>78</v>
      </c>
      <c r="C21" s="225">
        <f>F21</f>
        <v>0.01</v>
      </c>
      <c r="D21" s="226" t="s">
        <v>99</v>
      </c>
      <c r="E21" s="222"/>
      <c r="F21" s="223">
        <f>'数据-取费表'!B38</f>
        <v>0.01</v>
      </c>
      <c r="G21" s="224" t="s">
        <v>79</v>
      </c>
    </row>
    <row r="22" spans="1:7" s="204" customFormat="1" ht="13.5" customHeight="1">
      <c r="A22" s="729" t="s">
        <v>341</v>
      </c>
      <c r="B22" s="200" t="s">
        <v>80</v>
      </c>
      <c r="C22" s="1039">
        <f ca="1">ROUND(SUM(C23:C25),0)</f>
        <v>672</v>
      </c>
      <c r="D22" s="225">
        <f ca="1">C26</f>
        <v>2.0000000000000001E-4</v>
      </c>
      <c r="E22" s="226" t="s">
        <v>99</v>
      </c>
      <c r="F22" s="227">
        <f ca="1">'数据-取费表'!B40</f>
        <v>3.1E-2</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645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20</v>
      </c>
      <c r="D24" s="228"/>
      <c r="E24" s="228"/>
      <c r="F24" s="229"/>
      <c r="G24" s="230" t="s">
        <v>82</v>
      </c>
    </row>
    <row r="25" spans="1:7" s="204" customFormat="1" ht="24">
      <c r="A25" s="732" t="s">
        <v>348</v>
      </c>
      <c r="B25" s="205" t="s">
        <v>420</v>
      </c>
      <c r="C25" s="1040">
        <f ca="1">ROUND(IF('数据-取费表'!B22&lt;=1,C20*F22*'数据-取费表'!B23/2,C20*(POWER((1+F22),'数据-取费表'!B23/2)-1)),0)</f>
        <v>7</v>
      </c>
      <c r="D25" s="228"/>
      <c r="E25" s="231"/>
      <c r="F25" s="229"/>
      <c r="G25" s="232" t="s">
        <v>83</v>
      </c>
    </row>
    <row r="26" spans="1:7" s="204" customFormat="1">
      <c r="A26" s="732" t="s">
        <v>350</v>
      </c>
      <c r="B26" s="205" t="s">
        <v>422</v>
      </c>
      <c r="C26" s="228">
        <f ca="1">ROUND(IF('数据-取费表'!B22&lt;=1,F21*F22*'数据-取费表'!B23/2,F21*(POWER((1+F22),'数据-取费表'!B23/2)-1)),4)</f>
        <v>2.0000000000000001E-4</v>
      </c>
      <c r="D26" s="228"/>
      <c r="E26" s="231"/>
      <c r="F26" s="229"/>
      <c r="G26" s="233"/>
    </row>
    <row r="27" spans="1:7" s="204" customFormat="1" ht="26.4">
      <c r="A27" s="729" t="s">
        <v>342</v>
      </c>
      <c r="B27" s="234" t="s">
        <v>85</v>
      </c>
      <c r="C27" s="235">
        <f>C28</f>
        <v>1095</v>
      </c>
      <c r="D27" s="225">
        <f>C29</f>
        <v>5.0000000000000001E-4</v>
      </c>
      <c r="E27" s="226" t="s">
        <v>99</v>
      </c>
      <c r="F27" s="236">
        <f>'数据-取费表'!Q16</f>
        <v>0.05</v>
      </c>
      <c r="G27" s="237" t="s">
        <v>431</v>
      </c>
    </row>
    <row r="28" spans="1:7" s="204" customFormat="1" ht="13.5" customHeight="1">
      <c r="A28" s="732" t="s">
        <v>349</v>
      </c>
      <c r="B28" s="238" t="s">
        <v>424</v>
      </c>
      <c r="C28" s="239">
        <f>ROUND((C5+C19+C20)*F27*'数据-取费表'!B21/'数据-取费表'!B20,0)</f>
        <v>1095</v>
      </c>
      <c r="D28" s="225"/>
      <c r="E28" s="226"/>
      <c r="F28" s="236"/>
      <c r="G28" s="237"/>
    </row>
    <row r="29" spans="1:7" s="204" customFormat="1" ht="13.5" customHeight="1">
      <c r="A29" s="732" t="s">
        <v>347</v>
      </c>
      <c r="B29" s="238" t="s">
        <v>425</v>
      </c>
      <c r="C29" s="228">
        <f>ROUND(C21*F27*'数据-取费表'!B21/'数据-取费表'!B20,4)</f>
        <v>5.0000000000000001E-4</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25254</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14416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13106</v>
      </c>
      <c r="D34" s="207"/>
      <c r="E34" s="210"/>
      <c r="F34" s="247">
        <f>IF('数据-取费表'!B24=0,1,'数据-取费表'!N16)</f>
        <v>1</v>
      </c>
      <c r="G34" s="209" t="s">
        <v>89</v>
      </c>
    </row>
    <row r="35" spans="1:7" ht="13.5" customHeight="1">
      <c r="A35" s="732" t="s">
        <v>351</v>
      </c>
      <c r="B35" s="205" t="s">
        <v>33</v>
      </c>
      <c r="C35" s="210">
        <f>ROUND(C34*F35,0)</f>
        <v>393</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655</v>
      </c>
      <c r="D37" s="207">
        <f>'数据-汇总表'!E3</f>
        <v>43685.850000000006</v>
      </c>
      <c r="E37" s="239">
        <f>'数据-取费表'!B35</f>
        <v>150</v>
      </c>
      <c r="F37" s="249"/>
      <c r="G37" s="251" t="s">
        <v>92</v>
      </c>
    </row>
    <row r="38" spans="1:7" ht="13.5" customHeight="1">
      <c r="A38" s="732" t="s">
        <v>354</v>
      </c>
      <c r="B38" s="205" t="s">
        <v>36</v>
      </c>
      <c r="C38" s="210">
        <f>ROUND(C34*F38,0)</f>
        <v>262</v>
      </c>
      <c r="D38" s="210"/>
      <c r="E38" s="210"/>
      <c r="F38" s="249">
        <f>'数据-取费表'!B36</f>
        <v>0.02</v>
      </c>
      <c r="G38" s="209" t="s">
        <v>90</v>
      </c>
    </row>
    <row r="39" spans="1:7" s="204" customFormat="1" ht="13.5" customHeight="1">
      <c r="A39" s="729" t="s">
        <v>338</v>
      </c>
      <c r="B39" s="200" t="s">
        <v>77</v>
      </c>
      <c r="C39" s="222">
        <f>ROUND(C33*F20,0)</f>
        <v>288</v>
      </c>
      <c r="D39" s="222"/>
      <c r="E39" s="222"/>
      <c r="F39" s="223"/>
      <c r="G39" s="1002" t="s">
        <v>433</v>
      </c>
    </row>
    <row r="40" spans="1:7" s="204" customFormat="1" ht="13.5" customHeight="1">
      <c r="A40" s="729" t="s">
        <v>339</v>
      </c>
      <c r="B40" s="200" t="s">
        <v>78</v>
      </c>
      <c r="C40" s="252">
        <f>F21</f>
        <v>0.01</v>
      </c>
      <c r="D40" s="226" t="s">
        <v>102</v>
      </c>
      <c r="E40" s="222"/>
      <c r="F40" s="223"/>
      <c r="G40" s="224" t="s">
        <v>93</v>
      </c>
    </row>
    <row r="41" spans="1:7" s="204" customFormat="1" ht="13.5" customHeight="1">
      <c r="A41" s="729" t="s">
        <v>340</v>
      </c>
      <c r="B41" s="200" t="s">
        <v>80</v>
      </c>
      <c r="C41" s="222">
        <f ca="1">ROUND(SUM(C42:C43),0)</f>
        <v>227</v>
      </c>
      <c r="D41" s="225">
        <f ca="1">C44</f>
        <v>2.0000000000000001E-4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223</v>
      </c>
      <c r="D42" s="228"/>
      <c r="E42" s="228"/>
      <c r="F42" s="229"/>
      <c r="G42" s="3393" t="s">
        <v>94</v>
      </c>
    </row>
    <row r="43" spans="1:7" ht="13.5" customHeight="1">
      <c r="A43" s="732" t="s">
        <v>347</v>
      </c>
      <c r="B43" s="205" t="s">
        <v>426</v>
      </c>
      <c r="C43" s="228">
        <f ca="1">ROUND(IF('数据-取费表'!B22&lt;=1,C39*F22*'数据-取费表'!B21/2,C39*(POWER((1+F22),'数据-取费表'!B21/2)-1)),0)</f>
        <v>4</v>
      </c>
      <c r="D43" s="228"/>
      <c r="E43" s="228"/>
      <c r="F43" s="229"/>
      <c r="G43" s="3394"/>
    </row>
    <row r="44" spans="1:7" ht="13.5" customHeight="1">
      <c r="A44" s="732" t="s">
        <v>348</v>
      </c>
      <c r="B44" s="205" t="s">
        <v>428</v>
      </c>
      <c r="C44" s="228">
        <f ca="1">ROUND(IF('数据-取费表'!B22&lt;=1,C40*F22*'数据-取费表'!B21/2,C40*(POWER((1+F22),'数据-取费表'!B21/2)-1)),4)</f>
        <v>2.0000000000000001E-4</v>
      </c>
      <c r="D44" s="228"/>
      <c r="E44" s="228"/>
      <c r="F44" s="229"/>
      <c r="G44" s="3395"/>
    </row>
    <row r="45" spans="1:7" s="204" customFormat="1" ht="13.5" customHeight="1">
      <c r="A45" s="729" t="s">
        <v>341</v>
      </c>
      <c r="B45" s="234" t="s">
        <v>85</v>
      </c>
      <c r="C45" s="235">
        <f>C46</f>
        <v>735</v>
      </c>
      <c r="D45" s="225">
        <f>C47</f>
        <v>5.0000000000000001E-4</v>
      </c>
      <c r="E45" s="226" t="s">
        <v>102</v>
      </c>
      <c r="F45" s="236"/>
      <c r="G45" s="237" t="s">
        <v>434</v>
      </c>
    </row>
    <row r="46" spans="1:7" s="204" customFormat="1" ht="13.5" customHeight="1">
      <c r="A46" s="732" t="s">
        <v>349</v>
      </c>
      <c r="B46" s="238" t="s">
        <v>427</v>
      </c>
      <c r="C46" s="239">
        <f>ROUND((C33+C39)*F27,0)</f>
        <v>735</v>
      </c>
      <c r="D46" s="253"/>
      <c r="E46" s="226"/>
      <c r="F46" s="236"/>
      <c r="G46" s="237"/>
    </row>
    <row r="47" spans="1:7" s="204" customFormat="1" ht="13.5" customHeight="1">
      <c r="A47" s="732" t="s">
        <v>347</v>
      </c>
      <c r="B47" s="238" t="s">
        <v>429</v>
      </c>
      <c r="C47" s="228">
        <f>ROUND(C40*F27,4)</f>
        <v>5.0000000000000001E-4</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16721</v>
      </c>
      <c r="D49" s="222"/>
      <c r="E49" s="222"/>
      <c r="F49" s="254"/>
      <c r="G49" s="224" t="s">
        <v>435</v>
      </c>
    </row>
    <row r="50" spans="1:7" s="248" customFormat="1" ht="24">
      <c r="A50" s="729" t="s">
        <v>344</v>
      </c>
      <c r="B50" s="200" t="s">
        <v>97</v>
      </c>
      <c r="C50" s="222"/>
      <c r="D50" s="222"/>
      <c r="E50" s="222"/>
      <c r="F50" s="254">
        <f>IF('数据-取费表'!B24=0,'数据-取费表'!N16,1)</f>
        <v>1</v>
      </c>
      <c r="G50" s="237" t="s">
        <v>98</v>
      </c>
    </row>
    <row r="51" spans="1:7" ht="16.5" customHeight="1">
      <c r="A51" s="729" t="s">
        <v>345</v>
      </c>
      <c r="B51" s="200" t="s">
        <v>105</v>
      </c>
      <c r="C51" s="222">
        <f ca="1">ROUND(C49*F50,0)</f>
        <v>16721</v>
      </c>
      <c r="D51" s="222"/>
      <c r="E51" s="222"/>
      <c r="F51" s="254"/>
      <c r="G51" s="224" t="s">
        <v>37</v>
      </c>
    </row>
    <row r="52" spans="1:7" s="198" customFormat="1" ht="16.8" thickBot="1">
      <c r="A52" s="255" t="s">
        <v>38</v>
      </c>
      <c r="B52" s="256"/>
      <c r="C52" s="257">
        <f ca="1">C31+C51</f>
        <v>41975</v>
      </c>
      <c r="D52" s="256"/>
      <c r="E52" s="256"/>
      <c r="F52" s="256"/>
      <c r="G52" s="258"/>
    </row>
    <row r="55" spans="1:7" ht="15">
      <c r="B55" s="260" t="s">
        <v>39</v>
      </c>
      <c r="C55" s="261"/>
    </row>
    <row r="56" spans="1:7">
      <c r="B56" s="263" t="s">
        <v>40</v>
      </c>
      <c r="C56" s="264">
        <f ca="1">ROUND(C51/C52,3)</f>
        <v>0.39800000000000002</v>
      </c>
    </row>
    <row r="57" spans="1:7">
      <c r="B57" s="263" t="s">
        <v>41</v>
      </c>
      <c r="C57" s="265">
        <f ca="1">1-C56</f>
        <v>0.60199999999999998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88" t="s">
        <v>2831</v>
      </c>
      <c r="B1" s="3488"/>
      <c r="C1" s="3488"/>
      <c r="D1" s="3488"/>
      <c r="E1" s="3488"/>
      <c r="F1" s="3488"/>
      <c r="G1" s="3489"/>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1.4"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86"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1.4" thickBot="1">
      <c r="A4" s="3487"/>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1.4"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1.4"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1.4"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1.4"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0" t="s">
        <v>3173</v>
      </c>
      <c r="B1" s="3490"/>
    </row>
    <row r="2" spans="1:7" ht="15" thickBot="1">
      <c r="A2" s="2964"/>
      <c r="B2" s="2964"/>
    </row>
    <row r="3" spans="1:7" ht="15" thickBot="1">
      <c r="A3" s="2964"/>
      <c r="B3" s="2964"/>
      <c r="C3" s="2965" t="s">
        <v>2803</v>
      </c>
      <c r="D3" s="2965" t="s">
        <v>2859</v>
      </c>
      <c r="E3" s="2965" t="s">
        <v>2805</v>
      </c>
      <c r="F3" s="2965" t="s">
        <v>2860</v>
      </c>
      <c r="G3" s="2965" t="s">
        <v>2623</v>
      </c>
    </row>
    <row r="4" spans="1:7" ht="1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9"/>
  </cols>
  <sheetData>
    <row r="1" spans="1:6">
      <c r="A1" s="3491" t="s">
        <v>3224</v>
      </c>
      <c r="B1" s="3491"/>
      <c r="C1" s="3491"/>
      <c r="D1" s="3491"/>
      <c r="E1" s="3491"/>
      <c r="F1" s="3492"/>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3">
        <f>基准地价修正!G23</f>
        <v>45649</v>
      </c>
      <c r="B1" s="2925" t="s">
        <v>3374</v>
      </c>
      <c r="C1" s="2926"/>
      <c r="D1" s="2926"/>
      <c r="E1" s="2926"/>
      <c r="F1" s="2926"/>
      <c r="G1" s="2926"/>
      <c r="H1" s="2926"/>
      <c r="I1" s="2926"/>
      <c r="J1" s="2892"/>
      <c r="K1" s="2926" t="s">
        <v>454</v>
      </c>
      <c r="L1" s="2926"/>
      <c r="M1" s="2926"/>
      <c r="N1" s="2926"/>
      <c r="O1" s="2926"/>
      <c r="P1" s="2926"/>
      <c r="Q1" s="2892"/>
      <c r="R1" s="3493" t="s">
        <v>456</v>
      </c>
      <c r="S1" s="3494"/>
      <c r="T1" s="3494"/>
      <c r="U1" s="3494"/>
      <c r="V1" s="3494"/>
      <c r="W1" s="3494"/>
      <c r="X1" s="2892"/>
      <c r="Y1" s="3493" t="s">
        <v>457</v>
      </c>
      <c r="Z1" s="3494"/>
      <c r="AA1" s="3494"/>
      <c r="AB1" s="3494"/>
      <c r="AC1" s="3494"/>
      <c r="AD1" s="3494"/>
    </row>
    <row r="2" spans="1:30" s="2008" customFormat="1" ht="15" thickBot="1">
      <c r="B2" s="2877"/>
      <c r="C2" s="2878"/>
      <c r="D2" s="2009" t="s">
        <v>2802</v>
      </c>
      <c r="E2" s="2010" t="s">
        <v>2803</v>
      </c>
      <c r="F2" s="2010" t="s">
        <v>2804</v>
      </c>
      <c r="G2" s="2010" t="s">
        <v>2805</v>
      </c>
      <c r="H2" s="2010" t="s">
        <v>2806</v>
      </c>
      <c r="I2" s="2010" t="s">
        <v>2623</v>
      </c>
      <c r="J2" s="2879"/>
      <c r="K2" s="2009" t="s">
        <v>2802</v>
      </c>
      <c r="L2" s="2010" t="s">
        <v>2803</v>
      </c>
      <c r="M2" s="2010" t="s">
        <v>2804</v>
      </c>
      <c r="N2" s="2010" t="s">
        <v>2805</v>
      </c>
      <c r="O2" s="2010" t="s">
        <v>2807</v>
      </c>
      <c r="P2" s="2010" t="s">
        <v>2623</v>
      </c>
      <c r="Q2" s="2879"/>
      <c r="R2" s="2009" t="s">
        <v>2802</v>
      </c>
      <c r="S2" s="2010" t="s">
        <v>2803</v>
      </c>
      <c r="T2" s="2010" t="s">
        <v>2804</v>
      </c>
      <c r="U2" s="2010" t="s">
        <v>2808</v>
      </c>
      <c r="V2" s="2010" t="s">
        <v>2809</v>
      </c>
      <c r="W2" s="2010" t="s">
        <v>2623</v>
      </c>
      <c r="X2" s="2879"/>
      <c r="Y2" s="2009" t="s">
        <v>2802</v>
      </c>
      <c r="Z2" s="2010" t="s">
        <v>2803</v>
      </c>
      <c r="AA2" s="2010" t="s">
        <v>2804</v>
      </c>
      <c r="AB2" s="2010" t="s">
        <v>2810</v>
      </c>
      <c r="AC2" s="2010" t="s">
        <v>2809</v>
      </c>
      <c r="AD2" s="2010" t="s">
        <v>2623</v>
      </c>
    </row>
    <row r="3" spans="1:30" s="2882" customFormat="1" ht="13.2">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7" customFormat="1" ht="13.2">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30" s="2043" customFormat="1" ht="13.2">
      <c r="A5" s="2038" t="s">
        <v>3370</v>
      </c>
      <c r="B5" s="2029">
        <v>2025</v>
      </c>
      <c r="C5" s="2040">
        <v>1</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M5</f>
        <v>0</v>
      </c>
      <c r="Q5" s="2902"/>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2"/>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2" customFormat="1" ht="13.2">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3" customFormat="1" ht="13.2">
      <c r="A7" s="2038" t="s">
        <v>3378</v>
      </c>
      <c r="B7" s="2029">
        <v>2024</v>
      </c>
      <c r="C7" s="2040">
        <v>3</v>
      </c>
      <c r="D7" s="2005">
        <v>-1.19</v>
      </c>
      <c r="E7" s="2005">
        <v>-0.47</v>
      </c>
      <c r="F7" s="2005">
        <v>-0.28999999999999998</v>
      </c>
      <c r="G7" s="2005">
        <v>-0.74</v>
      </c>
      <c r="H7" s="2005">
        <v>-0.21</v>
      </c>
      <c r="I7" s="2006">
        <f t="shared" ref="I7" si="26">F7</f>
        <v>-0.28999999999999998</v>
      </c>
      <c r="J7" s="2902"/>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2"/>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2"/>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2">
      <c r="A8" s="2901" t="s">
        <v>3371</v>
      </c>
      <c r="B8" s="2029">
        <v>2024</v>
      </c>
      <c r="C8" s="2040">
        <v>2</v>
      </c>
      <c r="D8" s="2005">
        <v>-0.59</v>
      </c>
      <c r="E8" s="2005">
        <v>-0.21</v>
      </c>
      <c r="F8" s="2005">
        <v>-1.38</v>
      </c>
      <c r="G8" s="2005">
        <v>-1.24</v>
      </c>
      <c r="H8" s="2913">
        <v>0.34</v>
      </c>
      <c r="I8" s="2006">
        <f t="shared" ref="I8:I21" si="37">F8</f>
        <v>-1.38</v>
      </c>
      <c r="J8" s="2902"/>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2"/>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2"/>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2">
      <c r="A9" s="2901" t="s">
        <v>3367</v>
      </c>
      <c r="B9" s="2029">
        <v>2024</v>
      </c>
      <c r="C9" s="2040">
        <v>1</v>
      </c>
      <c r="D9" s="2005">
        <v>0.08</v>
      </c>
      <c r="E9" s="2005">
        <v>0.46</v>
      </c>
      <c r="F9" s="2005">
        <v>-0.16</v>
      </c>
      <c r="G9" s="2005">
        <v>0.26</v>
      </c>
      <c r="H9" s="2913">
        <v>0.59</v>
      </c>
      <c r="I9" s="2006">
        <v>0</v>
      </c>
      <c r="J9" s="2902"/>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2"/>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2"/>
      <c r="Y9" s="2026"/>
      <c r="Z9" s="2026"/>
      <c r="AA9" s="2026"/>
      <c r="AB9" s="2026"/>
      <c r="AC9" s="2026"/>
      <c r="AD9" s="2026"/>
    </row>
    <row r="10" spans="1:30" s="2043" customFormat="1" ht="13.2">
      <c r="A10" s="2901" t="s">
        <v>3363</v>
      </c>
      <c r="B10" s="2029">
        <v>2023</v>
      </c>
      <c r="C10" s="2040">
        <v>4</v>
      </c>
      <c r="D10" s="2005">
        <v>0.19</v>
      </c>
      <c r="E10" s="2005">
        <v>0.24</v>
      </c>
      <c r="F10" s="2005">
        <v>-0.16</v>
      </c>
      <c r="G10" s="2005">
        <v>0.17</v>
      </c>
      <c r="H10" s="2913">
        <v>0.61</v>
      </c>
      <c r="I10" s="2006">
        <f>F10</f>
        <v>-0.16</v>
      </c>
      <c r="J10" s="2902"/>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2"/>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2"/>
      <c r="Y10" s="2026"/>
      <c r="Z10" s="2026"/>
      <c r="AA10" s="2026"/>
      <c r="AB10" s="2026"/>
      <c r="AC10" s="2026"/>
      <c r="AD10" s="2026"/>
    </row>
    <row r="11" spans="1:30" s="2043" customFormat="1" ht="13.2">
      <c r="A11" s="2901" t="s">
        <v>3362</v>
      </c>
      <c r="B11" s="2029">
        <v>2023</v>
      </c>
      <c r="C11" s="2040">
        <v>3</v>
      </c>
      <c r="D11" s="2005">
        <v>0.25</v>
      </c>
      <c r="E11" s="2005">
        <v>0.5</v>
      </c>
      <c r="F11" s="2005">
        <v>0.31</v>
      </c>
      <c r="G11" s="2005">
        <v>0.21</v>
      </c>
      <c r="H11" s="2913">
        <v>0.43</v>
      </c>
      <c r="I11" s="2006">
        <f t="shared" si="37"/>
        <v>0.31</v>
      </c>
      <c r="J11" s="2902"/>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2"/>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2"/>
      <c r="Y11" s="2026"/>
      <c r="Z11" s="2026"/>
      <c r="AA11" s="2026"/>
      <c r="AB11" s="2026"/>
      <c r="AC11" s="2026"/>
      <c r="AD11" s="2026"/>
    </row>
    <row r="12" spans="1:30" s="2043" customFormat="1" ht="13.2">
      <c r="A12" s="2901" t="s">
        <v>3360</v>
      </c>
      <c r="B12" s="2029">
        <v>2023</v>
      </c>
      <c r="C12" s="2040">
        <v>2</v>
      </c>
      <c r="D12" s="2005">
        <v>0.91</v>
      </c>
      <c r="E12" s="2005">
        <v>0.66</v>
      </c>
      <c r="F12" s="2005">
        <v>0.47</v>
      </c>
      <c r="G12" s="2005">
        <v>0.96</v>
      </c>
      <c r="H12" s="2913">
        <v>0.71</v>
      </c>
      <c r="I12" s="2006">
        <f t="shared" si="37"/>
        <v>0.47</v>
      </c>
      <c r="J12" s="2902"/>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2"/>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2"/>
      <c r="Y12" s="2026"/>
      <c r="Z12" s="2026"/>
      <c r="AA12" s="2026"/>
      <c r="AB12" s="2026"/>
      <c r="AC12" s="2026"/>
      <c r="AD12" s="2026"/>
    </row>
    <row r="13" spans="1:30" s="2043" customFormat="1" ht="13.2">
      <c r="A13" s="2901" t="s">
        <v>3359</v>
      </c>
      <c r="B13" s="2029">
        <v>2023</v>
      </c>
      <c r="C13" s="2040">
        <v>1</v>
      </c>
      <c r="D13" s="2005">
        <v>0.89</v>
      </c>
      <c r="E13" s="2005">
        <v>0.74</v>
      </c>
      <c r="F13" s="2005">
        <v>0.56999999999999995</v>
      </c>
      <c r="G13" s="2005">
        <v>0.92</v>
      </c>
      <c r="H13" s="2913">
        <v>0.5</v>
      </c>
      <c r="I13" s="2006">
        <f t="shared" si="37"/>
        <v>0.56999999999999995</v>
      </c>
      <c r="J13" s="2902"/>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2"/>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2"/>
      <c r="Y13" s="2026"/>
      <c r="Z13" s="2026"/>
      <c r="AA13" s="2026"/>
      <c r="AB13" s="2026"/>
      <c r="AC13" s="2026"/>
      <c r="AD13" s="2026"/>
    </row>
    <row r="14" spans="1:30" s="2043" customFormat="1" ht="13.2">
      <c r="A14" s="2901" t="s">
        <v>3358</v>
      </c>
      <c r="B14" s="2029">
        <v>2022</v>
      </c>
      <c r="C14" s="2040">
        <v>4</v>
      </c>
      <c r="D14" s="2005">
        <v>0.62</v>
      </c>
      <c r="E14" s="2005">
        <v>0.2</v>
      </c>
      <c r="F14" s="2005">
        <v>0.11</v>
      </c>
      <c r="G14" s="2005">
        <v>0.69</v>
      </c>
      <c r="H14" s="2913">
        <v>0.53</v>
      </c>
      <c r="I14" s="2006">
        <f t="shared" si="37"/>
        <v>0.11</v>
      </c>
      <c r="J14" s="2902"/>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2"/>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2"/>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2">
      <c r="A15" s="2901" t="s">
        <v>3356</v>
      </c>
      <c r="B15" s="2029">
        <v>2022</v>
      </c>
      <c r="C15" s="2040">
        <v>3</v>
      </c>
      <c r="D15" s="2005">
        <v>0.66</v>
      </c>
      <c r="E15" s="2005">
        <v>0.32</v>
      </c>
      <c r="F15" s="2005">
        <v>0.23</v>
      </c>
      <c r="G15" s="2005">
        <v>0.72</v>
      </c>
      <c r="H15" s="2913">
        <v>0.63</v>
      </c>
      <c r="I15" s="2006">
        <f t="shared" si="37"/>
        <v>0.23</v>
      </c>
      <c r="J15" s="2902"/>
      <c r="K15" s="2041">
        <f t="shared" si="38"/>
        <v>6.6E-3</v>
      </c>
      <c r="L15" s="2026">
        <f t="shared" si="38"/>
        <v>3.2000000000000002E-3</v>
      </c>
      <c r="M15" s="2026">
        <f t="shared" si="38"/>
        <v>2.3E-3</v>
      </c>
      <c r="N15" s="2026">
        <f t="shared" si="38"/>
        <v>7.1999999999999998E-3</v>
      </c>
      <c r="O15" s="2026">
        <f t="shared" si="38"/>
        <v>6.3E-3</v>
      </c>
      <c r="P15" s="2026">
        <f t="shared" si="58"/>
        <v>2.3E-3</v>
      </c>
      <c r="Q15" s="2902"/>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2"/>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2">
      <c r="A16" s="2901" t="s">
        <v>3347</v>
      </c>
      <c r="B16" s="2029">
        <v>2022</v>
      </c>
      <c r="C16" s="2040">
        <v>2</v>
      </c>
      <c r="D16" s="2005">
        <v>0.93</v>
      </c>
      <c r="E16" s="2005">
        <v>0.15</v>
      </c>
      <c r="F16" s="2005">
        <v>0.01</v>
      </c>
      <c r="G16" s="2005">
        <v>1.05</v>
      </c>
      <c r="H16" s="2913">
        <v>1.08</v>
      </c>
      <c r="I16" s="2006">
        <f t="shared" si="37"/>
        <v>0.01</v>
      </c>
      <c r="J16" s="2902"/>
      <c r="K16" s="2041">
        <f t="shared" si="38"/>
        <v>9.300000000000001E-3</v>
      </c>
      <c r="L16" s="2026">
        <f t="shared" si="38"/>
        <v>1.5E-3</v>
      </c>
      <c r="M16" s="2026">
        <f t="shared" si="38"/>
        <v>1E-4</v>
      </c>
      <c r="N16" s="2026">
        <f t="shared" si="38"/>
        <v>1.0500000000000001E-2</v>
      </c>
      <c r="O16" s="2026">
        <f t="shared" si="38"/>
        <v>1.0800000000000001E-2</v>
      </c>
      <c r="P16" s="2026">
        <f t="shared" si="58"/>
        <v>1E-4</v>
      </c>
      <c r="Q16" s="2902"/>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2"/>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2">
      <c r="A17" s="2901" t="s">
        <v>2812</v>
      </c>
      <c r="B17" s="2029">
        <v>2022</v>
      </c>
      <c r="C17" s="2040">
        <v>1</v>
      </c>
      <c r="D17" s="2005">
        <v>0.89</v>
      </c>
      <c r="E17" s="2005">
        <v>0.44</v>
      </c>
      <c r="F17" s="2005">
        <v>0.37</v>
      </c>
      <c r="G17" s="2005">
        <v>0.96</v>
      </c>
      <c r="H17" s="2913">
        <v>0.64</v>
      </c>
      <c r="I17" s="2006">
        <f t="shared" si="37"/>
        <v>0.37</v>
      </c>
      <c r="J17" s="2902"/>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2"/>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2"/>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2">
      <c r="A18" s="2901" t="s">
        <v>2813</v>
      </c>
      <c r="B18" s="2029">
        <v>2021</v>
      </c>
      <c r="C18" s="2040">
        <v>4</v>
      </c>
      <c r="D18" s="2005">
        <v>1.03</v>
      </c>
      <c r="E18" s="2005">
        <v>0.24</v>
      </c>
      <c r="F18" s="2005">
        <v>7.0000000000000007E-2</v>
      </c>
      <c r="G18" s="2005">
        <v>1.17</v>
      </c>
      <c r="H18" s="2913">
        <v>0.55000000000000004</v>
      </c>
      <c r="I18" s="2006">
        <f t="shared" si="37"/>
        <v>7.0000000000000007E-2</v>
      </c>
      <c r="J18" s="2902"/>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2"/>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2"/>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2">
      <c r="A19" s="2901" t="s">
        <v>2814</v>
      </c>
      <c r="B19" s="2029">
        <v>2021</v>
      </c>
      <c r="C19" s="2040">
        <v>3</v>
      </c>
      <c r="D19" s="2005">
        <v>0.47</v>
      </c>
      <c r="E19" s="2005">
        <v>0.41</v>
      </c>
      <c r="F19" s="2005">
        <v>0.24</v>
      </c>
      <c r="G19" s="2005">
        <v>0.48</v>
      </c>
      <c r="H19" s="2913">
        <v>0.48</v>
      </c>
      <c r="I19" s="2006">
        <f t="shared" si="37"/>
        <v>0.24</v>
      </c>
      <c r="J19" s="2902"/>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2"/>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2"/>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2">
      <c r="A20" s="2901" t="s">
        <v>2815</v>
      </c>
      <c r="B20" s="2029">
        <v>2021</v>
      </c>
      <c r="C20" s="2040">
        <v>2</v>
      </c>
      <c r="D20" s="2005">
        <v>0.92</v>
      </c>
      <c r="E20" s="2005">
        <v>0.72</v>
      </c>
      <c r="F20" s="2005">
        <v>0.41</v>
      </c>
      <c r="G20" s="2005">
        <v>0.95</v>
      </c>
      <c r="H20" s="2913">
        <v>1.01</v>
      </c>
      <c r="I20" s="2006">
        <f t="shared" si="37"/>
        <v>0.41</v>
      </c>
      <c r="J20" s="2902"/>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2"/>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2"/>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4" customFormat="1" ht="13.8"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9" t="s">
        <v>3377</v>
      </c>
    </row>
    <row r="24" spans="1:30">
      <c r="I24" s="1403" t="s">
        <v>2817</v>
      </c>
    </row>
    <row r="26" spans="1:30" s="2007" customFormat="1" ht="13.2">
      <c r="B26" s="2925" t="s">
        <v>3375</v>
      </c>
      <c r="C26" s="2926"/>
      <c r="D26" s="2926"/>
      <c r="E26" s="2926"/>
      <c r="F26" s="2926"/>
      <c r="G26" s="2926"/>
      <c r="H26" s="2926"/>
      <c r="I26" s="2926"/>
      <c r="J26" s="2892"/>
      <c r="K26" s="2926" t="s">
        <v>2818</v>
      </c>
      <c r="L26" s="2926"/>
      <c r="M26" s="2926"/>
      <c r="N26" s="2926"/>
      <c r="O26" s="2926"/>
      <c r="P26" s="2926"/>
      <c r="Q26" s="2892"/>
      <c r="R26" s="3493" t="s">
        <v>2819</v>
      </c>
      <c r="S26" s="3494"/>
      <c r="T26" s="3494"/>
      <c r="U26" s="3494"/>
      <c r="V26" s="3494"/>
      <c r="W26" s="3494"/>
      <c r="X26" s="2892"/>
      <c r="Y26" s="3493" t="s">
        <v>2820</v>
      </c>
      <c r="Z26" s="3494"/>
      <c r="AA26" s="3494"/>
      <c r="AB26" s="3494"/>
      <c r="AC26" s="3494"/>
      <c r="AD26" s="3494"/>
    </row>
    <row r="27" spans="1:30" s="2008" customFormat="1" ht="15" thickBot="1">
      <c r="B27" s="2877"/>
      <c r="C27" s="2878"/>
      <c r="D27" s="2009" t="s">
        <v>2821</v>
      </c>
      <c r="E27" s="2010" t="s">
        <v>2822</v>
      </c>
      <c r="F27" s="2010" t="s">
        <v>2823</v>
      </c>
      <c r="G27" s="2010" t="s">
        <v>2824</v>
      </c>
      <c r="H27" s="2010"/>
      <c r="I27" s="2010" t="s">
        <v>2825</v>
      </c>
      <c r="J27" s="2879"/>
      <c r="K27" s="2009" t="s">
        <v>2821</v>
      </c>
      <c r="L27" s="2010" t="s">
        <v>2822</v>
      </c>
      <c r="M27" s="2010" t="s">
        <v>2823</v>
      </c>
      <c r="N27" s="2010" t="s">
        <v>2824</v>
      </c>
      <c r="O27" s="2010"/>
      <c r="P27" s="2010" t="s">
        <v>2825</v>
      </c>
      <c r="Q27" s="2879"/>
      <c r="R27" s="2009" t="s">
        <v>2821</v>
      </c>
      <c r="S27" s="2010" t="s">
        <v>2822</v>
      </c>
      <c r="T27" s="2010" t="s">
        <v>2823</v>
      </c>
      <c r="U27" s="2010" t="s">
        <v>2824</v>
      </c>
      <c r="V27" s="2010"/>
      <c r="W27" s="2010" t="s">
        <v>2825</v>
      </c>
      <c r="X27" s="2879"/>
      <c r="Y27" s="2009" t="s">
        <v>2821</v>
      </c>
      <c r="Z27" s="2010" t="s">
        <v>2822</v>
      </c>
      <c r="AA27" s="2010" t="s">
        <v>2823</v>
      </c>
      <c r="AB27" s="2010" t="s">
        <v>2824</v>
      </c>
      <c r="AC27" s="2010"/>
      <c r="AD27" s="2010" t="s">
        <v>2825</v>
      </c>
    </row>
    <row r="28" spans="1:30" s="2882" customFormat="1" ht="13.2">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7" customFormat="1" ht="13.2">
      <c r="B29" s="2023"/>
      <c r="J29" s="2892"/>
      <c r="K29" s="2893"/>
      <c r="L29" s="2894"/>
      <c r="M29" s="2894"/>
      <c r="N29" s="2894"/>
      <c r="O29" s="2894"/>
      <c r="P29" s="2894"/>
      <c r="Q29" s="2892"/>
      <c r="R29" s="2025"/>
      <c r="S29" s="2895"/>
      <c r="T29" s="2896"/>
      <c r="U29" s="2025"/>
      <c r="V29" s="2897"/>
      <c r="W29" s="2025"/>
      <c r="X29" s="2892"/>
      <c r="Y29" s="2026"/>
      <c r="Z29" s="2898"/>
      <c r="AA29" s="2899"/>
      <c r="AB29" s="2026"/>
      <c r="AC29" s="2900"/>
      <c r="AD29" s="2026"/>
    </row>
    <row r="30" spans="1:30" s="2043" customFormat="1" ht="13.2">
      <c r="A30" s="2038" t="s">
        <v>3370</v>
      </c>
      <c r="B30" s="2029">
        <v>2025</v>
      </c>
      <c r="C30" s="2040">
        <v>1</v>
      </c>
      <c r="D30" s="2005"/>
      <c r="E30" s="2005">
        <v>0</v>
      </c>
      <c r="F30" s="2005">
        <v>0</v>
      </c>
      <c r="G30" s="2005">
        <v>0</v>
      </c>
      <c r="H30" s="2005"/>
      <c r="I30" s="2006">
        <f t="shared" ref="I30" si="69">F30</f>
        <v>0</v>
      </c>
      <c r="J30" s="2902"/>
      <c r="K30" s="2041"/>
      <c r="L30" s="2026">
        <f t="shared" ref="L30" si="70">E30/100</f>
        <v>0</v>
      </c>
      <c r="M30" s="2026">
        <f t="shared" ref="M30" si="71">F30/100</f>
        <v>0</v>
      </c>
      <c r="N30" s="2026">
        <f t="shared" ref="N30" si="72">G30/100</f>
        <v>0</v>
      </c>
      <c r="O30" s="2026"/>
      <c r="P30" s="2026">
        <f>M30</f>
        <v>0</v>
      </c>
      <c r="Q30" s="2902"/>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2"/>
      <c r="Y30" s="2026"/>
      <c r="Z30" s="2898">
        <f t="shared" ref="Z30" si="73">IF(E30=0,0,ROUND(AVERAGE(E30:E43)/100,4))</f>
        <v>0</v>
      </c>
      <c r="AA30" s="2898">
        <f t="shared" ref="AA30" si="74">IF(F30=0,0,ROUND(AVERAGE(F30:F43)/100,4))</f>
        <v>0</v>
      </c>
      <c r="AB30" s="2898">
        <f t="shared" ref="AB30" si="75">IF(G30=0,0,ROUND(AVERAGE(G30:G43)/100,4))</f>
        <v>0</v>
      </c>
      <c r="AC30" s="2900"/>
      <c r="AD30" s="2026">
        <f>IF(I30=0,0,ROUND(AVERAGE(I30:I43)/100,4))</f>
        <v>0</v>
      </c>
    </row>
    <row r="31" spans="1:30" s="2912" customFormat="1" ht="13.2">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3" customFormat="1" ht="13.2">
      <c r="A32" s="2038" t="s">
        <v>3365</v>
      </c>
      <c r="B32" s="2029">
        <v>2024</v>
      </c>
      <c r="C32" s="2040">
        <v>3</v>
      </c>
      <c r="D32" s="2005"/>
      <c r="E32" s="2005">
        <v>-0.66</v>
      </c>
      <c r="F32" s="2005">
        <v>-0.52</v>
      </c>
      <c r="G32" s="2005">
        <v>-2.87</v>
      </c>
      <c r="H32" s="2005"/>
      <c r="I32" s="2006">
        <f t="shared" ref="I32" si="83">F32</f>
        <v>-0.52</v>
      </c>
      <c r="J32" s="2902"/>
      <c r="K32" s="2041"/>
      <c r="L32" s="2026">
        <f t="shared" ref="L32" si="84">E32/100</f>
        <v>-6.6E-3</v>
      </c>
      <c r="M32" s="2026">
        <f t="shared" ref="M32" si="85">F32/100</f>
        <v>-5.1999999999999998E-3</v>
      </c>
      <c r="N32" s="2026">
        <f t="shared" ref="N32" si="86">G32/100</f>
        <v>-2.87E-2</v>
      </c>
      <c r="O32" s="2026"/>
      <c r="P32" s="2026">
        <f>M32</f>
        <v>-5.1999999999999998E-3</v>
      </c>
      <c r="Q32" s="2902"/>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2"/>
      <c r="Y32" s="2026"/>
      <c r="Z32" s="2898">
        <f t="shared" ref="Z32:AB33" si="87">IF(E32=0,0,ROUND(AVERAGE(E32:E45)/100,4))</f>
        <v>2.5999999999999999E-3</v>
      </c>
      <c r="AA32" s="2898">
        <f t="shared" si="87"/>
        <v>1.6999999999999999E-3</v>
      </c>
      <c r="AB32" s="2898">
        <f t="shared" si="87"/>
        <v>3.3999999999999998E-3</v>
      </c>
      <c r="AC32" s="2900"/>
      <c r="AD32" s="2026">
        <f>IF(I32=0,0,ROUND(AVERAGE(I32:I45)/100,4))</f>
        <v>1.6999999999999999E-3</v>
      </c>
    </row>
    <row r="33" spans="1:30" s="2043" customFormat="1" ht="13.2">
      <c r="A33" s="2901" t="s">
        <v>3373</v>
      </c>
      <c r="B33" s="2029">
        <v>2024</v>
      </c>
      <c r="C33" s="2040">
        <v>2</v>
      </c>
      <c r="D33" s="2005"/>
      <c r="E33" s="2005">
        <v>-0.31</v>
      </c>
      <c r="F33" s="2005">
        <v>-0.39</v>
      </c>
      <c r="G33" s="2005">
        <v>1.23</v>
      </c>
      <c r="H33" s="2913"/>
      <c r="I33" s="2006">
        <f t="shared" ref="I33:I46" si="88">F33</f>
        <v>-0.39</v>
      </c>
      <c r="J33" s="2902"/>
      <c r="K33" s="2041"/>
      <c r="L33" s="2026">
        <f t="shared" ref="L33:N46" si="89">E33/100</f>
        <v>-3.0999999999999999E-3</v>
      </c>
      <c r="M33" s="2026">
        <f t="shared" si="89"/>
        <v>-3.9000000000000003E-3</v>
      </c>
      <c r="N33" s="2026">
        <f t="shared" si="89"/>
        <v>1.23E-2</v>
      </c>
      <c r="O33" s="2026"/>
      <c r="P33" s="2026">
        <f>M33</f>
        <v>-3.9000000000000003E-3</v>
      </c>
      <c r="Q33" s="2902"/>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2"/>
      <c r="Y33" s="2026"/>
      <c r="Z33" s="2898">
        <f t="shared" si="87"/>
        <v>3.3E-3</v>
      </c>
      <c r="AA33" s="2899">
        <f t="shared" si="87"/>
        <v>2.3999999999999998E-3</v>
      </c>
      <c r="AB33" s="2026">
        <f t="shared" si="87"/>
        <v>6.1999999999999998E-3</v>
      </c>
      <c r="AC33" s="2900"/>
      <c r="AD33" s="2026">
        <f>IF(I33=0,0,ROUND(AVERAGE(I33:I46)/100,4))</f>
        <v>2.3999999999999998E-3</v>
      </c>
    </row>
    <row r="34" spans="1:30" s="2043" customFormat="1" ht="13.2">
      <c r="A34" s="2901" t="s">
        <v>3366</v>
      </c>
      <c r="B34" s="2029">
        <v>2024</v>
      </c>
      <c r="C34" s="2040">
        <v>1</v>
      </c>
      <c r="D34" s="2005"/>
      <c r="E34" s="2005">
        <v>0.25</v>
      </c>
      <c r="F34" s="2005">
        <v>0.4</v>
      </c>
      <c r="G34" s="2005">
        <v>-0.63</v>
      </c>
      <c r="H34" s="2913"/>
      <c r="I34" s="2006">
        <f t="shared" ref="I34:I35" si="90">F34</f>
        <v>0.4</v>
      </c>
      <c r="J34" s="2902"/>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2"/>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2"/>
      <c r="Y34" s="2026"/>
      <c r="Z34" s="2898"/>
      <c r="AA34" s="2899"/>
      <c r="AB34" s="2026"/>
      <c r="AC34" s="2900"/>
      <c r="AD34" s="2026"/>
    </row>
    <row r="35" spans="1:30" s="2043" customFormat="1" ht="13.2">
      <c r="A35" s="2901" t="s">
        <v>3364</v>
      </c>
      <c r="B35" s="2029">
        <v>2023</v>
      </c>
      <c r="C35" s="2040">
        <v>4</v>
      </c>
      <c r="D35" s="2005"/>
      <c r="E35" s="2005">
        <v>7.0000000000000007E-2</v>
      </c>
      <c r="F35" s="2005">
        <v>0.09</v>
      </c>
      <c r="G35" s="2005">
        <v>0.03</v>
      </c>
      <c r="H35" s="2913"/>
      <c r="I35" s="2006">
        <f t="shared" si="90"/>
        <v>0.09</v>
      </c>
      <c r="J35" s="2902"/>
      <c r="K35" s="2041"/>
      <c r="L35" s="2026">
        <f t="shared" si="89"/>
        <v>7.000000000000001E-4</v>
      </c>
      <c r="M35" s="2026">
        <f t="shared" si="89"/>
        <v>8.9999999999999998E-4</v>
      </c>
      <c r="N35" s="2026">
        <f t="shared" si="89"/>
        <v>2.9999999999999997E-4</v>
      </c>
      <c r="O35" s="2026"/>
      <c r="P35" s="2026">
        <f t="shared" ref="P35" si="96">M35</f>
        <v>8.9999999999999998E-4</v>
      </c>
      <c r="Q35" s="2902"/>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2"/>
      <c r="Y35" s="2026"/>
      <c r="Z35" s="2898"/>
      <c r="AA35" s="2899"/>
      <c r="AB35" s="2026"/>
      <c r="AC35" s="2900"/>
      <c r="AD35" s="2026"/>
    </row>
    <row r="36" spans="1:30" s="2043" customFormat="1" ht="13.2">
      <c r="A36" s="2901" t="s">
        <v>3362</v>
      </c>
      <c r="B36" s="2029">
        <v>2023</v>
      </c>
      <c r="C36" s="2040">
        <v>3</v>
      </c>
      <c r="D36" s="2005"/>
      <c r="E36" s="2005">
        <v>0.35</v>
      </c>
      <c r="F36" s="2005">
        <v>0.17</v>
      </c>
      <c r="G36" s="2005">
        <v>0.52</v>
      </c>
      <c r="H36" s="2913"/>
      <c r="I36" s="2006">
        <f t="shared" si="88"/>
        <v>0.17</v>
      </c>
      <c r="J36" s="2902"/>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2"/>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2"/>
      <c r="Y36" s="2026"/>
      <c r="Z36" s="2898"/>
      <c r="AA36" s="2899"/>
      <c r="AB36" s="2026"/>
      <c r="AC36" s="2900"/>
      <c r="AD36" s="2026"/>
    </row>
    <row r="37" spans="1:30" s="2043" customFormat="1" ht="13.2">
      <c r="A37" s="2901" t="s">
        <v>3361</v>
      </c>
      <c r="B37" s="2029">
        <v>2023</v>
      </c>
      <c r="C37" s="2040">
        <v>2</v>
      </c>
      <c r="D37" s="2005"/>
      <c r="E37" s="2005">
        <v>0.5</v>
      </c>
      <c r="F37" s="2005">
        <v>0.45</v>
      </c>
      <c r="G37" s="2005">
        <v>0.89</v>
      </c>
      <c r="H37" s="2913"/>
      <c r="I37" s="2006">
        <f t="shared" si="88"/>
        <v>0.45</v>
      </c>
      <c r="J37" s="2902"/>
      <c r="K37" s="2041"/>
      <c r="L37" s="2026">
        <f t="shared" si="98"/>
        <v>5.0000000000000001E-3</v>
      </c>
      <c r="M37" s="2026">
        <f t="shared" si="99"/>
        <v>4.5000000000000005E-3</v>
      </c>
      <c r="N37" s="2026">
        <f t="shared" si="100"/>
        <v>8.8999999999999999E-3</v>
      </c>
      <c r="O37" s="2026"/>
      <c r="P37" s="2026">
        <f t="shared" si="101"/>
        <v>4.5000000000000005E-3</v>
      </c>
      <c r="Q37" s="2902"/>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2"/>
      <c r="Y37" s="2026"/>
      <c r="Z37" s="2898"/>
      <c r="AA37" s="2899"/>
      <c r="AB37" s="2026"/>
      <c r="AC37" s="2900"/>
      <c r="AD37" s="2026"/>
    </row>
    <row r="38" spans="1:30" s="2043" customFormat="1" ht="13.2">
      <c r="A38" s="2901" t="s">
        <v>3359</v>
      </c>
      <c r="B38" s="2029">
        <v>2023</v>
      </c>
      <c r="C38" s="2040">
        <v>1</v>
      </c>
      <c r="D38" s="2005"/>
      <c r="E38" s="2005">
        <v>0.55000000000000004</v>
      </c>
      <c r="F38" s="2005">
        <v>0.59</v>
      </c>
      <c r="G38" s="2005">
        <v>0.64</v>
      </c>
      <c r="H38" s="2913"/>
      <c r="I38" s="2006">
        <f t="shared" si="88"/>
        <v>0.59</v>
      </c>
      <c r="J38" s="2902"/>
      <c r="K38" s="2041"/>
      <c r="L38" s="2026">
        <f t="shared" si="98"/>
        <v>5.5000000000000005E-3</v>
      </c>
      <c r="M38" s="2026">
        <f t="shared" si="99"/>
        <v>5.8999999999999999E-3</v>
      </c>
      <c r="N38" s="2026">
        <f t="shared" si="100"/>
        <v>6.4000000000000003E-3</v>
      </c>
      <c r="O38" s="2026"/>
      <c r="P38" s="2026">
        <f t="shared" si="101"/>
        <v>5.8999999999999999E-3</v>
      </c>
      <c r="Q38" s="2902"/>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2"/>
      <c r="Y38" s="2026"/>
      <c r="Z38" s="2898"/>
      <c r="AA38" s="2899"/>
      <c r="AB38" s="2026"/>
      <c r="AC38" s="2900"/>
      <c r="AD38" s="2026"/>
    </row>
    <row r="39" spans="1:30" s="2043" customFormat="1" ht="13.2">
      <c r="A39" s="2901" t="s">
        <v>3358</v>
      </c>
      <c r="B39" s="2029">
        <v>2022</v>
      </c>
      <c r="C39" s="2040">
        <v>4</v>
      </c>
      <c r="D39" s="2005"/>
      <c r="E39" s="2005">
        <v>0.45</v>
      </c>
      <c r="F39" s="2005">
        <v>0.2</v>
      </c>
      <c r="G39" s="2005">
        <v>0.38</v>
      </c>
      <c r="H39" s="2913"/>
      <c r="I39" s="2006">
        <f t="shared" si="88"/>
        <v>0.2</v>
      </c>
      <c r="J39" s="2902"/>
      <c r="K39" s="2041"/>
      <c r="L39" s="2026">
        <f t="shared" si="89"/>
        <v>4.5000000000000005E-3</v>
      </c>
      <c r="M39" s="2026">
        <f t="shared" si="89"/>
        <v>2E-3</v>
      </c>
      <c r="N39" s="2026">
        <f t="shared" si="89"/>
        <v>3.8E-3</v>
      </c>
      <c r="O39" s="2026"/>
      <c r="P39" s="2026">
        <f t="shared" ref="P39:P46" si="103">M39</f>
        <v>2E-3</v>
      </c>
      <c r="Q39" s="2902"/>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2"/>
      <c r="Y39" s="2026"/>
      <c r="Z39" s="2898">
        <f t="shared" ref="Z39:AD46" si="105">IF(E39=0,0,ROUND(AVERAGE(E39:E47)/100,4))</f>
        <v>4.0000000000000001E-3</v>
      </c>
      <c r="AA39" s="2899">
        <f t="shared" si="105"/>
        <v>2.5999999999999999E-3</v>
      </c>
      <c r="AB39" s="2026">
        <f t="shared" si="105"/>
        <v>7.4000000000000003E-3</v>
      </c>
      <c r="AC39" s="2900"/>
      <c r="AD39" s="2026">
        <f t="shared" si="105"/>
        <v>2.5999999999999999E-3</v>
      </c>
    </row>
    <row r="40" spans="1:30" s="2043" customFormat="1" ht="13.2">
      <c r="A40" s="2901" t="s">
        <v>3357</v>
      </c>
      <c r="B40" s="2029">
        <v>2022</v>
      </c>
      <c r="C40" s="2040">
        <v>3</v>
      </c>
      <c r="D40" s="2005"/>
      <c r="E40" s="2005">
        <v>0.3</v>
      </c>
      <c r="F40" s="2005">
        <v>0.28999999999999998</v>
      </c>
      <c r="G40" s="2005">
        <v>0.83</v>
      </c>
      <c r="H40" s="2913"/>
      <c r="I40" s="2006">
        <f t="shared" si="88"/>
        <v>0.28999999999999998</v>
      </c>
      <c r="J40" s="2902"/>
      <c r="K40" s="2041"/>
      <c r="L40" s="2026">
        <f t="shared" si="89"/>
        <v>3.0000000000000001E-3</v>
      </c>
      <c r="M40" s="2026">
        <f t="shared" si="89"/>
        <v>2.8999999999999998E-3</v>
      </c>
      <c r="N40" s="2026">
        <f t="shared" si="89"/>
        <v>8.3000000000000001E-3</v>
      </c>
      <c r="O40" s="2026"/>
      <c r="P40" s="2026">
        <f t="shared" si="103"/>
        <v>2.8999999999999998E-3</v>
      </c>
      <c r="Q40" s="2902"/>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2"/>
      <c r="Y40" s="2026"/>
      <c r="Z40" s="2898">
        <f t="shared" si="105"/>
        <v>3.8999999999999998E-3</v>
      </c>
      <c r="AA40" s="2899">
        <f t="shared" si="105"/>
        <v>2.7000000000000001E-3</v>
      </c>
      <c r="AB40" s="2026">
        <f t="shared" si="105"/>
        <v>7.9000000000000008E-3</v>
      </c>
      <c r="AC40" s="2900"/>
      <c r="AD40" s="2026">
        <f t="shared" si="105"/>
        <v>2.7000000000000001E-3</v>
      </c>
    </row>
    <row r="41" spans="1:30" s="2043" customFormat="1" ht="13.2">
      <c r="A41" s="2901" t="s">
        <v>3347</v>
      </c>
      <c r="B41" s="2029">
        <v>2022</v>
      </c>
      <c r="C41" s="2040">
        <v>2</v>
      </c>
      <c r="D41" s="2005"/>
      <c r="E41" s="2005">
        <v>-0.11</v>
      </c>
      <c r="F41" s="2005">
        <v>-0.13</v>
      </c>
      <c r="G41" s="2005">
        <v>0.53</v>
      </c>
      <c r="H41" s="2913"/>
      <c r="I41" s="2006">
        <f t="shared" si="88"/>
        <v>-0.13</v>
      </c>
      <c r="J41" s="2902"/>
      <c r="K41" s="2041"/>
      <c r="L41" s="2026">
        <f t="shared" si="89"/>
        <v>-1.1000000000000001E-3</v>
      </c>
      <c r="M41" s="2026">
        <f t="shared" si="89"/>
        <v>-1.2999999999999999E-3</v>
      </c>
      <c r="N41" s="2026">
        <f t="shared" si="89"/>
        <v>5.3E-3</v>
      </c>
      <c r="O41" s="2026"/>
      <c r="P41" s="2026">
        <f t="shared" si="103"/>
        <v>-1.2999999999999999E-3</v>
      </c>
      <c r="Q41" s="2902"/>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2"/>
      <c r="Y41" s="2026"/>
      <c r="Z41" s="2898">
        <f t="shared" si="105"/>
        <v>4.1000000000000003E-3</v>
      </c>
      <c r="AA41" s="2899">
        <f t="shared" si="105"/>
        <v>2.7000000000000001E-3</v>
      </c>
      <c r="AB41" s="2026">
        <f t="shared" si="105"/>
        <v>7.9000000000000008E-3</v>
      </c>
      <c r="AC41" s="2900"/>
      <c r="AD41" s="2026">
        <f t="shared" si="105"/>
        <v>2.7000000000000001E-3</v>
      </c>
    </row>
    <row r="42" spans="1:30" s="2043" customFormat="1" ht="13.2">
      <c r="A42" s="2901" t="s">
        <v>2827</v>
      </c>
      <c r="B42" s="2029">
        <v>2022</v>
      </c>
      <c r="C42" s="2040">
        <v>1</v>
      </c>
      <c r="D42" s="2005"/>
      <c r="E42" s="2005">
        <v>0.6</v>
      </c>
      <c r="F42" s="2005">
        <v>0.45</v>
      </c>
      <c r="G42" s="2005">
        <v>0.53</v>
      </c>
      <c r="H42" s="2913"/>
      <c r="I42" s="2006">
        <f t="shared" si="88"/>
        <v>0.45</v>
      </c>
      <c r="J42" s="2902"/>
      <c r="K42" s="2041"/>
      <c r="L42" s="2026">
        <f t="shared" si="89"/>
        <v>6.0000000000000001E-3</v>
      </c>
      <c r="M42" s="2026">
        <f t="shared" si="89"/>
        <v>4.5000000000000005E-3</v>
      </c>
      <c r="N42" s="2026">
        <f t="shared" si="89"/>
        <v>5.3E-3</v>
      </c>
      <c r="O42" s="2026"/>
      <c r="P42" s="2026">
        <f t="shared" si="103"/>
        <v>4.5000000000000005E-3</v>
      </c>
      <c r="Q42" s="2902"/>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2"/>
      <c r="Y42" s="2026"/>
      <c r="Z42" s="2898">
        <f t="shared" si="105"/>
        <v>5.1000000000000004E-3</v>
      </c>
      <c r="AA42" s="2899">
        <f t="shared" si="105"/>
        <v>3.5000000000000001E-3</v>
      </c>
      <c r="AB42" s="2026">
        <f t="shared" si="105"/>
        <v>8.3999999999999995E-3</v>
      </c>
      <c r="AC42" s="2900"/>
      <c r="AD42" s="2026">
        <f t="shared" si="105"/>
        <v>3.5000000000000001E-3</v>
      </c>
    </row>
    <row r="43" spans="1:30" s="2043" customFormat="1" ht="13.2">
      <c r="A43" s="2901" t="s">
        <v>2828</v>
      </c>
      <c r="B43" s="2029">
        <v>2021</v>
      </c>
      <c r="C43" s="2040">
        <v>4</v>
      </c>
      <c r="D43" s="2005"/>
      <c r="E43" s="2005">
        <v>0.57999999999999996</v>
      </c>
      <c r="F43" s="2005">
        <v>0.08</v>
      </c>
      <c r="G43" s="2005">
        <v>0.68</v>
      </c>
      <c r="H43" s="2913"/>
      <c r="I43" s="2006">
        <f t="shared" si="88"/>
        <v>0.08</v>
      </c>
      <c r="J43" s="2902"/>
      <c r="K43" s="2041"/>
      <c r="L43" s="2026">
        <f t="shared" si="89"/>
        <v>5.7999999999999996E-3</v>
      </c>
      <c r="M43" s="2026">
        <f t="shared" si="89"/>
        <v>8.0000000000000004E-4</v>
      </c>
      <c r="N43" s="2026">
        <f t="shared" si="89"/>
        <v>6.8000000000000005E-3</v>
      </c>
      <c r="O43" s="2026"/>
      <c r="P43" s="2026">
        <f t="shared" si="103"/>
        <v>8.0000000000000004E-4</v>
      </c>
      <c r="Q43" s="2902"/>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2"/>
      <c r="Y43" s="2026"/>
      <c r="Z43" s="2898">
        <f t="shared" si="105"/>
        <v>4.8999999999999998E-3</v>
      </c>
      <c r="AA43" s="2899">
        <f t="shared" si="105"/>
        <v>3.3E-3</v>
      </c>
      <c r="AB43" s="2026">
        <f t="shared" si="105"/>
        <v>9.1999999999999998E-3</v>
      </c>
      <c r="AC43" s="2900"/>
      <c r="AD43" s="2026">
        <f t="shared" si="105"/>
        <v>3.3E-3</v>
      </c>
    </row>
    <row r="44" spans="1:30" s="2043" customFormat="1" ht="13.2">
      <c r="A44" s="2901" t="s">
        <v>2829</v>
      </c>
      <c r="B44" s="2029">
        <v>2021</v>
      </c>
      <c r="C44" s="2040">
        <v>3</v>
      </c>
      <c r="D44" s="2005"/>
      <c r="E44" s="2005">
        <v>0.47</v>
      </c>
      <c r="F44" s="2005">
        <v>0.28000000000000003</v>
      </c>
      <c r="G44" s="2005">
        <v>0.91</v>
      </c>
      <c r="H44" s="2913"/>
      <c r="I44" s="2006">
        <f t="shared" si="88"/>
        <v>0.28000000000000003</v>
      </c>
      <c r="J44" s="2902"/>
      <c r="K44" s="2041"/>
      <c r="L44" s="2026">
        <f t="shared" si="89"/>
        <v>4.6999999999999993E-3</v>
      </c>
      <c r="M44" s="2026">
        <f t="shared" si="89"/>
        <v>2.8000000000000004E-3</v>
      </c>
      <c r="N44" s="2026">
        <f t="shared" si="89"/>
        <v>9.1000000000000004E-3</v>
      </c>
      <c r="O44" s="2026"/>
      <c r="P44" s="2026">
        <f t="shared" si="103"/>
        <v>2.8000000000000004E-3</v>
      </c>
      <c r="Q44" s="2902"/>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2"/>
      <c r="Y44" s="2026"/>
      <c r="Z44" s="2898">
        <f t="shared" si="105"/>
        <v>4.5999999999999999E-3</v>
      </c>
      <c r="AA44" s="2899">
        <f t="shared" si="105"/>
        <v>4.1000000000000003E-3</v>
      </c>
      <c r="AB44" s="2026">
        <f t="shared" si="105"/>
        <v>0.01</v>
      </c>
      <c r="AC44" s="2900"/>
      <c r="AD44" s="2026">
        <f t="shared" si="105"/>
        <v>4.1000000000000003E-3</v>
      </c>
    </row>
    <row r="45" spans="1:30" s="2043" customFormat="1" ht="13.2">
      <c r="A45" s="2901" t="s">
        <v>2830</v>
      </c>
      <c r="B45" s="2029">
        <v>2021</v>
      </c>
      <c r="C45" s="2040">
        <v>2</v>
      </c>
      <c r="D45" s="2005"/>
      <c r="E45" s="2005">
        <v>0.55000000000000004</v>
      </c>
      <c r="F45" s="2005">
        <v>0.46</v>
      </c>
      <c r="G45" s="2005">
        <v>1.1000000000000001</v>
      </c>
      <c r="H45" s="2913"/>
      <c r="I45" s="2006">
        <f t="shared" si="88"/>
        <v>0.46</v>
      </c>
      <c r="J45" s="2902"/>
      <c r="K45" s="2041"/>
      <c r="L45" s="2026">
        <f t="shared" si="89"/>
        <v>5.5000000000000005E-3</v>
      </c>
      <c r="M45" s="2026">
        <f t="shared" si="89"/>
        <v>4.5999999999999999E-3</v>
      </c>
      <c r="N45" s="2026">
        <f t="shared" si="89"/>
        <v>1.1000000000000001E-2</v>
      </c>
      <c r="O45" s="2026"/>
      <c r="P45" s="2026">
        <f t="shared" si="103"/>
        <v>4.5999999999999999E-3</v>
      </c>
      <c r="Q45" s="2902"/>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2"/>
      <c r="Y45" s="2026"/>
      <c r="Z45" s="2898">
        <f t="shared" si="105"/>
        <v>4.4999999999999997E-3</v>
      </c>
      <c r="AA45" s="2899">
        <f t="shared" si="105"/>
        <v>4.7000000000000002E-3</v>
      </c>
      <c r="AB45" s="2026">
        <f t="shared" si="105"/>
        <v>1.04E-2</v>
      </c>
      <c r="AC45" s="2900"/>
      <c r="AD45" s="2026">
        <f t="shared" si="105"/>
        <v>4.7000000000000002E-3</v>
      </c>
    </row>
    <row r="46" spans="1:30" s="2924" customFormat="1" ht="13.8"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49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0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49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6">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497">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6">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497">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M6" sqref="M6"/>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45649</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2301</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1"/>
      <c r="B3" s="3181"/>
      <c r="C3" s="3181"/>
      <c r="D3" s="799" t="s">
        <v>925</v>
      </c>
      <c r="E3" s="799" t="s">
        <v>931</v>
      </c>
      <c r="F3" s="799" t="s">
        <v>925</v>
      </c>
      <c r="G3" s="799" t="s">
        <v>926</v>
      </c>
      <c r="H3" s="799" t="s">
        <v>925</v>
      </c>
      <c r="I3" s="799" t="s">
        <v>926</v>
      </c>
    </row>
    <row r="4" spans="1:9" ht="30">
      <c r="A4" s="1401" t="str">
        <f>项目基本情况!S2</f>
        <v>北京市怀来县存瑞镇头二营村、葫芦套村三期房地产</v>
      </c>
      <c r="B4" s="799">
        <f>项目基本情况!C17</f>
        <v>43685.850000000006</v>
      </c>
      <c r="C4" s="799">
        <f>项目基本情况!C18</f>
        <v>35316.97</v>
      </c>
      <c r="D4" s="799">
        <f ca="1">结果表!D118</f>
        <v>2315</v>
      </c>
      <c r="E4" s="799">
        <f ca="1">结果表!E118</f>
        <v>530</v>
      </c>
      <c r="F4" s="799">
        <f ca="1">结果表!F118</f>
        <v>13758</v>
      </c>
      <c r="G4" s="799">
        <f ca="1">结果表!G118</f>
        <v>3149</v>
      </c>
      <c r="H4" s="799">
        <f ca="1">结果表!H118</f>
        <v>16073</v>
      </c>
      <c r="I4" s="799">
        <f ca="1">结果表!I118</f>
        <v>3679</v>
      </c>
    </row>
    <row r="5" spans="1:9" ht="30" customHeight="1">
      <c r="A5" s="3181" t="s">
        <v>927</v>
      </c>
      <c r="B5" s="3181"/>
      <c r="C5" s="3181"/>
      <c r="D5" s="3181" t="str">
        <f ca="1">结果表!D119</f>
        <v>贰仟叁佰壹拾伍万元整</v>
      </c>
      <c r="E5" s="3181"/>
      <c r="F5" s="3181" t="str">
        <f ca="1">结果表!F119</f>
        <v>壹亿叁仟柒佰伍拾捌万元整</v>
      </c>
      <c r="G5" s="3181"/>
      <c r="H5" s="3181" t="str">
        <f ca="1">结果表!H119</f>
        <v>壹亿陆仟零柒拾叁万元整</v>
      </c>
      <c r="I5" s="3181"/>
    </row>
    <row r="6" spans="1:9" ht="15.6">
      <c r="A6" s="3180" t="str">
        <f>结果表!A120</f>
        <v>估价师知悉的法定优先受偿款</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6">
      <c r="A8" s="3180" t="str">
        <f>结果表!A122</f>
        <v>房地产抵押价值</v>
      </c>
      <c r="B8" s="3180"/>
      <c r="C8" s="3180"/>
      <c r="D8" s="3180">
        <f ca="1">结果表!D122</f>
        <v>16073</v>
      </c>
      <c r="E8" s="3180"/>
      <c r="F8" s="3180"/>
      <c r="G8" s="3180"/>
      <c r="H8" s="3180"/>
      <c r="I8" s="3180"/>
    </row>
    <row r="9" spans="1:9" ht="15">
      <c r="A9" s="3181" t="s">
        <v>927</v>
      </c>
      <c r="B9" s="3181"/>
      <c r="C9" s="3181"/>
      <c r="D9" s="3181" t="str">
        <f ca="1">结果表!D123</f>
        <v>壹亿陆仟零柒拾叁万元整</v>
      </c>
      <c r="E9" s="3181"/>
      <c r="F9" s="3181"/>
      <c r="G9" s="3181"/>
      <c r="H9" s="3181"/>
      <c r="I9" s="3181"/>
    </row>
    <row r="10" spans="1:9" ht="15.6">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6">
      <c r="A12" s="3180" t="str">
        <f>结果表!A126</f>
        <v>抵押净值</v>
      </c>
      <c r="B12" s="3180"/>
      <c r="C12" s="3180"/>
      <c r="D12" s="3180">
        <f ca="1">结果表!D126</f>
        <v>15223</v>
      </c>
      <c r="E12" s="3180"/>
      <c r="F12" s="3180"/>
      <c r="G12" s="3180"/>
      <c r="H12" s="3180"/>
      <c r="I12" s="3180"/>
    </row>
    <row r="13" spans="1:9" ht="15.6" thickBot="1">
      <c r="A13" s="3178" t="s">
        <v>927</v>
      </c>
      <c r="B13" s="3178"/>
      <c r="C13" s="3178"/>
      <c r="D13" s="3178" t="str">
        <f ca="1">结果表!D127</f>
        <v>壹亿伍仟贰佰贰拾叁万元整</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193" t="s">
        <v>949</v>
      </c>
      <c r="B1" s="3193"/>
      <c r="C1" s="3193"/>
      <c r="D1" s="3193"/>
    </row>
    <row r="2" spans="1:4" ht="17.399999999999999">
      <c r="A2" s="3194" t="s">
        <v>933</v>
      </c>
      <c r="B2" s="3194"/>
      <c r="C2" s="3194"/>
      <c r="D2" s="3194"/>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f>项目基本情况!D4</f>
        <v>0</v>
      </c>
      <c r="B5" s="1407">
        <f>项目基本情况!E4</f>
        <v>0</v>
      </c>
      <c r="C5" s="1410"/>
      <c r="D5" s="1409" t="s">
        <v>938</v>
      </c>
    </row>
    <row r="6" spans="1:4" ht="17.399999999999999">
      <c r="A6" s="3194" t="s">
        <v>939</v>
      </c>
      <c r="B6" s="3194"/>
      <c r="C6" s="3194"/>
      <c r="D6" s="3194"/>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195"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3"/>
      <c r="B23" s="457"/>
      <c r="C23" s="457"/>
      <c r="D23" s="457"/>
    </row>
    <row r="24" spans="1:4">
      <c r="A24" s="1413"/>
      <c r="B24" s="457"/>
      <c r="C24" s="457"/>
      <c r="D24" s="457"/>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01" t="s">
        <v>956</v>
      </c>
      <c r="B15" s="3196" t="s">
        <v>109</v>
      </c>
      <c r="C15" s="3197"/>
    </row>
    <row r="16" spans="1:7" ht="14.4">
      <c r="A16" s="3202"/>
      <c r="B16" s="3196" t="s">
        <v>42</v>
      </c>
      <c r="C16" s="3197"/>
    </row>
    <row r="17" spans="1:3" ht="14.4">
      <c r="A17" s="3202"/>
      <c r="B17" s="3199" t="s">
        <v>957</v>
      </c>
      <c r="C17" s="1427" t="s">
        <v>956</v>
      </c>
    </row>
    <row r="18" spans="1:3" ht="14.4">
      <c r="A18" s="3202"/>
      <c r="B18" s="3199"/>
      <c r="C18" s="1427" t="s">
        <v>958</v>
      </c>
    </row>
    <row r="19" spans="1:3" ht="14.4">
      <c r="A19" s="3202"/>
      <c r="B19" s="3199"/>
      <c r="C19" s="1427" t="s">
        <v>959</v>
      </c>
    </row>
    <row r="20" spans="1:3" ht="14.4">
      <c r="A20" s="3203"/>
      <c r="B20" s="3198" t="s">
        <v>960</v>
      </c>
      <c r="C20" s="3197"/>
    </row>
    <row r="21" spans="1:3" ht="14.4">
      <c r="A21" s="1428" t="s">
        <v>961</v>
      </c>
      <c r="B21" s="1429"/>
      <c r="C21" s="1430"/>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7" t="s">
        <v>967</v>
      </c>
    </row>
    <row r="26" spans="1:3" ht="14.4">
      <c r="A26" s="3200"/>
      <c r="B26" s="3199"/>
      <c r="C26" s="1427" t="s">
        <v>968</v>
      </c>
    </row>
    <row r="27" spans="1:3" ht="14.4">
      <c r="A27" s="3200"/>
      <c r="B27" s="3199"/>
      <c r="C27" s="1427" t="s">
        <v>969</v>
      </c>
    </row>
    <row r="28" spans="1:3" ht="14.4">
      <c r="A28" s="3200"/>
      <c r="B28" s="3199"/>
      <c r="C28" s="1427" t="s">
        <v>970</v>
      </c>
    </row>
    <row r="29" spans="1:3" ht="14.4">
      <c r="A29" s="3200"/>
      <c r="B29" s="3199"/>
      <c r="C29" s="1427" t="s">
        <v>971</v>
      </c>
    </row>
    <row r="30" spans="1:3" ht="14.4">
      <c r="A30" s="3200"/>
      <c r="B30" s="3199"/>
      <c r="C30" s="1427" t="s">
        <v>972</v>
      </c>
    </row>
    <row r="31" spans="1:3" ht="14.4">
      <c r="A31" s="3200"/>
      <c r="B31" s="3199"/>
      <c r="C31" s="1427" t="s">
        <v>973</v>
      </c>
    </row>
    <row r="32" spans="1:3" ht="14.4">
      <c r="A32" s="3200"/>
      <c r="B32" s="3199"/>
      <c r="C32" s="1427" t="s">
        <v>974</v>
      </c>
    </row>
    <row r="33" spans="1:3" ht="14.4">
      <c r="A33" s="3200"/>
      <c r="B33" s="3199"/>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2138</v>
      </c>
      <c r="B2" s="2155">
        <f ca="1">TODAY()</f>
        <v>45657</v>
      </c>
      <c r="C2" s="2156" t="s">
        <v>2139</v>
      </c>
      <c r="D2" s="2156"/>
      <c r="E2" s="2156"/>
      <c r="F2" s="2152"/>
      <c r="G2" s="2152"/>
      <c r="H2" s="2152"/>
    </row>
    <row r="3" spans="1:8" ht="24" customHeight="1">
      <c r="A3" s="2157" t="s">
        <v>2140</v>
      </c>
      <c r="B3" s="1217" t="s">
        <v>2141</v>
      </c>
      <c r="C3" s="1217" t="s">
        <v>2142</v>
      </c>
      <c r="D3" s="2158" t="s">
        <v>2143</v>
      </c>
      <c r="E3" s="2159" t="s">
        <v>2144</v>
      </c>
      <c r="F3" s="1217" t="s">
        <v>2145</v>
      </c>
      <c r="G3" s="1217" t="s">
        <v>2142</v>
      </c>
      <c r="H3" s="2158" t="s">
        <v>2146</v>
      </c>
    </row>
    <row r="4" spans="1:8" ht="24" customHeight="1">
      <c r="A4" s="1217" t="s">
        <v>2147</v>
      </c>
      <c r="B4" s="1217">
        <f ca="1">IF(C4&lt;B2,"已过期",1119970066)</f>
        <v>1119970066</v>
      </c>
      <c r="C4" s="2160">
        <v>45937</v>
      </c>
      <c r="D4" s="2161" t="str">
        <f ca="1">A4&amp;"（注册号："&amp;B4&amp;"）"</f>
        <v>梁津（注册号：1119970066）</v>
      </c>
      <c r="E4" s="2162" t="s">
        <v>2147</v>
      </c>
      <c r="F4" s="1217">
        <f ca="1">IF(G4&lt;B2,"已过期",96010014)</f>
        <v>96010014</v>
      </c>
      <c r="G4" s="2163">
        <v>47118</v>
      </c>
      <c r="H4" s="2164" t="str">
        <f ca="1">E4&amp;"（注册号："&amp;F4&amp;"）"</f>
        <v>梁津（注册号：96010014）</v>
      </c>
    </row>
    <row r="5" spans="1:8" ht="24" customHeight="1">
      <c r="A5" s="1217" t="s">
        <v>2148</v>
      </c>
      <c r="B5" s="1217">
        <f ca="1">IF(C5&lt;B2,"已过期",1119970111)</f>
        <v>1119970111</v>
      </c>
      <c r="C5" s="2160">
        <v>45937</v>
      </c>
      <c r="D5" s="2161" t="str">
        <f t="shared" ref="D5:D15" ca="1" si="0">A5&amp;"（注册号："&amp;B5&amp;"）"</f>
        <v>叶凌（注册号：1119970111）</v>
      </c>
      <c r="E5" s="2162" t="s">
        <v>2148</v>
      </c>
      <c r="F5" s="1217">
        <f ca="1">IF(G5&lt;B2,"已过期",94010078)</f>
        <v>94010078</v>
      </c>
      <c r="G5" s="2163">
        <v>46387</v>
      </c>
      <c r="H5" s="2164" t="str">
        <f t="shared" ref="H5:H16" ca="1" si="1">E5&amp;"（注册号："&amp;F5&amp;"）"</f>
        <v>叶凌（注册号：94010078）</v>
      </c>
    </row>
    <row r="6" spans="1:8" ht="24" customHeight="1">
      <c r="A6" s="1217" t="s">
        <v>2149</v>
      </c>
      <c r="B6" s="1217" t="str">
        <f ca="1">IF(C6&lt;B2,"已过期",1120050019)</f>
        <v>已过期</v>
      </c>
      <c r="C6" s="2160">
        <v>45410</v>
      </c>
      <c r="D6" s="2161" t="str">
        <f t="shared" ca="1" si="0"/>
        <v>王鹏（注册号：已过期）</v>
      </c>
      <c r="E6" s="2162" t="s">
        <v>2149</v>
      </c>
      <c r="F6" s="1217">
        <f ca="1">IF(G6&lt;B2,"已过期",2002110030)</f>
        <v>2002110030</v>
      </c>
      <c r="G6" s="2163">
        <v>46387</v>
      </c>
      <c r="H6" s="2164" t="str">
        <f t="shared" ca="1" si="1"/>
        <v>王鹏（注册号：2002110030）</v>
      </c>
    </row>
    <row r="7" spans="1:8" ht="24" customHeight="1">
      <c r="A7" s="1217" t="s">
        <v>2150</v>
      </c>
      <c r="B7" s="1217">
        <f ca="1">IF(C7&lt;B2,"已过期",1120000080)</f>
        <v>1120000080</v>
      </c>
      <c r="C7" s="2160">
        <v>45937</v>
      </c>
      <c r="D7" s="2161" t="str">
        <f t="shared" ca="1" si="0"/>
        <v>欧红伟（注册号：1120000080）</v>
      </c>
      <c r="E7" s="2162" t="s">
        <v>2150</v>
      </c>
      <c r="F7" s="1217">
        <f ca="1">IF(G7&lt;B2,"已过期",2000110082)</f>
        <v>2000110082</v>
      </c>
      <c r="G7" s="2163">
        <v>46387</v>
      </c>
      <c r="H7" s="2164" t="str">
        <f t="shared" ca="1" si="1"/>
        <v>欧红伟（注册号：2000110082）</v>
      </c>
    </row>
    <row r="8" spans="1:8" ht="24" customHeight="1">
      <c r="A8" s="1217" t="s">
        <v>2151</v>
      </c>
      <c r="B8" s="1217">
        <f ca="1">IF(C8&lt;B2,"已过期",1419970001)</f>
        <v>1419970001</v>
      </c>
      <c r="C8" s="2160">
        <v>45937</v>
      </c>
      <c r="D8" s="2161" t="str">
        <f t="shared" ca="1" si="0"/>
        <v>吴薇（注册号：1419970001）</v>
      </c>
      <c r="E8" s="2162" t="s">
        <v>2151</v>
      </c>
      <c r="F8" s="1217">
        <f ca="1">IF(G8&lt;B2,"已过期",2002110125)</f>
        <v>2002110125</v>
      </c>
      <c r="G8" s="2163">
        <v>47118</v>
      </c>
      <c r="H8" s="2164" t="str">
        <f t="shared" ca="1" si="1"/>
        <v>吴薇（注册号：2002110125）</v>
      </c>
    </row>
    <row r="9" spans="1:8" ht="24" customHeight="1">
      <c r="A9" s="1217" t="s">
        <v>2152</v>
      </c>
      <c r="B9" s="1217" t="str">
        <f ca="1">IF(C9&lt;B2,"已过期",1120060040)</f>
        <v>已过期</v>
      </c>
      <c r="C9" s="2165">
        <v>45592</v>
      </c>
      <c r="D9" s="2161" t="str">
        <f t="shared" ca="1" si="0"/>
        <v>陈颖（注册号：已过期）</v>
      </c>
      <c r="E9" s="2162" t="s">
        <v>2152</v>
      </c>
      <c r="F9" s="1217">
        <f ca="1">IF(G9&lt;B2,"已过期",2004110096)</f>
        <v>2004110096</v>
      </c>
      <c r="G9" s="2163">
        <v>47118</v>
      </c>
      <c r="H9" s="2164" t="str">
        <f t="shared" ca="1" si="1"/>
        <v>陈颖（注册号：2004110096）</v>
      </c>
    </row>
    <row r="10" spans="1:8" ht="24" customHeight="1">
      <c r="A10" s="1217" t="s">
        <v>2153</v>
      </c>
      <c r="B10" s="1217">
        <f ca="1">IF(C10&lt;B2,"已过期",1120100036)</f>
        <v>1120100036</v>
      </c>
      <c r="C10" s="2165">
        <v>45752</v>
      </c>
      <c r="D10" s="2161" t="str">
        <f t="shared" ca="1" si="0"/>
        <v>崔锴（注册号：1120100036）</v>
      </c>
      <c r="E10" s="2162" t="s">
        <v>2153</v>
      </c>
      <c r="F10" s="1217">
        <f ca="1">IF(G10&lt;B2,"已过期",2010110070)</f>
        <v>2010110070</v>
      </c>
      <c r="G10" s="2163">
        <v>47907</v>
      </c>
      <c r="H10" s="2164" t="str">
        <f t="shared" ca="1" si="1"/>
        <v>崔锴（注册号：2010110070）</v>
      </c>
    </row>
    <row r="11" spans="1:8" ht="24" customHeight="1">
      <c r="A11" s="1217" t="s">
        <v>2154</v>
      </c>
      <c r="B11" s="1217">
        <f ca="1">IF(C11&lt;B2,"已过期",1120070131)</f>
        <v>1120070131</v>
      </c>
      <c r="C11" s="2160">
        <v>45937</v>
      </c>
      <c r="D11" s="2161" t="str">
        <f t="shared" ca="1" si="0"/>
        <v>郑燚（注册号：1120070131）</v>
      </c>
      <c r="E11" s="2162" t="s">
        <v>2154</v>
      </c>
      <c r="F11" s="1217">
        <f ca="1">IF(G11&lt;B2,"已过期",2014110011)</f>
        <v>2014110011</v>
      </c>
      <c r="G11" s="2163">
        <v>49302</v>
      </c>
      <c r="H11" s="2164" t="str">
        <f t="shared" ca="1" si="1"/>
        <v>郑燚（注册号：2014110011）</v>
      </c>
    </row>
    <row r="12" spans="1:8" ht="24" customHeight="1">
      <c r="A12" s="1217" t="s">
        <v>2155</v>
      </c>
      <c r="B12" s="1217">
        <f ca="1">IF(C12&lt;B2,"已过期",1120040230)</f>
        <v>1120040230</v>
      </c>
      <c r="C12" s="2165">
        <v>45937</v>
      </c>
      <c r="D12" s="2161" t="str">
        <f t="shared" ca="1" si="0"/>
        <v>苏海（注册号：1120040230）</v>
      </c>
      <c r="E12" s="2162" t="s">
        <v>2155</v>
      </c>
      <c r="F12" s="1217">
        <f ca="1">IF(G12&lt;B2,"已过期",98030020)</f>
        <v>98030020</v>
      </c>
      <c r="G12" s="2163">
        <v>47118</v>
      </c>
      <c r="H12" s="2164" t="str">
        <f t="shared" ca="1" si="1"/>
        <v>苏海（注册号：98030020）</v>
      </c>
    </row>
    <row r="13" spans="1:8" ht="24" customHeight="1">
      <c r="A13" s="1217" t="s">
        <v>2156</v>
      </c>
      <c r="B13" s="1217" t="str">
        <f ca="1">IF(C13&lt;B2,"已过期",1120020033)</f>
        <v>已过期</v>
      </c>
      <c r="C13" s="2160">
        <v>45375</v>
      </c>
      <c r="D13" s="2161" t="str">
        <f t="shared" ca="1" si="0"/>
        <v>刘敬东（注册号：已过期）</v>
      </c>
      <c r="E13" s="2162" t="s">
        <v>2156</v>
      </c>
      <c r="F13" s="1217">
        <f ca="1">IF(G13&lt;B2,"已过期",2000110137)</f>
        <v>2000110137</v>
      </c>
      <c r="G13" s="2163">
        <v>46387</v>
      </c>
      <c r="H13" s="2164" t="str">
        <f t="shared" ca="1" si="1"/>
        <v>刘敬东（注册号：2000110137）</v>
      </c>
    </row>
    <row r="14" spans="1:8" ht="24" customHeight="1">
      <c r="A14" s="1217" t="s">
        <v>2157</v>
      </c>
      <c r="B14" s="1217" t="str">
        <f ca="1">IF(C14&lt;B2,"已过期",1119980106)</f>
        <v>已过期</v>
      </c>
      <c r="C14" s="2165">
        <v>44969</v>
      </c>
      <c r="D14" s="2161" t="str">
        <f t="shared" ca="1" si="0"/>
        <v>刘俊财（注册号：已过期）</v>
      </c>
      <c r="E14" s="2162" t="s">
        <v>2157</v>
      </c>
      <c r="F14" s="1217">
        <f ca="1">IF(G14&lt;B2,"已过期",96010063)</f>
        <v>96010063</v>
      </c>
      <c r="G14" s="2163">
        <v>47483</v>
      </c>
      <c r="H14" s="2164" t="str">
        <f t="shared" ca="1" si="1"/>
        <v>刘俊财（注册号：96010063）</v>
      </c>
    </row>
    <row r="15" spans="1:8" ht="24" customHeight="1">
      <c r="A15" s="1217" t="s">
        <v>2429</v>
      </c>
      <c r="B15" s="1217">
        <v>1120210056</v>
      </c>
      <c r="C15" s="2165">
        <v>45410</v>
      </c>
      <c r="D15" s="2161" t="str">
        <f t="shared" si="0"/>
        <v>宁小鳗（注册号：1120210056）</v>
      </c>
      <c r="E15" s="2162" t="s">
        <v>2158</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4" t="s">
        <v>2159</v>
      </c>
      <c r="B17" s="3204"/>
      <c r="C17" s="3204"/>
      <c r="D17" s="3204"/>
      <c r="E17" s="3204"/>
      <c r="F17" s="3204"/>
      <c r="G17" s="3204"/>
      <c r="H17" s="3204"/>
    </row>
    <row r="18" spans="1:8" ht="24" customHeight="1">
      <c r="A18" s="3205" t="s">
        <v>2160</v>
      </c>
      <c r="B18" s="3205"/>
      <c r="C18" s="3205"/>
      <c r="D18" s="2158"/>
      <c r="E18" s="3206" t="s">
        <v>2161</v>
      </c>
      <c r="F18" s="3205"/>
      <c r="G18" s="3205"/>
    </row>
    <row r="19" spans="1:8" s="2168" customFormat="1" ht="24" customHeight="1">
      <c r="A19" s="2167" t="s">
        <v>2162</v>
      </c>
      <c r="B19" s="1217" t="s">
        <v>2163</v>
      </c>
      <c r="C19" s="1217" t="s">
        <v>2142</v>
      </c>
      <c r="D19" s="2158"/>
      <c r="E19" s="2162" t="s">
        <v>2162</v>
      </c>
      <c r="F19" s="1217" t="s">
        <v>2163</v>
      </c>
      <c r="G19" s="1217" t="s">
        <v>2142</v>
      </c>
    </row>
    <row r="20" spans="1:8" s="2168" customFormat="1" ht="24" customHeight="1">
      <c r="A20" s="2169" t="s">
        <v>2164</v>
      </c>
      <c r="B20" s="2169" t="s">
        <v>2165</v>
      </c>
      <c r="C20" s="2163">
        <v>45898</v>
      </c>
      <c r="D20" s="2170"/>
      <c r="E20" s="2171" t="s">
        <v>2166</v>
      </c>
      <c r="F20" s="2174" t="s">
        <v>2430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土地比较法-工业</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2024-12-31T02:56:42Z</dcterms:modified>
</cp:coreProperties>
</file>