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79"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商业" sheetId="80" r:id="rId47"/>
    <sheet name="收益法-车库"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3">'基准地价修正-商业'!$A$1:$J$41,'基准地价修正-商业'!$A$45:$H$88,'基准地价修正-商业'!$R$1:$V$16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47">'收益法-车库'!$A$1:$F$43,'收益法-车库'!$H$3:$M$29,'收益法-车库'!$A$46:$F$71,'收益法-车库'!$I$46:$N$65</definedName>
    <definedName name="_xlnm.Print_Area" localSheetId="46">'收益法-商业'!$A$1:$F$43,'收益法-商业'!$H$3:$M$29,'收益法-商业'!$A$46:$F$71,'收益法-商业'!$I$46:$N$65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J7" i="1"/>
  <c r="I7" i="1"/>
  <c r="H7" i="1"/>
  <c r="F113" i="79"/>
  <c r="D100" i="79"/>
  <c r="N99" i="79"/>
  <c r="M99" i="79"/>
  <c r="M108" i="79" s="1"/>
  <c r="L99" i="79"/>
  <c r="K99" i="79"/>
  <c r="K108" i="79" s="1"/>
  <c r="J99" i="79"/>
  <c r="I99" i="79"/>
  <c r="I108" i="79" s="1"/>
  <c r="H99" i="79"/>
  <c r="G99" i="79"/>
  <c r="G100" i="79" s="1"/>
  <c r="F99" i="79"/>
  <c r="E99" i="79"/>
  <c r="E108" i="79" s="1"/>
  <c r="D99" i="79"/>
  <c r="D108" i="79" s="1"/>
  <c r="C99" i="79"/>
  <c r="C100" i="79" s="1"/>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s="1"/>
  <c r="D84" i="79"/>
  <c r="B84" i="79"/>
  <c r="N83" i="79"/>
  <c r="M83" i="79"/>
  <c r="K83" i="79"/>
  <c r="J83" i="79" s="1"/>
  <c r="D83" i="79"/>
  <c r="B83" i="79"/>
  <c r="M82" i="79"/>
  <c r="N82" i="79" s="1"/>
  <c r="K82" i="79"/>
  <c r="J82" i="79" s="1"/>
  <c r="D82" i="79"/>
  <c r="E81" i="79" s="1"/>
  <c r="B79" i="79" s="1"/>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D67" i="79"/>
  <c r="B61" i="79"/>
  <c r="D59" i="79"/>
  <c r="D56" i="79"/>
  <c r="B50" i="79"/>
  <c r="D48" i="79"/>
  <c r="B48" i="79"/>
  <c r="H39" i="79"/>
  <c r="H38" i="79"/>
  <c r="H37" i="79"/>
  <c r="H36" i="79"/>
  <c r="H35" i="79"/>
  <c r="H34" i="79"/>
  <c r="H33" i="79"/>
  <c r="J20" i="79"/>
  <c r="E20" i="79"/>
  <c r="I19" i="79"/>
  <c r="C18" i="79"/>
  <c r="F15" i="79"/>
  <c r="E15" i="79"/>
  <c r="D15" i="79"/>
  <c r="C15" i="79"/>
  <c r="AD12" i="79"/>
  <c r="Z12" i="79"/>
  <c r="Y12" i="79"/>
  <c r="C12" i="79"/>
  <c r="Y10" i="79"/>
  <c r="C10" i="79"/>
  <c r="C11" i="79" s="1"/>
  <c r="E9" i="79" s="1"/>
  <c r="AJ9" i="79"/>
  <c r="AJ12" i="79" s="1"/>
  <c r="AI9" i="79"/>
  <c r="AH9" i="79"/>
  <c r="AH12" i="79" s="1"/>
  <c r="AG9" i="79"/>
  <c r="AF9" i="79"/>
  <c r="AF10" i="79" s="1"/>
  <c r="AE9" i="79"/>
  <c r="AD9" i="79"/>
  <c r="AD10" i="79" s="1"/>
  <c r="AC9" i="79"/>
  <c r="AB9" i="79"/>
  <c r="AB10" i="79" s="1"/>
  <c r="AA9" i="79"/>
  <c r="Z9" i="79"/>
  <c r="Z10" i="79" s="1"/>
  <c r="C9" i="79"/>
  <c r="A7" i="79"/>
  <c r="I2" i="79"/>
  <c r="G2" i="79"/>
  <c r="M1" i="79"/>
  <c r="E8" i="79" l="1"/>
  <c r="AB12" i="79"/>
  <c r="AF12" i="79"/>
  <c r="E70" i="79"/>
  <c r="B68" i="79" s="1"/>
  <c r="H81" i="79"/>
  <c r="D24" i="81"/>
  <c r="P61" i="81"/>
  <c r="D22" i="81"/>
  <c r="D24" i="80"/>
  <c r="P61" i="80"/>
  <c r="D22" i="80"/>
  <c r="D1" i="79"/>
  <c r="K100" i="79"/>
  <c r="G108" i="79"/>
  <c r="C108" i="79"/>
  <c r="H85" i="79"/>
  <c r="H72" i="79"/>
  <c r="H77" i="79"/>
  <c r="X7" i="79"/>
  <c r="H70" i="79"/>
  <c r="H74" i="79"/>
  <c r="H78" i="79"/>
  <c r="H83" i="79"/>
  <c r="H88" i="79"/>
  <c r="M12" i="79"/>
  <c r="N11" i="79"/>
  <c r="N10" i="79"/>
  <c r="M9" i="79"/>
  <c r="N12" i="79"/>
  <c r="M11" i="79"/>
  <c r="M10" i="79"/>
  <c r="N2" i="79"/>
  <c r="M3" i="79"/>
  <c r="N4" i="79"/>
  <c r="M5" i="79"/>
  <c r="M6" i="79"/>
  <c r="C6" i="79" s="1"/>
  <c r="N7" i="79"/>
  <c r="N8" i="79"/>
  <c r="AA12" i="79"/>
  <c r="AA10" i="79"/>
  <c r="AC12" i="79"/>
  <c r="AC10" i="79"/>
  <c r="AE12" i="79"/>
  <c r="AE10" i="79"/>
  <c r="AG12" i="79"/>
  <c r="AG10" i="79"/>
  <c r="AI12" i="79"/>
  <c r="AI10" i="79"/>
  <c r="E11" i="79"/>
  <c r="E10" i="79"/>
  <c r="C7" i="79" s="1"/>
  <c r="N1" i="79"/>
  <c r="H113" i="79"/>
  <c r="F39" i="79"/>
  <c r="N17" i="79"/>
  <c r="L17" i="79"/>
  <c r="J17" i="79"/>
  <c r="H17" i="79"/>
  <c r="C17" i="79"/>
  <c r="F59" i="79"/>
  <c r="F37" i="79"/>
  <c r="F35" i="79"/>
  <c r="F33" i="79"/>
  <c r="O17" i="79"/>
  <c r="K17" i="79"/>
  <c r="F38" i="79"/>
  <c r="F36" i="79"/>
  <c r="F34" i="79"/>
  <c r="M17" i="79"/>
  <c r="I17" i="79"/>
  <c r="D17" i="79"/>
  <c r="M2" i="79"/>
  <c r="N3" i="79"/>
  <c r="M4" i="79"/>
  <c r="N5" i="79"/>
  <c r="N6" i="79"/>
  <c r="F48" i="79" s="1"/>
  <c r="M7" i="79"/>
  <c r="M8" i="79"/>
  <c r="N9" i="79"/>
  <c r="O28" i="79"/>
  <c r="M28" i="79"/>
  <c r="N28" i="79"/>
  <c r="G20" i="79" s="1"/>
  <c r="AH10" i="79"/>
  <c r="AJ10" i="79"/>
  <c r="P28" i="79"/>
  <c r="F108" i="79"/>
  <c r="F100" i="79"/>
  <c r="H108" i="79"/>
  <c r="H100" i="79"/>
  <c r="J108" i="79"/>
  <c r="J100" i="79"/>
  <c r="L108" i="79"/>
  <c r="L100" i="79"/>
  <c r="N108" i="79"/>
  <c r="N100" i="79"/>
  <c r="H71" i="79"/>
  <c r="H73" i="79"/>
  <c r="H75" i="79"/>
  <c r="H82" i="79"/>
  <c r="H84" i="79"/>
  <c r="H86" i="79"/>
  <c r="E100" i="79"/>
  <c r="I100" i="79"/>
  <c r="M100" i="79"/>
  <c r="H56" i="79" l="1"/>
  <c r="G56" i="79" s="1"/>
  <c r="H51" i="79"/>
  <c r="G51" i="79" s="1"/>
  <c r="H48" i="79"/>
  <c r="G48" i="79" s="1"/>
  <c r="H53" i="79"/>
  <c r="G53" i="79" s="1"/>
  <c r="H52" i="79"/>
  <c r="G52" i="79" s="1"/>
  <c r="H54" i="79"/>
  <c r="G54" i="79" s="1"/>
  <c r="H50" i="79"/>
  <c r="G50" i="79" s="1"/>
  <c r="H49" i="79"/>
  <c r="G49" i="79" s="1"/>
  <c r="H55" i="79"/>
  <c r="G55" i="79" s="1"/>
  <c r="H63" i="79"/>
  <c r="G63" i="79" s="1"/>
  <c r="H62" i="79"/>
  <c r="G62" i="79" s="1"/>
  <c r="H66" i="79"/>
  <c r="G66" i="79" s="1"/>
  <c r="H64" i="79"/>
  <c r="G64" i="79" s="1"/>
  <c r="H60" i="79"/>
  <c r="G60" i="79" s="1"/>
  <c r="H67" i="79"/>
  <c r="G67" i="79" s="1"/>
  <c r="H65" i="79"/>
  <c r="G65" i="79" s="1"/>
  <c r="H61" i="79"/>
  <c r="G61" i="79" s="1"/>
  <c r="H59" i="79"/>
  <c r="G59" i="79" s="1"/>
  <c r="E41" i="79"/>
  <c r="G17" i="79"/>
  <c r="Q22" i="1"/>
  <c r="N6" i="1"/>
  <c r="N7" i="1" s="1"/>
  <c r="N8" i="1" s="1"/>
  <c r="Y6" i="1" l="1"/>
  <c r="Y7" i="1" s="1"/>
  <c r="Y8" i="1"/>
  <c r="M55" i="79"/>
  <c r="N55" i="79" s="1"/>
  <c r="K55" i="79"/>
  <c r="J55" i="79" s="1"/>
  <c r="D55" i="79" s="1"/>
  <c r="M49" i="79"/>
  <c r="N49" i="79" s="1"/>
  <c r="K49" i="79"/>
  <c r="K50" i="79"/>
  <c r="M50" i="79"/>
  <c r="N50" i="79" s="1"/>
  <c r="K54" i="79"/>
  <c r="M54" i="79"/>
  <c r="N54" i="79" s="1"/>
  <c r="K52" i="79"/>
  <c r="J52" i="79" s="1"/>
  <c r="M52" i="79"/>
  <c r="M53" i="79"/>
  <c r="N53" i="79" s="1"/>
  <c r="K53" i="79"/>
  <c r="K48" i="79"/>
  <c r="J48" i="79" s="1"/>
  <c r="M48" i="79"/>
  <c r="N48" i="79" s="1"/>
  <c r="M51" i="79"/>
  <c r="N51" i="79" s="1"/>
  <c r="K51" i="79"/>
  <c r="K56" i="79"/>
  <c r="J56" i="79" s="1"/>
  <c r="M56" i="79"/>
  <c r="N56" i="79" s="1"/>
  <c r="M61" i="79"/>
  <c r="N61" i="79" s="1"/>
  <c r="K61" i="79"/>
  <c r="M67" i="79"/>
  <c r="N67" i="79" s="1"/>
  <c r="K67" i="79"/>
  <c r="J67" i="79" s="1"/>
  <c r="M64" i="79"/>
  <c r="N64" i="79" s="1"/>
  <c r="K64" i="79"/>
  <c r="K62" i="79"/>
  <c r="M62" i="79"/>
  <c r="N62" i="79" s="1"/>
  <c r="M59" i="79"/>
  <c r="N59" i="79" s="1"/>
  <c r="K59" i="79"/>
  <c r="J59" i="79" s="1"/>
  <c r="M65" i="79"/>
  <c r="N65" i="79" s="1"/>
  <c r="K65" i="79"/>
  <c r="M60" i="79"/>
  <c r="N60" i="79" s="1"/>
  <c r="K60" i="79"/>
  <c r="M66" i="79"/>
  <c r="N66" i="79" s="1"/>
  <c r="K66" i="79"/>
  <c r="J66" i="79" s="1"/>
  <c r="D66" i="79" s="1"/>
  <c r="K63" i="79"/>
  <c r="J63" i="79" s="1"/>
  <c r="M63" i="79"/>
  <c r="K13" i="3"/>
  <c r="F20" i="6" s="1"/>
  <c r="C14" i="78"/>
  <c r="C13" i="78"/>
  <c r="C12" i="78"/>
  <c r="C11" i="78"/>
  <c r="C10" i="78"/>
  <c r="C9" i="78"/>
  <c r="C8" i="78"/>
  <c r="C7" i="78"/>
  <c r="C6" i="78"/>
  <c r="C5" i="78"/>
  <c r="I13" i="3" s="1"/>
  <c r="C4" i="78"/>
  <c r="C3" i="78"/>
  <c r="M13" i="3" s="1"/>
  <c r="G21" i="6" l="1"/>
  <c r="D39" i="43" s="1"/>
  <c r="L22" i="1"/>
  <c r="F19" i="6"/>
  <c r="D29" i="43" s="1"/>
  <c r="L20" i="1"/>
  <c r="C15" i="78"/>
  <c r="J53" i="79"/>
  <c r="D53" i="79"/>
  <c r="J49" i="79"/>
  <c r="D49" i="79"/>
  <c r="E48" i="79" s="1"/>
  <c r="B46" i="79" s="1"/>
  <c r="L21" i="1"/>
  <c r="J51" i="79"/>
  <c r="D51" i="79"/>
  <c r="N52" i="79"/>
  <c r="D52" i="79"/>
  <c r="J54" i="79"/>
  <c r="D54" i="79"/>
  <c r="J50" i="79"/>
  <c r="D50" i="79"/>
  <c r="J64" i="79"/>
  <c r="D64" i="79"/>
  <c r="J61" i="79"/>
  <c r="D61" i="79"/>
  <c r="N63" i="79"/>
  <c r="D63" i="79"/>
  <c r="J60" i="79"/>
  <c r="D60" i="79"/>
  <c r="J65" i="79"/>
  <c r="D65" i="79"/>
  <c r="D62" i="79"/>
  <c r="J62" i="79"/>
  <c r="G14" i="73"/>
  <c r="F14" i="73"/>
  <c r="E14" i="73"/>
  <c r="U2" i="79" l="1"/>
  <c r="Q21" i="1"/>
  <c r="Q20" i="1"/>
  <c r="Q23" i="1" s="1"/>
  <c r="L23" i="1"/>
  <c r="M21" i="1" s="1"/>
  <c r="M22" i="1"/>
  <c r="E59" i="79"/>
  <c r="B57" i="79" s="1"/>
  <c r="C24" i="79" s="1"/>
  <c r="G13" i="73"/>
  <c r="F13" i="73"/>
  <c r="E13" i="73"/>
  <c r="M20" i="1" l="1"/>
  <c r="P23" i="1"/>
  <c r="AH5" i="71"/>
  <c r="AG5" i="71"/>
  <c r="AE5" i="71"/>
  <c r="AF5" i="71" s="1"/>
  <c r="AD5" i="71"/>
  <c r="Q5" i="71"/>
  <c r="P5" i="71"/>
  <c r="O5" i="71"/>
  <c r="N5" i="71"/>
  <c r="O23" i="1" l="1"/>
  <c r="Q6" i="1" s="1"/>
  <c r="N23"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D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O35" i="71"/>
  <c r="Y35" i="71" s="1"/>
  <c r="Z35" i="71" s="1"/>
  <c r="N35" i="71"/>
  <c r="X35" i="71" s="1"/>
  <c r="Q34" i="71"/>
  <c r="F35" i="71" s="1"/>
  <c r="P34" i="71"/>
  <c r="O34" i="71"/>
  <c r="N34" i="71"/>
  <c r="X34" i="71" s="1"/>
  <c r="D34" i="71"/>
  <c r="Q33" i="71"/>
  <c r="P33" i="71"/>
  <c r="AA33" i="71" s="1"/>
  <c r="O33" i="71"/>
  <c r="Y33" i="71" s="1"/>
  <c r="Z33" i="71" s="1"/>
  <c r="N33" i="71"/>
  <c r="X31" i="71" s="1"/>
  <c r="Q32" i="71"/>
  <c r="P32" i="71"/>
  <c r="O32" i="71"/>
  <c r="Y32" i="71"/>
  <c r="Z32" i="71" s="1"/>
  <c r="N32" i="71"/>
  <c r="Q31" i="71"/>
  <c r="P31" i="71"/>
  <c r="O31" i="71"/>
  <c r="Y31" i="71" s="1"/>
  <c r="Z31" i="71" s="1"/>
  <c r="N31" i="71"/>
  <c r="Q30" i="71"/>
  <c r="F31" i="71" s="1"/>
  <c r="P30" i="71"/>
  <c r="O30" i="71"/>
  <c r="N30" i="71"/>
  <c r="D30" i="71"/>
  <c r="Q29" i="71"/>
  <c r="P29" i="71"/>
  <c r="O29" i="71"/>
  <c r="Y29" i="71" s="1"/>
  <c r="Z29" i="71" s="1"/>
  <c r="N29" i="71"/>
  <c r="X29" i="71" s="1"/>
  <c r="Q28" i="71"/>
  <c r="P28" i="71"/>
  <c r="AA27" i="71" s="1"/>
  <c r="O28" i="71"/>
  <c r="Y28" i="71"/>
  <c r="Z28" i="71" s="1"/>
  <c r="N28" i="71"/>
  <c r="Q27" i="71"/>
  <c r="AB27" i="71" s="1"/>
  <c r="P27" i="71"/>
  <c r="O27" i="71"/>
  <c r="Y27" i="71" s="1"/>
  <c r="Z27" i="71" s="1"/>
  <c r="N27" i="71"/>
  <c r="Q26" i="71"/>
  <c r="F27" i="71" s="1"/>
  <c r="P26" i="71"/>
  <c r="O26" i="71"/>
  <c r="Y26" i="71" s="1"/>
  <c r="Z26" i="71" s="1"/>
  <c r="N26" i="71"/>
  <c r="D26" i="71"/>
  <c r="O25" i="71"/>
  <c r="C25" i="71" s="1"/>
  <c r="N25" i="71"/>
  <c r="B27" i="71"/>
  <c r="B28" i="71" s="1"/>
  <c r="B29" i="71" s="1"/>
  <c r="S29" i="71" s="1"/>
  <c r="E27" i="71"/>
  <c r="E28" i="71" s="1"/>
  <c r="E29" i="71" s="1"/>
  <c r="U29" i="71" s="1"/>
  <c r="B31" i="71"/>
  <c r="B32" i="71" s="1"/>
  <c r="B33" i="71" s="1"/>
  <c r="S33" i="71" s="1"/>
  <c r="B35" i="71"/>
  <c r="B36" i="71" s="1"/>
  <c r="B37" i="71" s="1"/>
  <c r="S37" i="71" s="1"/>
  <c r="E35" i="71"/>
  <c r="E36" i="71" s="1"/>
  <c r="E37" i="71" s="1"/>
  <c r="U37" i="71" s="1"/>
  <c r="AA34" i="71"/>
  <c r="E31" i="71"/>
  <c r="E32" i="71" s="1"/>
  <c r="C27" i="71"/>
  <c r="D27" i="71" s="1"/>
  <c r="AA29" i="71"/>
  <c r="C31" i="71"/>
  <c r="C32" i="71" s="1"/>
  <c r="Y30" i="71"/>
  <c r="Z30" i="71" s="1"/>
  <c r="X32" i="71"/>
  <c r="C35" i="71"/>
  <c r="C36" i="71" s="1"/>
  <c r="D36" i="71" s="1"/>
  <c r="Y34" i="71"/>
  <c r="Z34" i="71" s="1"/>
  <c r="AB34" i="71"/>
  <c r="AA35" i="71"/>
  <c r="F49" i="71"/>
  <c r="V49" i="71" s="1"/>
  <c r="Y23" i="71"/>
  <c r="Z23" i="71" s="1"/>
  <c r="Y25" i="71"/>
  <c r="Z25" i="71" s="1"/>
  <c r="B25" i="71"/>
  <c r="X22" i="71"/>
  <c r="C28" i="71"/>
  <c r="D28" i="71" s="1"/>
  <c r="D31" i="71"/>
  <c r="D35" i="71"/>
  <c r="P25" i="71"/>
  <c r="E60" i="71"/>
  <c r="E61" i="71" s="1"/>
  <c r="U61" i="71" s="1"/>
  <c r="U65" i="71"/>
  <c r="Q25" i="71"/>
  <c r="AB25" i="71" s="1"/>
  <c r="B63" i="71"/>
  <c r="N62" i="71" s="1"/>
  <c r="T65" i="71"/>
  <c r="O65" i="71"/>
  <c r="D65" i="71"/>
  <c r="C64" i="71"/>
  <c r="Q65" i="71"/>
  <c r="C68" i="71"/>
  <c r="C67" i="71" s="1"/>
  <c r="D67" i="71" s="1"/>
  <c r="C72" i="71"/>
  <c r="C71" i="71" s="1"/>
  <c r="D73" i="71"/>
  <c r="C76" i="71"/>
  <c r="D76" i="71" s="1"/>
  <c r="E76" i="71"/>
  <c r="E75" i="71"/>
  <c r="C80" i="71"/>
  <c r="C79" i="71" s="1"/>
  <c r="D79" i="71" s="1"/>
  <c r="C84" i="71"/>
  <c r="T25" i="71"/>
  <c r="AB22" i="71"/>
  <c r="E25" i="71"/>
  <c r="E24" i="71" s="1"/>
  <c r="E23" i="71" s="1"/>
  <c r="AA24" i="71"/>
  <c r="D25" i="71"/>
  <c r="U25" i="71" s="1"/>
  <c r="O64" i="71"/>
  <c r="D80" i="71"/>
  <c r="D71" i="71"/>
  <c r="D84" i="71"/>
  <c r="C83" i="71"/>
  <c r="D83" i="71" s="1"/>
  <c r="C75" i="71"/>
  <c r="D75" i="71" s="1"/>
  <c r="C29" i="71"/>
  <c r="T29" i="71" s="1"/>
  <c r="D2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F21" i="21"/>
  <c r="AA21" i="21" s="1"/>
  <c r="D81" i="21"/>
  <c r="G20" i="20"/>
  <c r="B86" i="79" s="1"/>
  <c r="B86" i="43"/>
  <c r="C22" i="20"/>
  <c r="B75" i="43"/>
  <c r="B55" i="43"/>
  <c r="B66" i="43"/>
  <c r="C25" i="40"/>
  <c r="C29" i="39"/>
  <c r="S29" i="39"/>
  <c r="S18" i="36"/>
  <c r="U18" i="36"/>
  <c r="H25" i="40"/>
  <c r="AB25" i="40" s="1"/>
  <c r="J25" i="40"/>
  <c r="H29" i="39"/>
  <c r="AB29" i="39" s="1"/>
  <c r="J29" i="39"/>
  <c r="AC29" i="39" s="1"/>
  <c r="J18" i="36"/>
  <c r="AC18" i="36" s="1"/>
  <c r="H18" i="35"/>
  <c r="AB18" i="35" s="1"/>
  <c r="S18" i="35"/>
  <c r="J18" i="35"/>
  <c r="AC18" i="35" s="1"/>
  <c r="H21" i="37"/>
  <c r="AB21" i="37" s="1"/>
  <c r="F21" i="37"/>
  <c r="AA21" i="37" s="1"/>
  <c r="H21" i="34"/>
  <c r="AB21" i="34" s="1"/>
  <c r="H21" i="33"/>
  <c r="F21" i="33"/>
  <c r="E83" i="21"/>
  <c r="F83" i="21" s="1"/>
  <c r="G83" i="21" s="1"/>
  <c r="S21" i="21"/>
  <c r="H1" i="69"/>
  <c r="AC25" i="40"/>
  <c r="W25" i="40"/>
  <c r="U25" i="40"/>
  <c r="W29" i="39"/>
  <c r="U21" i="37"/>
  <c r="S21" i="37"/>
  <c r="U21" i="34"/>
  <c r="AA21" i="33"/>
  <c r="S21" i="33"/>
  <c r="U18" i="35"/>
  <c r="W18" i="35"/>
  <c r="J21" i="37"/>
  <c r="AC21" i="37" s="1"/>
  <c r="J21" i="34"/>
  <c r="AC21" i="34" s="1"/>
  <c r="J21" i="33"/>
  <c r="H21" i="21"/>
  <c r="AB21" i="21" s="1"/>
  <c r="F38" i="69"/>
  <c r="E37" i="69"/>
  <c r="F36" i="69"/>
  <c r="F35" i="69"/>
  <c r="F21" i="69"/>
  <c r="F40" i="69" s="1"/>
  <c r="F20" i="69"/>
  <c r="F39" i="69" s="1"/>
  <c r="E10" i="69"/>
  <c r="E9" i="69"/>
  <c r="C7" i="69"/>
  <c r="W21" i="37"/>
  <c r="U21"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F99" i="43"/>
  <c r="F108" i="43" s="1"/>
  <c r="G99" i="43"/>
  <c r="G108" i="43" s="1"/>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H9" i="34"/>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79" s="1"/>
  <c r="B88" i="43"/>
  <c r="G19" i="20"/>
  <c r="B85" i="79" s="1"/>
  <c r="B85" i="43"/>
  <c r="G16" i="20"/>
  <c r="B82" i="79" s="1"/>
  <c r="B82" i="43"/>
  <c r="G15" i="20"/>
  <c r="B81" i="79" s="1"/>
  <c r="B81" i="43"/>
  <c r="C24" i="20"/>
  <c r="B73" i="43"/>
  <c r="C21" i="20"/>
  <c r="B74" i="43"/>
  <c r="C20" i="20"/>
  <c r="B77" i="43"/>
  <c r="C18" i="20"/>
  <c r="B71" i="43"/>
  <c r="C17" i="20"/>
  <c r="B59" i="79" s="1"/>
  <c r="B59" i="43"/>
  <c r="C16" i="20"/>
  <c r="C17" i="39"/>
  <c r="C15" i="20"/>
  <c r="B70" i="79" s="1"/>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H44" i="21" s="1"/>
  <c r="B98" i="21"/>
  <c r="H31" i="21" s="1"/>
  <c r="AB31" i="21" s="1"/>
  <c r="B96" i="21"/>
  <c r="B94" i="21"/>
  <c r="J29" i="21" s="1"/>
  <c r="AC29" i="21" s="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S41" i="21"/>
  <c r="AA41" i="21"/>
  <c r="F45" i="39"/>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U31" i="36"/>
  <c r="J33" i="36"/>
  <c r="W33" i="36" s="1"/>
  <c r="H22" i="35"/>
  <c r="AB22" i="35" s="1"/>
  <c r="AC27" i="35"/>
  <c r="W28" i="35"/>
  <c r="S34" i="35"/>
  <c r="W22" i="35"/>
  <c r="S31" i="35"/>
  <c r="F36" i="34"/>
  <c r="S36" i="34" s="1"/>
  <c r="J35" i="34"/>
  <c r="W9" i="34"/>
  <c r="U34" i="34"/>
  <c r="H39" i="33"/>
  <c r="AB39" i="33"/>
  <c r="U33" i="33"/>
  <c r="S40" i="33"/>
  <c r="W39"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S27" i="39" s="1"/>
  <c r="F11" i="21"/>
  <c r="S11" i="21" s="1"/>
  <c r="S40" i="21"/>
  <c r="U34" i="21"/>
  <c r="C25" i="39"/>
  <c r="C27" i="39"/>
  <c r="C21" i="39"/>
  <c r="H11" i="39"/>
  <c r="S40" i="39"/>
  <c r="C15" i="39"/>
  <c r="H32" i="33"/>
  <c r="AB32" i="33" s="1"/>
  <c r="H11" i="21"/>
  <c r="J11" i="21"/>
  <c r="W11" i="21" s="1"/>
  <c r="H37" i="40"/>
  <c r="H36" i="40"/>
  <c r="AB36" i="40" s="1"/>
  <c r="F35" i="40"/>
  <c r="AA35" i="40" s="1"/>
  <c r="H23" i="40"/>
  <c r="AB23" i="40" s="1"/>
  <c r="H17" i="40"/>
  <c r="J15" i="40"/>
  <c r="W15" i="40" s="1"/>
  <c r="J11" i="40"/>
  <c r="AB8" i="39"/>
  <c r="AC12" i="34"/>
  <c r="AB12" i="35"/>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F28" i="34"/>
  <c r="F27" i="34"/>
  <c r="F25" i="34"/>
  <c r="S25" i="34" s="1"/>
  <c r="H23" i="34"/>
  <c r="J23" i="34"/>
  <c r="F19" i="34"/>
  <c r="H17" i="34"/>
  <c r="U17" i="34" s="1"/>
  <c r="F15" i="34"/>
  <c r="J15" i="34"/>
  <c r="H15" i="34"/>
  <c r="AB15" i="34" s="1"/>
  <c r="S9" i="34"/>
  <c r="W8" i="34"/>
  <c r="J28" i="34"/>
  <c r="W28" i="34" s="1"/>
  <c r="F41" i="33"/>
  <c r="S38" i="33"/>
  <c r="F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F29" i="35"/>
  <c r="S29" i="35" s="1"/>
  <c r="H29" i="35"/>
  <c r="H33" i="37"/>
  <c r="AB33" i="37" s="1"/>
  <c r="F33" i="37"/>
  <c r="AA33" i="37" s="1"/>
  <c r="U34" i="37"/>
  <c r="S34" i="37"/>
  <c r="AA34" i="37"/>
  <c r="J43" i="34"/>
  <c r="AB42" i="34"/>
  <c r="J40" i="34"/>
  <c r="H38" i="34"/>
  <c r="AB38" i="34"/>
  <c r="J36" i="34"/>
  <c r="W36" i="34"/>
  <c r="H37" i="34"/>
  <c r="U37" i="34"/>
  <c r="H25" i="34"/>
  <c r="AB25" i="34"/>
  <c r="J25" i="34"/>
  <c r="AC25" i="34"/>
  <c r="F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c r="J11" i="33"/>
  <c r="W11" i="33"/>
  <c r="U23" i="40"/>
  <c r="J42" i="21"/>
  <c r="AC42" i="21" s="1"/>
  <c r="H42" i="21"/>
  <c r="U42" i="21" s="1"/>
  <c r="J44" i="34"/>
  <c r="W44" i="34" s="1"/>
  <c r="F44" i="34"/>
  <c r="AA44" i="34" s="1"/>
  <c r="J10" i="35"/>
  <c r="W10" i="35" s="1"/>
  <c r="J14" i="21"/>
  <c r="W14" i="21" s="1"/>
  <c r="F14" i="21"/>
  <c r="H14" i="21"/>
  <c r="U14" i="21" s="1"/>
  <c r="H28" i="21"/>
  <c r="F28" i="21"/>
  <c r="AA28" i="21" s="1"/>
  <c r="J28" i="21"/>
  <c r="H30" i="21"/>
  <c r="F30" i="21"/>
  <c r="S30" i="21" s="1"/>
  <c r="J30" i="21"/>
  <c r="AC30" i="21" s="1"/>
  <c r="J44" i="21"/>
  <c r="AC44" i="21" s="1"/>
  <c r="H46" i="21"/>
  <c r="U46" i="21" s="1"/>
  <c r="J46" i="21"/>
  <c r="W46" i="21" s="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F27" i="21"/>
  <c r="AA27" i="21" s="1"/>
  <c r="H29" i="2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AC13" i="36" s="1"/>
  <c r="F13" i="36"/>
  <c r="S13" i="36" s="1"/>
  <c r="G89" i="37"/>
  <c r="H89" i="37" s="1"/>
  <c r="I89" i="37" s="1"/>
  <c r="J89" i="37" s="1"/>
  <c r="K89" i="37" s="1"/>
  <c r="L89" i="37" s="1"/>
  <c r="M89" i="37" s="1"/>
  <c r="J29" i="37"/>
  <c r="W29" i="37"/>
  <c r="F29" i="37"/>
  <c r="S29" i="37"/>
  <c r="H36" i="37"/>
  <c r="AB36" i="37" s="1"/>
  <c r="J37" i="37"/>
  <c r="AC37" i="37" s="1"/>
  <c r="H37" i="37"/>
  <c r="U37" i="37" s="1"/>
  <c r="H30" i="33"/>
  <c r="AB30" i="33" s="1"/>
  <c r="F30" i="33"/>
  <c r="H44" i="33"/>
  <c r="AB44" i="33" s="1"/>
  <c r="F29" i="34"/>
  <c r="S29" i="34" s="1"/>
  <c r="H29" i="34"/>
  <c r="J31" i="34"/>
  <c r="H31" i="34"/>
  <c r="F31" i="34"/>
  <c r="S31" i="34" s="1"/>
  <c r="H45" i="34"/>
  <c r="J45" i="34"/>
  <c r="W45" i="34" s="1"/>
  <c r="F45" i="34"/>
  <c r="S45" i="34" s="1"/>
  <c r="H47" i="34"/>
  <c r="U47" i="34" s="1"/>
  <c r="F47" i="34"/>
  <c r="S47" i="34" s="1"/>
  <c r="J47" i="34"/>
  <c r="AC47" i="34" s="1"/>
  <c r="F13" i="35"/>
  <c r="J13" i="35"/>
  <c r="AC13" i="35" s="1"/>
  <c r="H13" i="35"/>
  <c r="U13" i="35" s="1"/>
  <c r="J25" i="35"/>
  <c r="W25" i="35" s="1"/>
  <c r="F25" i="35"/>
  <c r="H25" i="35"/>
  <c r="AB25" i="35" s="1"/>
  <c r="J35" i="35"/>
  <c r="F35" i="35"/>
  <c r="AA35" i="35" s="1"/>
  <c r="H35" i="35"/>
  <c r="J25" i="36"/>
  <c r="W25" i="36" s="1"/>
  <c r="F25" i="36"/>
  <c r="S25" i="36" s="1"/>
  <c r="H25" i="36"/>
  <c r="AB25" i="36" s="1"/>
  <c r="H13" i="37"/>
  <c r="AB13" i="37" s="1"/>
  <c r="F13" i="37"/>
  <c r="S13" i="37" s="1"/>
  <c r="J13" i="37"/>
  <c r="F28" i="37"/>
  <c r="AA28" i="37" s="1"/>
  <c r="J28" i="37"/>
  <c r="H28" i="37"/>
  <c r="U28" i="37" s="1"/>
  <c r="H38" i="37"/>
  <c r="AB38" i="37" s="1"/>
  <c r="J38" i="37"/>
  <c r="AC38" i="37" s="1"/>
  <c r="F38" i="37"/>
  <c r="S38" i="37" s="1"/>
  <c r="F43" i="39"/>
  <c r="AA43" i="39" s="1"/>
  <c r="H43" i="39"/>
  <c r="AB43" i="39" s="1"/>
  <c r="H14" i="39"/>
  <c r="F12" i="40"/>
  <c r="S12" i="40" s="1"/>
  <c r="H12" i="40"/>
  <c r="H30" i="40"/>
  <c r="AB30" i="40" s="1"/>
  <c r="F33" i="40"/>
  <c r="H33" i="40"/>
  <c r="U33" i="40" s="1"/>
  <c r="J35" i="40"/>
  <c r="AC35" i="40" s="1"/>
  <c r="J37" i="40"/>
  <c r="AC37" i="40" s="1"/>
  <c r="F13" i="40"/>
  <c r="AA13" i="40" s="1"/>
  <c r="F14" i="37"/>
  <c r="S14" i="37" s="1"/>
  <c r="F27" i="37"/>
  <c r="F13" i="39"/>
  <c r="J13" i="39"/>
  <c r="W13" i="39"/>
  <c r="H13" i="39"/>
  <c r="H14" i="40"/>
  <c r="AB14" i="40" s="1"/>
  <c r="J14" i="40"/>
  <c r="F14" i="40"/>
  <c r="AA14" i="40" s="1"/>
  <c r="J14" i="37"/>
  <c r="AC14" i="37" s="1"/>
  <c r="J36" i="37"/>
  <c r="AC36" i="37" s="1"/>
  <c r="AB11" i="35"/>
  <c r="J10" i="36"/>
  <c r="AC10" i="36" s="1"/>
  <c r="AA14" i="37"/>
  <c r="W13" i="36"/>
  <c r="AB46" i="34"/>
  <c r="AA14" i="34"/>
  <c r="AB45" i="33"/>
  <c r="U31" i="33"/>
  <c r="U13" i="33"/>
  <c r="BA586" i="3"/>
  <c r="F17" i="21"/>
  <c r="H17" i="21"/>
  <c r="AB17" i="21" s="1"/>
  <c r="F15" i="21"/>
  <c r="S15" i="21" s="1"/>
  <c r="J41" i="39"/>
  <c r="W41" i="39" s="1"/>
  <c r="W44" i="39"/>
  <c r="W35" i="39"/>
  <c r="S35" i="39"/>
  <c r="G544" i="3"/>
  <c r="G531" i="3"/>
  <c r="G518" i="3"/>
  <c r="G504" i="3"/>
  <c r="G584" i="3"/>
  <c r="G580" i="3"/>
  <c r="G572" i="3"/>
  <c r="G568" i="3"/>
  <c r="G564" i="3"/>
  <c r="G554" i="3"/>
  <c r="BL584" i="3"/>
  <c r="BL576" i="3"/>
  <c r="BL572" i="3"/>
  <c r="BL568" i="3"/>
  <c r="BL560" i="3"/>
  <c r="BL554" i="3"/>
  <c r="BL546" i="3"/>
  <c r="BL542" i="3"/>
  <c r="BL522" i="3"/>
  <c r="BL502" i="3"/>
  <c r="BL582" i="3"/>
  <c r="BL578" i="3"/>
  <c r="BL570" i="3"/>
  <c r="BL566" i="3"/>
  <c r="BL562" i="3"/>
  <c r="BL556" i="3"/>
  <c r="BL552" i="3"/>
  <c r="BL544" i="3"/>
  <c r="BL540" i="3"/>
  <c r="G529" i="3"/>
  <c r="BL518" i="3"/>
  <c r="BL500" i="3"/>
  <c r="BA584" i="3"/>
  <c r="BA582" i="3"/>
  <c r="AZ582" i="3" s="1"/>
  <c r="BA580" i="3"/>
  <c r="BA578" i="3"/>
  <c r="AZ578" i="3" s="1"/>
  <c r="BA576" i="3"/>
  <c r="BA574" i="3"/>
  <c r="BA572" i="3"/>
  <c r="AZ572" i="3" s="1"/>
  <c r="BA570" i="3"/>
  <c r="BA568" i="3"/>
  <c r="BA566" i="3"/>
  <c r="AZ566" i="3" s="1"/>
  <c r="BA564" i="3"/>
  <c r="BA562" i="3"/>
  <c r="BA560" i="3"/>
  <c r="AZ560" i="3" s="1"/>
  <c r="BA558" i="3"/>
  <c r="AZ558" i="3" s="1"/>
  <c r="BA556" i="3"/>
  <c r="AZ556" i="3" s="1"/>
  <c r="BA554" i="3"/>
  <c r="AZ554" i="3" s="1"/>
  <c r="BA552" i="3"/>
  <c r="AZ552" i="3" s="1"/>
  <c r="BA548" i="3"/>
  <c r="BA546" i="3"/>
  <c r="AZ546" i="3" s="1"/>
  <c r="BA544" i="3"/>
  <c r="AZ544" i="3" s="1"/>
  <c r="BA542" i="3"/>
  <c r="AZ542" i="3" s="1"/>
  <c r="BA528" i="3"/>
  <c r="BA526" i="3"/>
  <c r="BA524" i="3"/>
  <c r="BA522" i="3"/>
  <c r="BA518" i="3"/>
  <c r="AZ518" i="3" s="1"/>
  <c r="BA516" i="3"/>
  <c r="BA514" i="3"/>
  <c r="BA506" i="3"/>
  <c r="BA500" i="3"/>
  <c r="BA494" i="3"/>
  <c r="BA587" i="3"/>
  <c r="BA583" i="3"/>
  <c r="BA581" i="3"/>
  <c r="BA579" i="3"/>
  <c r="BA577" i="3"/>
  <c r="BA575" i="3"/>
  <c r="BA573" i="3"/>
  <c r="BA571" i="3"/>
  <c r="BA569" i="3"/>
  <c r="BA567" i="3"/>
  <c r="BA565" i="3"/>
  <c r="BA563" i="3"/>
  <c r="BA561" i="3"/>
  <c r="BA559" i="3"/>
  <c r="BA555" i="3"/>
  <c r="BA553" i="3"/>
  <c r="BA547" i="3"/>
  <c r="BA545"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BQ541" i="3"/>
  <c r="BQ539" i="3"/>
  <c r="BQ537" i="3"/>
  <c r="BL537" i="3" s="1"/>
  <c r="BQ535" i="3"/>
  <c r="BQ533" i="3"/>
  <c r="BL533" i="3"/>
  <c r="BQ531" i="3"/>
  <c r="BQ529" i="3"/>
  <c r="BL529" i="3" s="1"/>
  <c r="BQ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s="1"/>
  <c r="J43" i="33"/>
  <c r="U43" i="33"/>
  <c r="S28" i="31"/>
  <c r="S27" i="31"/>
  <c r="S26" i="31"/>
  <c r="AC32" i="36"/>
  <c r="AC33" i="36"/>
  <c r="AA12" i="35"/>
  <c r="W14" i="37"/>
  <c r="AB28" i="37"/>
  <c r="U33" i="37"/>
  <c r="W26" i="37"/>
  <c r="AC8" i="37"/>
  <c r="U26" i="37"/>
  <c r="W47" i="34"/>
  <c r="W37" i="34"/>
  <c r="AB37" i="34"/>
  <c r="AC36" i="34"/>
  <c r="AC31" i="33"/>
  <c r="U11" i="33"/>
  <c r="U19" i="21"/>
  <c r="W44" i="21"/>
  <c r="AC46" i="21"/>
  <c r="AB38" i="21"/>
  <c r="F43" i="33"/>
  <c r="AA43" i="33"/>
  <c r="W15" i="34"/>
  <c r="AC15" i="34"/>
  <c r="W16" i="35"/>
  <c r="H37" i="21"/>
  <c r="U37" i="21" s="1"/>
  <c r="S42" i="21"/>
  <c r="H19" i="34"/>
  <c r="AB19" i="34" s="1"/>
  <c r="F36" i="35"/>
  <c r="S36" i="35" s="1"/>
  <c r="J9" i="37"/>
  <c r="W9" i="37" s="1"/>
  <c r="H9" i="37"/>
  <c r="AB9" i="37" s="1"/>
  <c r="F9" i="37"/>
  <c r="S9" i="37" s="1"/>
  <c r="E71" i="37"/>
  <c r="F71" i="37" s="1"/>
  <c r="G71" i="37" s="1"/>
  <c r="F15" i="37"/>
  <c r="E94" i="37"/>
  <c r="F94" i="37" s="1"/>
  <c r="G94" i="37" s="1"/>
  <c r="H94" i="37" s="1"/>
  <c r="I94" i="37" s="1"/>
  <c r="J94" i="37" s="1"/>
  <c r="K94" i="37" s="1"/>
  <c r="L94" i="37" s="1"/>
  <c r="M94" i="37" s="1"/>
  <c r="F31" i="37"/>
  <c r="S31" i="37"/>
  <c r="F12" i="39"/>
  <c r="S12" i="39"/>
  <c r="J42" i="39"/>
  <c r="AC42" i="39"/>
  <c r="H21" i="40"/>
  <c r="AB21" i="40"/>
  <c r="H31" i="37"/>
  <c r="J15" i="37"/>
  <c r="AT6" i="3"/>
  <c r="C12" i="43"/>
  <c r="H19" i="40"/>
  <c r="U19" i="40"/>
  <c r="F19" i="40"/>
  <c r="S19" i="40"/>
  <c r="AC13" i="40"/>
  <c r="W23" i="39"/>
  <c r="W43" i="39"/>
  <c r="AB45" i="39"/>
  <c r="U44" i="39"/>
  <c r="H37" i="39"/>
  <c r="AC37" i="39"/>
  <c r="H25" i="39"/>
  <c r="J25" i="39"/>
  <c r="AC25" i="39" s="1"/>
  <c r="F25" i="39"/>
  <c r="AA25" i="39" s="1"/>
  <c r="F15" i="39"/>
  <c r="AA15" i="39" s="1"/>
  <c r="H15" i="39"/>
  <c r="U15" i="39" s="1"/>
  <c r="J15" i="39"/>
  <c r="W15" i="39" s="1"/>
  <c r="H41" i="39"/>
  <c r="W27" i="39"/>
  <c r="AB34" i="39"/>
  <c r="U40" i="39"/>
  <c r="S42" i="39"/>
  <c r="AA41" i="39"/>
  <c r="W9" i="39"/>
  <c r="W8" i="39"/>
  <c r="J19" i="40"/>
  <c r="J50" i="40"/>
  <c r="H103" i="9"/>
  <c r="B16" i="53"/>
  <c r="B33" i="72" s="1"/>
  <c r="C7" i="37"/>
  <c r="C7" i="34"/>
  <c r="C59" i="34" s="1"/>
  <c r="D59" i="34" s="1"/>
  <c r="E59" i="34" s="1"/>
  <c r="F59" i="34" s="1"/>
  <c r="G59" i="34" s="1"/>
  <c r="H59" i="34" s="1"/>
  <c r="C7" i="36"/>
  <c r="W35" i="40"/>
  <c r="A118" i="9"/>
  <c r="A4" i="52"/>
  <c r="B41" i="72" s="1"/>
  <c r="J11" i="39"/>
  <c r="F11" i="39"/>
  <c r="G4" i="4"/>
  <c r="I4" i="4"/>
  <c r="A2" i="9"/>
  <c r="AZ20" i="3"/>
  <c r="AZ32"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AZ200" i="3" s="1"/>
  <c r="G201" i="3"/>
  <c r="BA203" i="3"/>
  <c r="BL204" i="3"/>
  <c r="AZ204" i="3" s="1"/>
  <c r="AZ39" i="3"/>
  <c r="AZ43" i="3"/>
  <c r="AZ47" i="3"/>
  <c r="AZ59" i="3"/>
  <c r="AZ63" i="3"/>
  <c r="AZ75" i="3"/>
  <c r="AZ79" i="3"/>
  <c r="AZ152" i="3"/>
  <c r="AZ168" i="3"/>
  <c r="AZ184" i="3"/>
  <c r="AZ89" i="3"/>
  <c r="AZ97" i="3"/>
  <c r="AZ105" i="3"/>
  <c r="AZ109" i="3"/>
  <c r="AZ120" i="3"/>
  <c r="AZ128" i="3"/>
  <c r="G534" i="3"/>
  <c r="G522" i="3"/>
  <c r="G512" i="3"/>
  <c r="G498"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AZ383" i="3" s="1"/>
  <c r="BL384" i="3"/>
  <c r="AZ384" i="3" s="1"/>
  <c r="G385" i="3"/>
  <c r="BA387" i="3"/>
  <c r="BL388" i="3"/>
  <c r="G389" i="3"/>
  <c r="BA391" i="3"/>
  <c r="AZ391" i="3" s="1"/>
  <c r="BL392" i="3"/>
  <c r="AZ392" i="3" s="1"/>
  <c r="G393" i="3"/>
  <c r="AZ263" i="3"/>
  <c r="AZ279" i="3"/>
  <c r="AZ283" i="3"/>
  <c r="AZ291" i="3"/>
  <c r="BO5" i="3"/>
  <c r="BH5" i="3"/>
  <c r="BD5" i="3"/>
  <c r="AZ333" i="3"/>
  <c r="G548" i="3"/>
  <c r="G538" i="3"/>
  <c r="G502" i="3"/>
  <c r="BP5" i="3"/>
  <c r="AZ343" i="3"/>
  <c r="BI5" i="3"/>
  <c r="BE5" i="3"/>
  <c r="G17" i="3"/>
  <c r="BA17" i="3"/>
  <c r="BT5" i="3"/>
  <c r="AZ350" i="3"/>
  <c r="AZ360" i="3"/>
  <c r="AZ368" i="3"/>
  <c r="BA15" i="3"/>
  <c r="BR5" i="3"/>
  <c r="G28" i="6" s="1"/>
  <c r="AZ388" i="3"/>
  <c r="AZ499" i="3"/>
  <c r="G509" i="3"/>
  <c r="AZ390" i="3"/>
  <c r="U36" i="40"/>
  <c r="F36" i="43"/>
  <c r="F81" i="43"/>
  <c r="H83" i="43" s="1"/>
  <c r="H113" i="43"/>
  <c r="F48" i="43"/>
  <c r="H50" i="43" s="1"/>
  <c r="F70" i="43"/>
  <c r="H71" i="43" s="1"/>
  <c r="D17" i="43"/>
  <c r="F39" i="43"/>
  <c r="I17" i="43"/>
  <c r="F35" i="43"/>
  <c r="J17" i="43"/>
  <c r="F6" i="1"/>
  <c r="U17" i="39"/>
  <c r="S14" i="35"/>
  <c r="U35" i="21"/>
  <c r="U10" i="21"/>
  <c r="G9" i="1"/>
  <c r="G10" i="1"/>
  <c r="AZ563" i="3"/>
  <c r="W37" i="37"/>
  <c r="AC44" i="34"/>
  <c r="AA12" i="40"/>
  <c r="J37" i="33"/>
  <c r="W37" i="33" s="1"/>
  <c r="AC17" i="34"/>
  <c r="F106" i="33"/>
  <c r="G106" i="33" s="1"/>
  <c r="H106" i="33" s="1"/>
  <c r="I106" i="33" s="1"/>
  <c r="J106" i="33" s="1"/>
  <c r="K106" i="33" s="1"/>
  <c r="L106" i="33" s="1"/>
  <c r="M106" i="33" s="1"/>
  <c r="J34" i="33"/>
  <c r="W34" i="33" s="1"/>
  <c r="F33" i="34"/>
  <c r="S33" i="34" s="1"/>
  <c r="H20" i="36"/>
  <c r="U20" i="36" s="1"/>
  <c r="J20" i="36"/>
  <c r="J27" i="36"/>
  <c r="W27" i="36" s="1"/>
  <c r="AC33" i="40"/>
  <c r="G111" i="40"/>
  <c r="H111" i="40" s="1"/>
  <c r="I111" i="40"/>
  <c r="J111" i="40" s="1"/>
  <c r="K111" i="40" s="1"/>
  <c r="L111" i="40" s="1"/>
  <c r="M111" i="40" s="1"/>
  <c r="H35" i="40"/>
  <c r="AB35" i="40" s="1"/>
  <c r="AC29" i="35"/>
  <c r="W29" i="35"/>
  <c r="H35" i="37"/>
  <c r="U35" i="37" s="1"/>
  <c r="AC14" i="35"/>
  <c r="H20" i="35"/>
  <c r="F20" i="35"/>
  <c r="AA20" i="35" s="1"/>
  <c r="AB29" i="36"/>
  <c r="U29" i="36"/>
  <c r="H32" i="37"/>
  <c r="AB32" i="37"/>
  <c r="F96" i="37"/>
  <c r="H27" i="40"/>
  <c r="J27" i="40"/>
  <c r="AC27" i="40" s="1"/>
  <c r="F27" i="40"/>
  <c r="J30" i="40"/>
  <c r="F30" i="40"/>
  <c r="AA30" i="40" s="1"/>
  <c r="AC21" i="40"/>
  <c r="S31" i="39"/>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F97" i="39"/>
  <c r="G97" i="39" s="1"/>
  <c r="AZ353" i="3"/>
  <c r="C40" i="11"/>
  <c r="AZ215" i="3"/>
  <c r="AZ227" i="3"/>
  <c r="AZ240" i="3"/>
  <c r="AZ243" i="3"/>
  <c r="AZ256" i="3"/>
  <c r="AZ259" i="3"/>
  <c r="AZ268" i="3"/>
  <c r="AZ280" i="3"/>
  <c r="AZ288" i="3"/>
  <c r="AZ114" i="3"/>
  <c r="AZ133" i="3"/>
  <c r="AZ29" i="3"/>
  <c r="AZ31" i="3"/>
  <c r="AZ33" i="3"/>
  <c r="AZ37" i="3"/>
  <c r="AZ42" i="3"/>
  <c r="AZ45" i="3"/>
  <c r="AZ58" i="3"/>
  <c r="AZ61" i="3"/>
  <c r="AZ77" i="3"/>
  <c r="AZ102"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O6" i="1" s="1"/>
  <c r="AC27" i="34"/>
  <c r="AB34" i="36"/>
  <c r="U34" i="36"/>
  <c r="AB33" i="36"/>
  <c r="U33" i="36"/>
  <c r="AC12" i="39"/>
  <c r="W12" i="39"/>
  <c r="AC39" i="40"/>
  <c r="W39" i="40"/>
  <c r="AZ401" i="3"/>
  <c r="AZ417" i="3"/>
  <c r="AZ433" i="3"/>
  <c r="AZ465" i="3"/>
  <c r="W12" i="33"/>
  <c r="AC12" i="33"/>
  <c r="AA32" i="36"/>
  <c r="S32" i="36"/>
  <c r="AZ408" i="3"/>
  <c r="AZ457" i="3"/>
  <c r="AZ473" i="3"/>
  <c r="AA39" i="34"/>
  <c r="BL14" i="3"/>
  <c r="AZ266" i="3"/>
  <c r="U30" i="33"/>
  <c r="AA47" i="34"/>
  <c r="S19" i="39"/>
  <c r="F12" i="33"/>
  <c r="H12" i="39"/>
  <c r="F39" i="40"/>
  <c r="AA39" i="40" s="1"/>
  <c r="BA14" i="3"/>
  <c r="AZ213" i="3"/>
  <c r="AZ224" i="3"/>
  <c r="AZ238" i="3"/>
  <c r="AZ254" i="3"/>
  <c r="AZ281" i="3"/>
  <c r="AZ286" i="3"/>
  <c r="AZ157" i="3"/>
  <c r="AZ173" i="3"/>
  <c r="AZ189" i="3"/>
  <c r="AZ35" i="3"/>
  <c r="AZ41" i="3"/>
  <c r="S12" i="1"/>
  <c r="AQ12" i="1" s="1"/>
  <c r="R12" i="1"/>
  <c r="B12" i="1"/>
  <c r="E12" i="1" s="1"/>
  <c r="S10" i="1"/>
  <c r="T10" i="1" s="1"/>
  <c r="R10" i="1"/>
  <c r="B10" i="1"/>
  <c r="E10" i="1" s="1"/>
  <c r="AZ107" i="3"/>
  <c r="AZ111" i="3"/>
  <c r="K12" i="1"/>
  <c r="M12" i="1" s="1"/>
  <c r="O12" i="1" s="1"/>
  <c r="S13" i="1"/>
  <c r="AQ13" i="1" s="1"/>
  <c r="R13" i="1"/>
  <c r="S11" i="1"/>
  <c r="AQ11" i="1" s="1"/>
  <c r="R11" i="1"/>
  <c r="S9" i="1"/>
  <c r="AR9" i="1" s="1"/>
  <c r="R9" i="1"/>
  <c r="J51" i="67"/>
  <c r="C42" i="1"/>
  <c r="C13" i="12" s="1"/>
  <c r="H100" i="43"/>
  <c r="B41" i="1"/>
  <c r="J100" i="43"/>
  <c r="S35" i="40"/>
  <c r="U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AB27" i="39"/>
  <c r="S25" i="39"/>
  <c r="J21" i="39"/>
  <c r="F21" i="39"/>
  <c r="AA21" i="39" s="1"/>
  <c r="H21" i="39"/>
  <c r="AB21" i="39" s="1"/>
  <c r="W19" i="39"/>
  <c r="U19" i="39"/>
  <c r="S17" i="39"/>
  <c r="AC15" i="39"/>
  <c r="S15" i="39"/>
  <c r="AB15" i="39"/>
  <c r="AA12" i="39"/>
  <c r="S9" i="39"/>
  <c r="AC13" i="39"/>
  <c r="U13" i="36"/>
  <c r="AC27" i="36"/>
  <c r="U26" i="36"/>
  <c r="S27" i="36"/>
  <c r="AA34" i="36"/>
  <c r="S29" i="36"/>
  <c r="AC26" i="36"/>
  <c r="W14" i="36"/>
  <c r="AB14" i="36"/>
  <c r="U22" i="36"/>
  <c r="S16" i="36"/>
  <c r="AA25" i="36"/>
  <c r="AB20" i="36"/>
  <c r="U16" i="36"/>
  <c r="U10" i="36"/>
  <c r="W10" i="36"/>
  <c r="W24" i="35"/>
  <c r="AB13" i="35"/>
  <c r="U28" i="35"/>
  <c r="AB27" i="35"/>
  <c r="U36" i="35"/>
  <c r="AA33" i="35"/>
  <c r="AC30" i="35"/>
  <c r="S32" i="35"/>
  <c r="AA36" i="35"/>
  <c r="W32" i="35"/>
  <c r="S28" i="35"/>
  <c r="AB16" i="35"/>
  <c r="U22" i="35"/>
  <c r="S20" i="35"/>
  <c r="AC20" i="35"/>
  <c r="S22" i="35"/>
  <c r="U14" i="35"/>
  <c r="AC10" i="35"/>
  <c r="AB10" i="35"/>
  <c r="AA11" i="35"/>
  <c r="S8" i="35"/>
  <c r="AC12" i="35"/>
  <c r="W13" i="35"/>
  <c r="H9" i="35"/>
  <c r="AB9" i="35" s="1"/>
  <c r="F26" i="35"/>
  <c r="AA26" i="35" s="1"/>
  <c r="J26" i="35"/>
  <c r="H26" i="35"/>
  <c r="U26" i="35" s="1"/>
  <c r="S25" i="37"/>
  <c r="S26" i="37"/>
  <c r="AC9" i="37"/>
  <c r="AC29" i="37"/>
  <c r="U29" i="37"/>
  <c r="S32" i="37"/>
  <c r="W30" i="37"/>
  <c r="AA38" i="37"/>
  <c r="U32" i="37"/>
  <c r="W38" i="37"/>
  <c r="S30" i="37"/>
  <c r="S37" i="37"/>
  <c r="J17" i="37"/>
  <c r="W17" i="37" s="1"/>
  <c r="G73" i="37"/>
  <c r="F17" i="37"/>
  <c r="AA17" i="37" s="1"/>
  <c r="F75" i="37"/>
  <c r="G75" i="37" s="1"/>
  <c r="F19" i="37"/>
  <c r="F79" i="37"/>
  <c r="F23" i="37"/>
  <c r="S23" i="37"/>
  <c r="U15" i="37"/>
  <c r="U9" i="37"/>
  <c r="AA13" i="37"/>
  <c r="AA9" i="37"/>
  <c r="H10" i="37"/>
  <c r="AB10" i="37" s="1"/>
  <c r="F63" i="37"/>
  <c r="G63" i="37" s="1"/>
  <c r="F11" i="37"/>
  <c r="S11" i="37"/>
  <c r="W25" i="34"/>
  <c r="AB8" i="34"/>
  <c r="AA33" i="34"/>
  <c r="U43" i="34"/>
  <c r="W41" i="34"/>
  <c r="AC42" i="34"/>
  <c r="AB35" i="34"/>
  <c r="S43" i="34"/>
  <c r="AA45" i="34"/>
  <c r="AA25" i="34"/>
  <c r="S17" i="34"/>
  <c r="AA29" i="34"/>
  <c r="U27" i="34"/>
  <c r="U15" i="34"/>
  <c r="H67" i="34"/>
  <c r="H10" i="34"/>
  <c r="AB10" i="34" s="1"/>
  <c r="F11" i="34"/>
  <c r="S11" i="34"/>
  <c r="W42" i="33"/>
  <c r="S27"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H27" i="33"/>
  <c r="U27" i="33" s="1"/>
  <c r="F87" i="33"/>
  <c r="H25" i="33"/>
  <c r="U25" i="33" s="1"/>
  <c r="F25" i="33"/>
  <c r="J23" i="33"/>
  <c r="AC23" i="33" s="1"/>
  <c r="F85" i="33"/>
  <c r="H23" i="33"/>
  <c r="AB23" i="33" s="1"/>
  <c r="F81" i="33"/>
  <c r="F19" i="33"/>
  <c r="W19" i="33"/>
  <c r="J17" i="33"/>
  <c r="F79" i="33"/>
  <c r="S15" i="33"/>
  <c r="W15" i="33"/>
  <c r="I66" i="33"/>
  <c r="J10" i="33"/>
  <c r="H10" i="33"/>
  <c r="U10" i="33" s="1"/>
  <c r="AC11" i="33"/>
  <c r="W43" i="21"/>
  <c r="W41" i="21"/>
  <c r="AB39" i="21"/>
  <c r="AA43" i="21"/>
  <c r="S39" i="21"/>
  <c r="AA38" i="21"/>
  <c r="AC40" i="21"/>
  <c r="J15" i="21"/>
  <c r="W15" i="21"/>
  <c r="G77" i="21"/>
  <c r="F23" i="21"/>
  <c r="S23" i="21" s="1"/>
  <c r="E85" i="21"/>
  <c r="AC11" i="21"/>
  <c r="AB8" i="21"/>
  <c r="S8" i="21"/>
  <c r="M1" i="43"/>
  <c r="F34" i="67"/>
  <c r="F62" i="67" s="1"/>
  <c r="F34" i="15"/>
  <c r="F62" i="15" s="1"/>
  <c r="BA13" i="3"/>
  <c r="BL17" i="3"/>
  <c r="AZ17" i="3" s="1"/>
  <c r="BL13" i="3"/>
  <c r="J56" i="9"/>
  <c r="J57" i="9" s="1"/>
  <c r="J59" i="9" s="1"/>
  <c r="J61" i="9" s="1"/>
  <c r="A24" i="51"/>
  <c r="B18" i="72" s="1"/>
  <c r="E5" i="6"/>
  <c r="D9" i="11" s="1"/>
  <c r="C9" i="11" s="1"/>
  <c r="E32" i="6"/>
  <c r="L19" i="6"/>
  <c r="G1" i="68"/>
  <c r="K1" i="12"/>
  <c r="T12" i="1"/>
  <c r="E19" i="68"/>
  <c r="E1" i="73"/>
  <c r="G22" i="69"/>
  <c r="G22" i="68"/>
  <c r="G26" i="12"/>
  <c r="G22" i="11"/>
  <c r="C100" i="43"/>
  <c r="E11" i="43"/>
  <c r="E10" i="43"/>
  <c r="E9" i="43"/>
  <c r="E8" i="43"/>
  <c r="C7" i="43" s="1"/>
  <c r="E81" i="43"/>
  <c r="B79" i="43" s="1"/>
  <c r="E48" i="43"/>
  <c r="B46" i="43" s="1"/>
  <c r="E70" i="43"/>
  <c r="B68" i="43" s="1"/>
  <c r="F100" i="43"/>
  <c r="H17" i="43"/>
  <c r="H88" i="43"/>
  <c r="C17" i="43"/>
  <c r="F33" i="43"/>
  <c r="K17" i="43"/>
  <c r="F34" i="43"/>
  <c r="F38" i="43"/>
  <c r="F37" i="43"/>
  <c r="B19" i="53"/>
  <c r="B37" i="72" s="1"/>
  <c r="C7" i="39"/>
  <c r="C68" i="39" s="1"/>
  <c r="C7" i="35"/>
  <c r="C7" i="33"/>
  <c r="C58" i="33" s="1"/>
  <c r="C7" i="21"/>
  <c r="C58" i="21" s="1"/>
  <c r="C7" i="40"/>
  <c r="C63" i="40" s="1"/>
  <c r="M47" i="9"/>
  <c r="G19" i="43"/>
  <c r="O19" i="43" s="1"/>
  <c r="T35" i="4"/>
  <c r="A19" i="51" s="1"/>
  <c r="B14" i="72" s="1"/>
  <c r="C46" i="36"/>
  <c r="D46" i="36" s="1"/>
  <c r="C52" i="37"/>
  <c r="D52" i="37" s="1"/>
  <c r="C48" i="35"/>
  <c r="D48" i="35" s="1"/>
  <c r="C4" i="12"/>
  <c r="H56" i="43"/>
  <c r="L20" i="6"/>
  <c r="B6" i="1"/>
  <c r="E6" i="1" s="1"/>
  <c r="K11" i="1"/>
  <c r="M11" i="1" s="1"/>
  <c r="O11" i="1" s="1"/>
  <c r="AP6" i="1"/>
  <c r="B9" i="1"/>
  <c r="E9" i="1" s="1"/>
  <c r="G1" i="15"/>
  <c r="G1" i="69"/>
  <c r="G1" i="67"/>
  <c r="W23" i="40"/>
  <c r="AB31" i="40"/>
  <c r="S37" i="40"/>
  <c r="AB28" i="40"/>
  <c r="W34" i="40"/>
  <c r="W27" i="40"/>
  <c r="S36" i="40"/>
  <c r="W37" i="40"/>
  <c r="S13" i="40"/>
  <c r="AA15" i="40"/>
  <c r="U11" i="40"/>
  <c r="S31" i="40"/>
  <c r="U15" i="40"/>
  <c r="U8" i="40"/>
  <c r="S8" i="40"/>
  <c r="AA39" i="39"/>
  <c r="AC41" i="39"/>
  <c r="U42" i="39"/>
  <c r="AB23" i="39"/>
  <c r="U41" i="39"/>
  <c r="AB41" i="39"/>
  <c r="W25" i="39"/>
  <c r="U13" i="39"/>
  <c r="AB13" i="39"/>
  <c r="AA13" i="39"/>
  <c r="S13" i="39"/>
  <c r="U43" i="39"/>
  <c r="AB11" i="39"/>
  <c r="U11" i="39"/>
  <c r="AA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S33" i="33"/>
  <c r="U4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W33" i="21" s="1"/>
  <c r="H33" i="21"/>
  <c r="AB33" i="21" s="1"/>
  <c r="F37" i="21"/>
  <c r="AA37" i="21" s="1"/>
  <c r="AA26" i="21"/>
  <c r="AB14" i="21"/>
  <c r="AB46" i="21"/>
  <c r="U40" i="21"/>
  <c r="U31" i="21"/>
  <c r="AC15" i="21"/>
  <c r="W8"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AB25" i="21"/>
  <c r="AA30" i="21"/>
  <c r="W42" i="21"/>
  <c r="AC45" i="21"/>
  <c r="F10" i="21"/>
  <c r="S10" i="21" s="1"/>
  <c r="K145" i="21"/>
  <c r="AA29" i="21"/>
  <c r="W31" i="21"/>
  <c r="S27" i="21"/>
  <c r="AA15" i="21"/>
  <c r="AC27" i="21"/>
  <c r="AC26" i="21"/>
  <c r="S28" i="21"/>
  <c r="W10" i="21"/>
  <c r="AB36" i="21"/>
  <c r="C19" i="39"/>
  <c r="C15" i="40"/>
  <c r="C17" i="40"/>
  <c r="C23" i="40"/>
  <c r="C21" i="40"/>
  <c r="U30" i="40"/>
  <c r="B54" i="43"/>
  <c r="B65" i="43"/>
  <c r="B49" i="43"/>
  <c r="B52" i="43"/>
  <c r="B56" i="43"/>
  <c r="B60" i="43"/>
  <c r="B63" i="43"/>
  <c r="B67" i="43"/>
  <c r="D23" i="15"/>
  <c r="D22" i="15"/>
  <c r="E4" i="4"/>
  <c r="B5" i="62" s="1"/>
  <c r="B73" i="72" s="1"/>
  <c r="C4" i="4"/>
  <c r="F30" i="11"/>
  <c r="S39" i="40"/>
  <c r="S12" i="33"/>
  <c r="AA12" i="33"/>
  <c r="J32" i="39"/>
  <c r="W32" i="39" s="1"/>
  <c r="H32" i="39"/>
  <c r="AB32" i="39" s="1"/>
  <c r="S32" i="39"/>
  <c r="U21" i="39"/>
  <c r="S21" i="39"/>
  <c r="AC21" i="39"/>
  <c r="W21" i="39"/>
  <c r="S26" i="35"/>
  <c r="U9" i="35"/>
  <c r="AC26" i="35"/>
  <c r="W26" i="35"/>
  <c r="AB26" i="35"/>
  <c r="AC17" i="37"/>
  <c r="S17" i="37"/>
  <c r="J19" i="37"/>
  <c r="AC19" i="37" s="1"/>
  <c r="S19" i="37"/>
  <c r="AA19" i="37"/>
  <c r="AA23" i="37"/>
  <c r="J23" i="37"/>
  <c r="W23" i="37" s="1"/>
  <c r="G79" i="37"/>
  <c r="J10" i="37"/>
  <c r="W10" i="37" s="1"/>
  <c r="I60" i="37"/>
  <c r="H11" i="37"/>
  <c r="U11" i="37" s="1"/>
  <c r="U10" i="37"/>
  <c r="H11" i="34"/>
  <c r="U11" i="34" s="1"/>
  <c r="U10" i="34"/>
  <c r="J10" i="34"/>
  <c r="W10" i="34" s="1"/>
  <c r="I67" i="34"/>
  <c r="AB41" i="33"/>
  <c r="U41" i="33"/>
  <c r="W35" i="33"/>
  <c r="AC35" i="33"/>
  <c r="H111" i="33"/>
  <c r="I111" i="33" s="1"/>
  <c r="J111" i="33" s="1"/>
  <c r="K111" i="33" s="1"/>
  <c r="L111" i="33" s="1"/>
  <c r="M111" i="33" s="1"/>
  <c r="J36" i="33"/>
  <c r="H36" i="33"/>
  <c r="AB36" i="33" s="1"/>
  <c r="AA36" i="33"/>
  <c r="AC32" i="33"/>
  <c r="W32" i="33"/>
  <c r="AB27" i="33"/>
  <c r="H91" i="33"/>
  <c r="I91" i="33" s="1"/>
  <c r="J91" i="33" s="1"/>
  <c r="K91" i="33" s="1"/>
  <c r="L91" i="33" s="1"/>
  <c r="M91" i="33" s="1"/>
  <c r="J27" i="33"/>
  <c r="AC27" i="33" s="1"/>
  <c r="AB25" i="33"/>
  <c r="S25" i="33"/>
  <c r="AA25" i="33"/>
  <c r="G87" i="33"/>
  <c r="H87" i="33" s="1"/>
  <c r="I87" i="33" s="1"/>
  <c r="J87" i="33" s="1"/>
  <c r="K87" i="33" s="1"/>
  <c r="L87" i="33" s="1"/>
  <c r="M87" i="33" s="1"/>
  <c r="J25" i="33"/>
  <c r="AC25" i="33" s="1"/>
  <c r="U23" i="33"/>
  <c r="F23" i="33"/>
  <c r="S23" i="33" s="1"/>
  <c r="G85" i="33"/>
  <c r="W23" i="33"/>
  <c r="H19" i="33"/>
  <c r="U19" i="33" s="1"/>
  <c r="G81" i="33"/>
  <c r="G79" i="33"/>
  <c r="H17" i="33"/>
  <c r="U17" i="33" s="1"/>
  <c r="F17" i="33"/>
  <c r="S17" i="33" s="1"/>
  <c r="W17" i="33"/>
  <c r="AC17" i="33"/>
  <c r="AB10" i="33"/>
  <c r="AC10" i="33"/>
  <c r="W10" i="33"/>
  <c r="AC37" i="21"/>
  <c r="U33" i="21"/>
  <c r="S37" i="21"/>
  <c r="AA23" i="21"/>
  <c r="J23" i="21"/>
  <c r="W23" i="21" s="1"/>
  <c r="F85" i="21"/>
  <c r="G85" i="21"/>
  <c r="H23" i="21"/>
  <c r="S13" i="21"/>
  <c r="AP7" i="1"/>
  <c r="S33" i="21"/>
  <c r="AA33" i="21"/>
  <c r="W32" i="21"/>
  <c r="AA32" i="21"/>
  <c r="S32" i="21"/>
  <c r="W9" i="21"/>
  <c r="AC9" i="21"/>
  <c r="AB32" i="21"/>
  <c r="U32" i="21"/>
  <c r="AA10" i="21"/>
  <c r="AC32" i="39"/>
  <c r="W19" i="37"/>
  <c r="AC23" i="37"/>
  <c r="H63" i="37"/>
  <c r="I63" i="37" s="1"/>
  <c r="J63" i="37" s="1"/>
  <c r="K63" i="37" s="1"/>
  <c r="L63" i="37" s="1"/>
  <c r="M63" i="37" s="1"/>
  <c r="J11" i="37"/>
  <c r="W11" i="37" s="1"/>
  <c r="AC10" i="37"/>
  <c r="AC10" i="34"/>
  <c r="I70" i="34"/>
  <c r="J70" i="34" s="1"/>
  <c r="K70" i="34" s="1"/>
  <c r="L70" i="34" s="1"/>
  <c r="M70" i="34" s="1"/>
  <c r="J11" i="34"/>
  <c r="AC11" i="34" s="1"/>
  <c r="AC36" i="33"/>
  <c r="W36" i="33"/>
  <c r="W27" i="33"/>
  <c r="AA23" i="33"/>
  <c r="AB19" i="33"/>
  <c r="AB17" i="33"/>
  <c r="U23" i="21"/>
  <c r="AB23" i="21"/>
  <c r="AC11" i="37"/>
  <c r="W11" i="34"/>
  <c r="F34" i="11"/>
  <c r="F34" i="68"/>
  <c r="AG6" i="1"/>
  <c r="H109" i="9"/>
  <c r="H110" i="9"/>
  <c r="D18" i="53" s="1"/>
  <c r="B35" i="72" s="1"/>
  <c r="D16" i="53"/>
  <c r="B34" i="72" s="1"/>
  <c r="H112" i="9"/>
  <c r="D21" i="53" s="1"/>
  <c r="B39" i="72" s="1"/>
  <c r="H111" i="9"/>
  <c r="D126" i="9" s="1"/>
  <c r="AD3" i="71"/>
  <c r="J1" i="73"/>
  <c r="M2" i="43"/>
  <c r="N7"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I59" i="34"/>
  <c r="J59" i="34" s="1"/>
  <c r="E11" i="76"/>
  <c r="F43" i="67"/>
  <c r="F40" i="15"/>
  <c r="F5" i="73"/>
  <c r="M9" i="67"/>
  <c r="F13" i="67"/>
  <c r="F38" i="67"/>
  <c r="M24" i="67"/>
  <c r="M29" i="67"/>
  <c r="F41" i="67"/>
  <c r="E7" i="76"/>
  <c r="M27" i="67"/>
  <c r="F16" i="15"/>
  <c r="J15" i="67"/>
  <c r="M27" i="15"/>
  <c r="M28" i="15"/>
  <c r="L48" i="15"/>
  <c r="M23" i="67"/>
  <c r="D2" i="21"/>
  <c r="F3" i="73"/>
  <c r="F36" i="15"/>
  <c r="AO12" i="1"/>
  <c r="F43" i="15"/>
  <c r="M29" i="15"/>
  <c r="F6" i="67"/>
  <c r="D5" i="73"/>
  <c r="D2" i="35"/>
  <c r="D3" i="73"/>
  <c r="F7" i="73"/>
  <c r="D7" i="73"/>
  <c r="AO11" i="1"/>
  <c r="M28" i="67"/>
  <c r="M21" i="67"/>
  <c r="F16" i="67"/>
  <c r="F36" i="67"/>
  <c r="D2" i="33"/>
  <c r="B7" i="76"/>
  <c r="F20" i="31"/>
  <c r="M23" i="15"/>
  <c r="F9" i="15"/>
  <c r="F38" i="15"/>
  <c r="F26" i="67"/>
  <c r="F42" i="67"/>
  <c r="F35" i="67"/>
  <c r="D4" i="73"/>
  <c r="B13" i="76"/>
  <c r="D2" i="36"/>
  <c r="F8" i="15"/>
  <c r="F8" i="67"/>
  <c r="B8" i="76"/>
  <c r="B9" i="76"/>
  <c r="E2" i="69"/>
  <c r="L47" i="67"/>
  <c r="F42" i="15"/>
  <c r="M6" i="15"/>
  <c r="M22" i="67"/>
  <c r="M6" i="67"/>
  <c r="E9" i="76"/>
  <c r="F37" i="67"/>
  <c r="C76" i="15"/>
  <c r="J15" i="15"/>
  <c r="F7" i="15"/>
  <c r="B12" i="76"/>
  <c r="M8" i="67"/>
  <c r="D6" i="73"/>
  <c r="E8" i="76"/>
  <c r="M8" i="15"/>
  <c r="M26" i="15"/>
  <c r="E13" i="76"/>
  <c r="F37" i="15"/>
  <c r="F7" i="67"/>
  <c r="F9" i="67"/>
  <c r="AO9" i="1"/>
  <c r="C76" i="67"/>
  <c r="E10" i="76"/>
  <c r="M22" i="15"/>
  <c r="AO10" i="1"/>
  <c r="F6" i="73"/>
  <c r="B11" i="76"/>
  <c r="E2" i="68"/>
  <c r="M9" i="15"/>
  <c r="F40" i="67"/>
  <c r="AO13" i="1"/>
  <c r="F4" i="73"/>
  <c r="D2" i="37"/>
  <c r="L48" i="67"/>
  <c r="D2" i="34"/>
  <c r="L47" i="15"/>
  <c r="F26" i="15"/>
  <c r="F6" i="15"/>
  <c r="M26" i="67"/>
  <c r="E12" i="76"/>
  <c r="M24" i="15"/>
  <c r="B10" i="76"/>
  <c r="F13" i="15"/>
  <c r="D68" i="39" l="1"/>
  <c r="C70" i="39"/>
  <c r="AZ14" i="3"/>
  <c r="AA38" i="40"/>
  <c r="S38" i="40"/>
  <c r="AC23" i="21"/>
  <c r="W25" i="33"/>
  <c r="U36" i="33"/>
  <c r="AB11" i="34"/>
  <c r="AB15" i="21"/>
  <c r="W17" i="21"/>
  <c r="AZ387" i="3"/>
  <c r="AZ369" i="3"/>
  <c r="AZ382" i="3"/>
  <c r="AZ364" i="3"/>
  <c r="AZ361" i="3"/>
  <c r="AZ356" i="3"/>
  <c r="AZ342" i="3"/>
  <c r="AZ321" i="3"/>
  <c r="AA11" i="39"/>
  <c r="S11" i="39"/>
  <c r="AZ376" i="3"/>
  <c r="AZ362" i="3"/>
  <c r="AZ341" i="3"/>
  <c r="AZ309" i="3"/>
  <c r="K5" i="4"/>
  <c r="B47" i="48" s="1"/>
  <c r="BQ5" i="3"/>
  <c r="BA551" i="3"/>
  <c r="AZ551" i="3" s="1"/>
  <c r="BL550" i="3"/>
  <c r="BA550" i="3"/>
  <c r="H5" i="3"/>
  <c r="BL15" i="3"/>
  <c r="AZ15" i="3" s="1"/>
  <c r="C23" i="12"/>
  <c r="G41" i="79"/>
  <c r="C41" i="79" s="1"/>
  <c r="G41" i="43"/>
  <c r="F8" i="1"/>
  <c r="G8" i="1" s="1"/>
  <c r="AZ403" i="3"/>
  <c r="AZ418" i="3"/>
  <c r="AZ422" i="3"/>
  <c r="AZ434" i="3"/>
  <c r="AZ450" i="3"/>
  <c r="AZ454" i="3"/>
  <c r="AZ459" i="3"/>
  <c r="AZ477" i="3"/>
  <c r="AB33" i="40"/>
  <c r="S14" i="40"/>
  <c r="AC45" i="33"/>
  <c r="AA13" i="33"/>
  <c r="U14" i="40"/>
  <c r="AA41" i="34"/>
  <c r="AZ543" i="3"/>
  <c r="AZ569" i="3"/>
  <c r="AZ577" i="3"/>
  <c r="AZ513" i="3"/>
  <c r="AZ559" i="3"/>
  <c r="AZ567" i="3"/>
  <c r="AZ571" i="3"/>
  <c r="AZ575" i="3"/>
  <c r="AZ579" i="3"/>
  <c r="AZ568" i="3"/>
  <c r="AZ576" i="3"/>
  <c r="AZ584" i="3"/>
  <c r="S44" i="34"/>
  <c r="W29" i="33"/>
  <c r="S45" i="33"/>
  <c r="AC30" i="34"/>
  <c r="W11" i="35"/>
  <c r="AA29" i="35"/>
  <c r="W33" i="37"/>
  <c r="BL586" i="3"/>
  <c r="AZ586" i="3" s="1"/>
  <c r="F9" i="36"/>
  <c r="H9" i="36"/>
  <c r="F23" i="36"/>
  <c r="H23" i="36"/>
  <c r="H38" i="40"/>
  <c r="J38" i="40"/>
  <c r="H39" i="40"/>
  <c r="G574" i="3"/>
  <c r="G558" i="3"/>
  <c r="G542" i="3"/>
  <c r="BL541" i="3"/>
  <c r="G541" i="3"/>
  <c r="G540" i="3"/>
  <c r="G539" i="3"/>
  <c r="BL538" i="3"/>
  <c r="G536" i="3"/>
  <c r="G535" i="3"/>
  <c r="G533" i="3"/>
  <c r="G532" i="3"/>
  <c r="G530" i="3"/>
  <c r="G528" i="3"/>
  <c r="G527" i="3"/>
  <c r="G525" i="3"/>
  <c r="G524" i="3"/>
  <c r="G523" i="3"/>
  <c r="G520" i="3"/>
  <c r="G519" i="3"/>
  <c r="G516" i="3"/>
  <c r="G515" i="3"/>
  <c r="G514" i="3"/>
  <c r="G511" i="3"/>
  <c r="G510" i="3"/>
  <c r="G508" i="3"/>
  <c r="G507" i="3"/>
  <c r="G506" i="3"/>
  <c r="G503" i="3"/>
  <c r="G500" i="3"/>
  <c r="G499" i="3"/>
  <c r="G496" i="3"/>
  <c r="G495" i="3"/>
  <c r="G494" i="3"/>
  <c r="C5" i="11"/>
  <c r="BL16" i="3"/>
  <c r="AZ16" i="3" s="1"/>
  <c r="A15" i="62"/>
  <c r="B61" i="72"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AZ290" i="3"/>
  <c r="AZ137" i="3"/>
  <c r="B13" i="1"/>
  <c r="E13" i="1" s="1"/>
  <c r="K13" i="1"/>
  <c r="M13" i="1" s="1"/>
  <c r="O13" i="1" s="1"/>
  <c r="P13" i="1" s="1"/>
  <c r="G19" i="79"/>
  <c r="P24" i="79" s="1"/>
  <c r="J51" i="80"/>
  <c r="J51" i="81"/>
  <c r="AA21" i="34"/>
  <c r="S21" i="34"/>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L275" i="3"/>
  <c r="AZ275" i="3" s="1"/>
  <c r="G277" i="3"/>
  <c r="BL277" i="3"/>
  <c r="G279" i="3"/>
  <c r="G280" i="3"/>
  <c r="G281" i="3"/>
  <c r="G282" i="3"/>
  <c r="BL282" i="3"/>
  <c r="AZ282" i="3" s="1"/>
  <c r="G285" i="3"/>
  <c r="BL285" i="3"/>
  <c r="AZ285" i="3" s="1"/>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E108" i="43"/>
  <c r="E100" i="43"/>
  <c r="W21" i="34"/>
  <c r="AC21" i="33"/>
  <c r="W21" i="33"/>
  <c r="W18" i="36"/>
  <c r="U29" i="39"/>
  <c r="U21" i="33"/>
  <c r="AB21" i="33"/>
  <c r="AA25" i="40"/>
  <c r="S25" i="40"/>
  <c r="C63" i="71"/>
  <c r="D64" i="71"/>
  <c r="AB31" i="71"/>
  <c r="AB30" i="71"/>
  <c r="AA30" i="71"/>
  <c r="AA32" i="71"/>
  <c r="U69" i="71"/>
  <c r="E68" i="71"/>
  <c r="E67" i="71" s="1"/>
  <c r="AB23" i="7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J51" i="15"/>
  <c r="C37" i="71"/>
  <c r="D37" i="71" s="1"/>
  <c r="M19" i="43" s="1"/>
  <c r="D68" i="71"/>
  <c r="N63" i="71"/>
  <c r="D72" i="71"/>
  <c r="C61" i="71"/>
  <c r="AA22" i="71"/>
  <c r="AB24" i="71"/>
  <c r="F25" i="71"/>
  <c r="F24" i="71" s="1"/>
  <c r="F23" i="71" s="1"/>
  <c r="D59" i="71"/>
  <c r="X24" i="71"/>
  <c r="B24" i="71"/>
  <c r="B23" i="71" s="1"/>
  <c r="S25" i="71"/>
  <c r="Y24" i="71"/>
  <c r="Z24" i="71" s="1"/>
  <c r="X33" i="71"/>
  <c r="X28" i="71"/>
  <c r="E33" i="71"/>
  <c r="U33" i="71" s="1"/>
  <c r="C24" i="71"/>
  <c r="X23" i="71"/>
  <c r="X25" i="71"/>
  <c r="AA26" i="71"/>
  <c r="AA3" i="71"/>
  <c r="AA23" i="71"/>
  <c r="AA25" i="71"/>
  <c r="X27" i="71"/>
  <c r="AB29" i="71"/>
  <c r="AA31" i="71"/>
  <c r="AB33" i="71"/>
  <c r="S65" i="71"/>
  <c r="N65" i="71"/>
  <c r="P65" i="71"/>
  <c r="E64" i="71"/>
  <c r="T69" i="71"/>
  <c r="D69" i="71"/>
  <c r="U73" i="71"/>
  <c r="E72" i="71"/>
  <c r="E71" i="71" s="1"/>
  <c r="T77" i="71"/>
  <c r="D77" i="71"/>
  <c r="AB12" i="43"/>
  <c r="AB10" i="43"/>
  <c r="AJ12" i="43"/>
  <c r="AJ10" i="43"/>
  <c r="E17" i="79"/>
  <c r="C16" i="79" s="1"/>
  <c r="F28" i="71"/>
  <c r="F29" i="71" s="1"/>
  <c r="V29" i="71" s="1"/>
  <c r="X26" i="71"/>
  <c r="AB28" i="71"/>
  <c r="F32" i="71"/>
  <c r="F33" i="71" s="1"/>
  <c r="V33" i="71" s="1"/>
  <c r="X30" i="71"/>
  <c r="AB32" i="71"/>
  <c r="F36" i="71"/>
  <c r="F37" i="71" s="1"/>
  <c r="V37" i="71" s="1"/>
  <c r="Y21" i="71"/>
  <c r="Z21" i="71" s="1"/>
  <c r="F48" i="9"/>
  <c r="O52" i="9" s="1"/>
  <c r="F32" i="80"/>
  <c r="F60" i="80" s="1"/>
  <c r="F28" i="80"/>
  <c r="C28" i="80" s="1"/>
  <c r="M18" i="80"/>
  <c r="F32" i="81"/>
  <c r="F60" i="81" s="1"/>
  <c r="F28" i="81"/>
  <c r="C28" i="81" s="1"/>
  <c r="M18" i="81"/>
  <c r="B60" i="79"/>
  <c r="B49" i="79"/>
  <c r="B71" i="79"/>
  <c r="B77" i="79"/>
  <c r="B56" i="79"/>
  <c r="B67" i="79"/>
  <c r="B74" i="79"/>
  <c r="B54" i="79"/>
  <c r="B65" i="79"/>
  <c r="B63" i="79"/>
  <c r="B52" i="79"/>
  <c r="B73" i="79"/>
  <c r="M20" i="15"/>
  <c r="M20" i="81"/>
  <c r="F34" i="80"/>
  <c r="F62" i="80" s="1"/>
  <c r="F34" i="81"/>
  <c r="F62" i="81" s="1"/>
  <c r="M20" i="80"/>
  <c r="F3" i="35"/>
  <c r="G1" i="81"/>
  <c r="G1" i="80"/>
  <c r="B66" i="79"/>
  <c r="B55" i="79"/>
  <c r="B75" i="79"/>
  <c r="M19" i="79"/>
  <c r="G7" i="1"/>
  <c r="I20" i="79"/>
  <c r="C20" i="79" s="1"/>
  <c r="AR11" i="1"/>
  <c r="T11" i="1"/>
  <c r="M8" i="43"/>
  <c r="H49" i="43"/>
  <c r="H48" i="43"/>
  <c r="H54" i="43"/>
  <c r="M5" i="43"/>
  <c r="H51" i="43"/>
  <c r="N5" i="43"/>
  <c r="H53" i="43"/>
  <c r="H81" i="43"/>
  <c r="P61" i="15"/>
  <c r="M20" i="67"/>
  <c r="C94" i="9"/>
  <c r="C92" i="9"/>
  <c r="F54" i="9"/>
  <c r="M18" i="15"/>
  <c r="M18" i="67"/>
  <c r="F30" i="69"/>
  <c r="C30" i="69" s="1"/>
  <c r="F31" i="12"/>
  <c r="C24" i="12"/>
  <c r="C77" i="9"/>
  <c r="C74" i="9" s="1"/>
  <c r="C36" i="11"/>
  <c r="D68" i="9"/>
  <c r="F28" i="15"/>
  <c r="C28" i="15" s="1"/>
  <c r="F32" i="15"/>
  <c r="F60" i="15" s="1"/>
  <c r="F32" i="67"/>
  <c r="F60" i="67" s="1"/>
  <c r="F52" i="9"/>
  <c r="F28" i="67"/>
  <c r="C28" i="67" s="1"/>
  <c r="F30" i="68"/>
  <c r="F53" i="9"/>
  <c r="C40" i="69"/>
  <c r="C21" i="69"/>
  <c r="E19" i="11"/>
  <c r="D22" i="67"/>
  <c r="C36" i="69"/>
  <c r="AR12" i="1"/>
  <c r="G13" i="3"/>
  <c r="D9" i="69"/>
  <c r="C9" i="69" s="1"/>
  <c r="O9" i="1"/>
  <c r="P9" i="1" s="1"/>
  <c r="P7" i="1"/>
  <c r="D9" i="68"/>
  <c r="C9" i="68" s="1"/>
  <c r="D19" i="12"/>
  <c r="C19" i="12" s="1"/>
  <c r="N2" i="43"/>
  <c r="N11" i="43"/>
  <c r="N3" i="43"/>
  <c r="N6" i="43"/>
  <c r="F59" i="43" s="1"/>
  <c r="H67" i="43" s="1"/>
  <c r="G67" i="43" s="1"/>
  <c r="G17" i="43"/>
  <c r="C16" i="43" s="1"/>
  <c r="N4" i="43"/>
  <c r="M6" i="43"/>
  <c r="C6" i="43" s="1"/>
  <c r="N10" i="43"/>
  <c r="N9" i="43"/>
  <c r="M7" i="43"/>
  <c r="M10" i="43"/>
  <c r="N12" i="43"/>
  <c r="M4" i="43"/>
  <c r="H60" i="43"/>
  <c r="G60" i="43" s="1"/>
  <c r="H76" i="43"/>
  <c r="M12" i="43"/>
  <c r="M9" i="43"/>
  <c r="N8" i="43"/>
  <c r="M3" i="43"/>
  <c r="M11" i="43"/>
  <c r="H74" i="43"/>
  <c r="H70" i="43"/>
  <c r="H77" i="43"/>
  <c r="H84" i="43"/>
  <c r="H85" i="43"/>
  <c r="H87" i="43"/>
  <c r="H86" i="43"/>
  <c r="G6" i="1"/>
  <c r="G13" i="1"/>
  <c r="D19" i="53"/>
  <c r="D70" i="39"/>
  <c r="E68" i="39"/>
  <c r="D127" i="9"/>
  <c r="D13" i="52" s="1"/>
  <c r="D12" i="52"/>
  <c r="I14" i="74"/>
  <c r="B8" i="74" s="1"/>
  <c r="D17" i="53"/>
  <c r="B36" i="72" s="1"/>
  <c r="D124" i="9"/>
  <c r="AA17" i="33"/>
  <c r="AB11" i="37"/>
  <c r="U32" i="39"/>
  <c r="AB9" i="21"/>
  <c r="AC33" i="21"/>
  <c r="T9" i="1"/>
  <c r="AQ9" i="1"/>
  <c r="C48" i="11"/>
  <c r="C30" i="11"/>
  <c r="P6" i="1"/>
  <c r="U45" i="21"/>
  <c r="AB45" i="21"/>
  <c r="P11" i="1"/>
  <c r="L27" i="6"/>
  <c r="AZ13" i="3"/>
  <c r="S19" i="33"/>
  <c r="AA19" i="33"/>
  <c r="S14" i="36"/>
  <c r="S30" i="40"/>
  <c r="AC34" i="33"/>
  <c r="C31" i="12"/>
  <c r="AR13" i="1"/>
  <c r="T13" i="1"/>
  <c r="P12" i="1"/>
  <c r="AB44" i="34"/>
  <c r="U44" i="34"/>
  <c r="S40" i="34"/>
  <c r="AA40" i="34"/>
  <c r="U34" i="33"/>
  <c r="AB34" i="33"/>
  <c r="S10" i="33"/>
  <c r="AA10" i="33"/>
  <c r="AC30" i="40"/>
  <c r="W30" i="40"/>
  <c r="U13" i="37"/>
  <c r="H52" i="43"/>
  <c r="H55" i="43"/>
  <c r="AZ379" i="3"/>
  <c r="AZ372" i="3"/>
  <c r="AZ337" i="3"/>
  <c r="AZ305" i="3"/>
  <c r="W11" i="39"/>
  <c r="AC11" i="39"/>
  <c r="AC19" i="40"/>
  <c r="W19" i="40"/>
  <c r="AC43" i="33"/>
  <c r="W43" i="33"/>
  <c r="AA36" i="37"/>
  <c r="S36" i="37"/>
  <c r="AB23" i="37"/>
  <c r="U23" i="37"/>
  <c r="S22" i="36"/>
  <c r="AA22" i="36"/>
  <c r="AB28" i="34"/>
  <c r="U28" i="34"/>
  <c r="AC25" i="21"/>
  <c r="W25" i="21"/>
  <c r="AZ557" i="3"/>
  <c r="AZ517" i="3"/>
  <c r="AZ581" i="3"/>
  <c r="AZ522" i="3"/>
  <c r="AZ562" i="3"/>
  <c r="H13" i="40"/>
  <c r="AA33" i="40"/>
  <c r="S33" i="40"/>
  <c r="AB12" i="40"/>
  <c r="U12" i="40"/>
  <c r="AB14" i="39"/>
  <c r="U14" i="39"/>
  <c r="F44" i="21"/>
  <c r="AA23" i="34"/>
  <c r="S23" i="34"/>
  <c r="AB29" i="35"/>
  <c r="U29" i="35"/>
  <c r="S12" i="36"/>
  <c r="AB33" i="35"/>
  <c r="U33" i="35"/>
  <c r="AA33" i="36"/>
  <c r="S33" i="36"/>
  <c r="W32" i="40"/>
  <c r="W11" i="40"/>
  <c r="AC11" i="40"/>
  <c r="U17" i="40"/>
  <c r="AB17" i="40"/>
  <c r="U37" i="40"/>
  <c r="AB37" i="40"/>
  <c r="U11" i="21"/>
  <c r="AB11" i="21"/>
  <c r="S39" i="37"/>
  <c r="AA39" i="37"/>
  <c r="AB36" i="39"/>
  <c r="U36" i="39"/>
  <c r="S45" i="39"/>
  <c r="AA45" i="39"/>
  <c r="BA585" i="3"/>
  <c r="AZ585" i="3" s="1"/>
  <c r="W35" i="21"/>
  <c r="AC35" i="21"/>
  <c r="H13" i="21"/>
  <c r="J13" i="21"/>
  <c r="AA8" i="33"/>
  <c r="S8" i="33"/>
  <c r="AB9" i="33"/>
  <c r="U9" i="33"/>
  <c r="AC33" i="33"/>
  <c r="W33" i="33"/>
  <c r="AB38" i="33"/>
  <c r="U38" i="33"/>
  <c r="AA10" i="34"/>
  <c r="S10" i="34"/>
  <c r="AA34" i="34"/>
  <c r="S34" i="34"/>
  <c r="AC34" i="34"/>
  <c r="W34" i="34"/>
  <c r="AB39" i="34"/>
  <c r="U39" i="34"/>
  <c r="H23" i="35"/>
  <c r="J23" i="35"/>
  <c r="F23" i="35"/>
  <c r="J11" i="36"/>
  <c r="H11" i="36"/>
  <c r="F11" i="36"/>
  <c r="S31" i="36"/>
  <c r="AA31" i="36"/>
  <c r="J12" i="37"/>
  <c r="H12" i="37"/>
  <c r="F12" i="37"/>
  <c r="AC28" i="40"/>
  <c r="W28" i="40"/>
  <c r="AQ10" i="1"/>
  <c r="AR10" i="1"/>
  <c r="AB12" i="39"/>
  <c r="U12" i="39"/>
  <c r="Q16" i="1"/>
  <c r="H16" i="1"/>
  <c r="U33" i="34"/>
  <c r="AB33" i="34"/>
  <c r="U27" i="36"/>
  <c r="AB27" i="36"/>
  <c r="W39" i="34"/>
  <c r="AC39" i="34"/>
  <c r="S35" i="33"/>
  <c r="AA35" i="33"/>
  <c r="S34" i="33"/>
  <c r="AA34" i="33"/>
  <c r="S27" i="40"/>
  <c r="AA27" i="40"/>
  <c r="U27" i="40"/>
  <c r="AB27" i="40"/>
  <c r="U20" i="35"/>
  <c r="AB20" i="35"/>
  <c r="W20" i="36"/>
  <c r="AC20" i="36"/>
  <c r="H73" i="43"/>
  <c r="H75" i="43"/>
  <c r="H78" i="43"/>
  <c r="H72" i="43"/>
  <c r="H62" i="43"/>
  <c r="G62" i="43" s="1"/>
  <c r="H64" i="43"/>
  <c r="G64" i="43" s="1"/>
  <c r="D8" i="53"/>
  <c r="D120" i="9"/>
  <c r="AB25" i="39"/>
  <c r="U25" i="39"/>
  <c r="AB37" i="39"/>
  <c r="U37" i="39"/>
  <c r="W15" i="37"/>
  <c r="AC15" i="37"/>
  <c r="U31" i="37"/>
  <c r="AB31" i="37"/>
  <c r="AA15" i="37"/>
  <c r="S15" i="37"/>
  <c r="AB32" i="40"/>
  <c r="U32" i="40"/>
  <c r="AC32" i="37"/>
  <c r="W32" i="37"/>
  <c r="AB24" i="35"/>
  <c r="U24" i="35"/>
  <c r="S10" i="35"/>
  <c r="AA10" i="35"/>
  <c r="U41" i="34"/>
  <c r="AB41" i="34"/>
  <c r="S26" i="36"/>
  <c r="AA26" i="36"/>
  <c r="AA42" i="33"/>
  <c r="S42" i="33"/>
  <c r="U17" i="37"/>
  <c r="AB17" i="37"/>
  <c r="S25" i="21"/>
  <c r="AA25" i="21"/>
  <c r="AZ495" i="3"/>
  <c r="AA17" i="21"/>
  <c r="S17" i="21"/>
  <c r="W14" i="40"/>
  <c r="AC14" i="40"/>
  <c r="AA27" i="37"/>
  <c r="S27" i="37"/>
  <c r="AC28" i="37"/>
  <c r="W28" i="37"/>
  <c r="W13" i="37"/>
  <c r="AC13" i="37"/>
  <c r="AB35" i="35"/>
  <c r="U35" i="35"/>
  <c r="AC35" i="35"/>
  <c r="W35" i="35"/>
  <c r="S25" i="35"/>
  <c r="AA25" i="35"/>
  <c r="S13" i="35"/>
  <c r="AA13" i="35"/>
  <c r="U45" i="34"/>
  <c r="AB45" i="34"/>
  <c r="AB31" i="34"/>
  <c r="U31" i="34"/>
  <c r="AB29" i="34"/>
  <c r="U29" i="34"/>
  <c r="U29" i="21"/>
  <c r="AB29" i="21"/>
  <c r="AB27" i="21"/>
  <c r="U27" i="21"/>
  <c r="W28" i="21"/>
  <c r="AC28" i="21"/>
  <c r="AB28" i="21"/>
  <c r="U28" i="21"/>
  <c r="S14" i="21"/>
  <c r="AA14" i="21"/>
  <c r="AA32" i="33"/>
  <c r="S32" i="33"/>
  <c r="AA41" i="33"/>
  <c r="S41" i="33"/>
  <c r="AA15" i="34"/>
  <c r="S15" i="34"/>
  <c r="U23" i="34"/>
  <c r="AB23" i="34"/>
  <c r="AA27" i="34"/>
  <c r="S27" i="34"/>
  <c r="AB31" i="39"/>
  <c r="U31" i="39"/>
  <c r="AB26" i="21"/>
  <c r="U26" i="21"/>
  <c r="AA35" i="21"/>
  <c r="S35" i="21"/>
  <c r="W34" i="21"/>
  <c r="AC34" i="21"/>
  <c r="S36" i="21"/>
  <c r="AA36" i="21"/>
  <c r="AB43" i="21"/>
  <c r="U43" i="21"/>
  <c r="AA34" i="21"/>
  <c r="S34" i="21"/>
  <c r="U44" i="21"/>
  <c r="AB44" i="21"/>
  <c r="AC36" i="21"/>
  <c r="W36" i="21"/>
  <c r="AB32" i="35"/>
  <c r="U32" i="35"/>
  <c r="AB34" i="35"/>
  <c r="U34" i="35"/>
  <c r="AC36" i="35"/>
  <c r="W36" i="35"/>
  <c r="J9" i="35"/>
  <c r="F9" i="35"/>
  <c r="H27" i="37"/>
  <c r="J27" i="37"/>
  <c r="W35" i="37"/>
  <c r="AC35" i="37"/>
  <c r="H40" i="37"/>
  <c r="J40" i="37"/>
  <c r="F40" i="37"/>
  <c r="U25" i="37"/>
  <c r="AB25" i="37"/>
  <c r="AC12" i="40"/>
  <c r="W12" i="40"/>
  <c r="U41" i="21"/>
  <c r="AB41" i="21"/>
  <c r="AZ550" i="3"/>
  <c r="BL549" i="3"/>
  <c r="BA549"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L530" i="3"/>
  <c r="BA530" i="3"/>
  <c r="BA529" i="3"/>
  <c r="AZ529" i="3" s="1"/>
  <c r="BL528" i="3"/>
  <c r="AZ528" i="3" s="1"/>
  <c r="BL527" i="3"/>
  <c r="AZ527" i="3" s="1"/>
  <c r="BL526" i="3"/>
  <c r="AZ526" i="3" s="1"/>
  <c r="BA525" i="3"/>
  <c r="AZ525" i="3" s="1"/>
  <c r="BL524" i="3"/>
  <c r="AZ524" i="3" s="1"/>
  <c r="BL523" i="3"/>
  <c r="AZ523" i="3" s="1"/>
  <c r="BA521" i="3"/>
  <c r="AZ521" i="3" s="1"/>
  <c r="BL520" i="3"/>
  <c r="BA520" i="3"/>
  <c r="BL519" i="3"/>
  <c r="BA519" i="3"/>
  <c r="BL516" i="3"/>
  <c r="AZ516" i="3" s="1"/>
  <c r="BL515" i="3"/>
  <c r="BA515" i="3"/>
  <c r="BL514" i="3"/>
  <c r="AZ514" i="3" s="1"/>
  <c r="BL512" i="3"/>
  <c r="BA512" i="3"/>
  <c r="BL511" i="3"/>
  <c r="BA511" i="3"/>
  <c r="BL510" i="3"/>
  <c r="BA510" i="3"/>
  <c r="BA509" i="3"/>
  <c r="AZ509" i="3" s="1"/>
  <c r="BL508" i="3"/>
  <c r="BA508" i="3"/>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L494" i="3"/>
  <c r="AZ494" i="3" s="1"/>
  <c r="BM5" i="3"/>
  <c r="F29" i="6" s="1"/>
  <c r="BJ5" i="3"/>
  <c r="BF5" i="3"/>
  <c r="BB5" i="3"/>
  <c r="BS5" i="3"/>
  <c r="F28" i="6" s="1"/>
  <c r="BN5" i="3"/>
  <c r="G29" i="6" s="1"/>
  <c r="G30" i="6" s="1"/>
  <c r="G31" i="6" s="1"/>
  <c r="BL493" i="3"/>
  <c r="BK5" i="3"/>
  <c r="BG5" i="3"/>
  <c r="BA493" i="3"/>
  <c r="BC5" i="3"/>
  <c r="G493" i="3"/>
  <c r="AC5" i="3"/>
  <c r="S22" i="31"/>
  <c r="R22" i="31" s="1"/>
  <c r="AZ570" i="3"/>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O8" i="1"/>
  <c r="P8" i="1" s="1"/>
  <c r="AZ409" i="3"/>
  <c r="AZ416" i="3"/>
  <c r="AZ425" i="3"/>
  <c r="AZ432" i="3"/>
  <c r="AZ445" i="3"/>
  <c r="AZ447" i="3"/>
  <c r="AZ464" i="3"/>
  <c r="AZ467" i="3"/>
  <c r="AZ474" i="3"/>
  <c r="AZ480" i="3"/>
  <c r="AZ482" i="3"/>
  <c r="AZ486" i="3"/>
  <c r="AZ488" i="3"/>
  <c r="AZ216" i="3"/>
  <c r="AZ221" i="3"/>
  <c r="AZ226" i="3"/>
  <c r="AZ230" i="3"/>
  <c r="AZ242" i="3"/>
  <c r="AZ246" i="3"/>
  <c r="AZ258" i="3"/>
  <c r="AZ262" i="3"/>
  <c r="AZ267" i="3"/>
  <c r="AZ277" i="3"/>
  <c r="AZ293" i="3"/>
  <c r="AZ126" i="3"/>
  <c r="AZ129" i="3"/>
  <c r="AZ141" i="3"/>
  <c r="AZ161" i="3"/>
  <c r="AZ177" i="3"/>
  <c r="AZ193" i="3"/>
  <c r="AZ34" i="3"/>
  <c r="AZ38" i="3"/>
  <c r="AZ44" i="3"/>
  <c r="AZ48" i="3"/>
  <c r="AZ60" i="3"/>
  <c r="AZ64" i="3"/>
  <c r="AZ78" i="3"/>
  <c r="AZ91" i="3"/>
  <c r="AZ98" i="3"/>
  <c r="AZ104" i="3"/>
  <c r="AZ108" i="3"/>
  <c r="G100" i="43"/>
  <c r="N100" i="43"/>
  <c r="AA5" i="71"/>
  <c r="AB5" i="71"/>
  <c r="X5" i="71"/>
  <c r="Y5" i="71"/>
  <c r="Z5" i="71" s="1"/>
  <c r="F40" i="68"/>
  <c r="C21" i="68"/>
  <c r="C40" i="68"/>
  <c r="C23" i="71"/>
  <c r="D23" i="71" s="1"/>
  <c r="D24" i="71"/>
  <c r="C33" i="71"/>
  <c r="D32" i="71"/>
  <c r="D39" i="71"/>
  <c r="C40" i="71"/>
  <c r="C44" i="71"/>
  <c r="D44" i="71" s="1"/>
  <c r="D43" i="71"/>
  <c r="C48" i="71"/>
  <c r="D47" i="71"/>
  <c r="C52" i="71"/>
  <c r="D51" i="71"/>
  <c r="C56" i="71"/>
  <c r="D55" i="71"/>
  <c r="V25" i="71"/>
  <c r="AA28" i="71"/>
  <c r="AB26" i="71"/>
  <c r="X6" i="71"/>
  <c r="X7" i="71"/>
  <c r="AB7" i="71"/>
  <c r="AB6" i="71"/>
  <c r="F64" i="71"/>
  <c r="AE10" i="43"/>
  <c r="Z12" i="43"/>
  <c r="Z10" i="43"/>
  <c r="AD12" i="43"/>
  <c r="AD10" i="43"/>
  <c r="AH12" i="43"/>
  <c r="AH10" i="43"/>
  <c r="AA19" i="71"/>
  <c r="AA20" i="71"/>
  <c r="AA21" i="71"/>
  <c r="X18" i="71"/>
  <c r="X19" i="71"/>
  <c r="B21" i="71"/>
  <c r="Y15" i="71"/>
  <c r="Z15" i="71" s="1"/>
  <c r="X14" i="71"/>
  <c r="Y14" i="71"/>
  <c r="Z14" i="71" s="1"/>
  <c r="AA14" i="71"/>
  <c r="AB15" i="71"/>
  <c r="Y11" i="71"/>
  <c r="Z11" i="71" s="1"/>
  <c r="Y6" i="71"/>
  <c r="Z6" i="71" s="1"/>
  <c r="Y7" i="71"/>
  <c r="Z7" i="71" s="1"/>
  <c r="AA6" i="71"/>
  <c r="AA7" i="71"/>
  <c r="AC12" i="43"/>
  <c r="AC10" i="43"/>
  <c r="AG12" i="43"/>
  <c r="AG10" i="43"/>
  <c r="X21" i="71"/>
  <c r="E21" i="71"/>
  <c r="Y18" i="71"/>
  <c r="Z18" i="71" s="1"/>
  <c r="Y19" i="71"/>
  <c r="Z19" i="71" s="1"/>
  <c r="Y20" i="71"/>
  <c r="Z20" i="71" s="1"/>
  <c r="C21" i="71"/>
  <c r="AB18" i="71"/>
  <c r="AB20" i="71"/>
  <c r="AB21" i="71"/>
  <c r="AA18" i="71"/>
  <c r="X15" i="71"/>
  <c r="AA15" i="71"/>
  <c r="X10" i="71"/>
  <c r="AA11" i="71"/>
  <c r="AB12" i="71"/>
  <c r="AB14" i="71"/>
  <c r="AB9" i="71"/>
  <c r="AB11" i="71"/>
  <c r="Y9" i="71"/>
  <c r="Z9" i="71" s="1"/>
  <c r="Y10" i="71"/>
  <c r="Z10" i="71" s="1"/>
  <c r="AA8" i="71"/>
  <c r="X12" i="71"/>
  <c r="AA12" i="71"/>
  <c r="AB8" i="71"/>
  <c r="AB10" i="71"/>
  <c r="Y8" i="71"/>
  <c r="Z8" i="71" s="1"/>
  <c r="AA10" i="71"/>
  <c r="AA9" i="71"/>
  <c r="X9"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7" i="67"/>
  <c r="G1" i="73"/>
  <c r="C16" i="15"/>
  <c r="F7" i="36" l="1"/>
  <c r="J7" i="37"/>
  <c r="H7" i="36"/>
  <c r="H7" i="34"/>
  <c r="AZ504" i="3"/>
  <c r="AZ510" i="3"/>
  <c r="AZ520" i="3"/>
  <c r="AZ549" i="3"/>
  <c r="K64" i="43"/>
  <c r="M64" i="43"/>
  <c r="N64" i="43" s="1"/>
  <c r="K60" i="43"/>
  <c r="M60" i="43"/>
  <c r="N60" i="43" s="1"/>
  <c r="K67" i="43"/>
  <c r="J67" i="43" s="1"/>
  <c r="M67" i="43"/>
  <c r="N67" i="43" s="1"/>
  <c r="T37" i="71"/>
  <c r="O19" i="79"/>
  <c r="C5" i="79"/>
  <c r="D5" i="79"/>
  <c r="D63" i="71"/>
  <c r="O62" i="71"/>
  <c r="O63" i="71"/>
  <c r="AZ451" i="3"/>
  <c r="AZ438" i="3"/>
  <c r="AZ435" i="3"/>
  <c r="AZ419" i="3"/>
  <c r="U39" i="40"/>
  <c r="AB39" i="40"/>
  <c r="AB38" i="40"/>
  <c r="U38" i="40"/>
  <c r="AA23" i="36"/>
  <c r="S23" i="36"/>
  <c r="AA9" i="36"/>
  <c r="S9" i="36"/>
  <c r="C19" i="43"/>
  <c r="K62" i="43"/>
  <c r="M62" i="43"/>
  <c r="N62" i="43" s="1"/>
  <c r="P21" i="79"/>
  <c r="P25" i="79"/>
  <c r="E63" i="71"/>
  <c r="P64" i="71"/>
  <c r="D61" i="71"/>
  <c r="T61" i="71"/>
  <c r="P23" i="79"/>
  <c r="P22" i="79"/>
  <c r="AC38" i="40"/>
  <c r="W38" i="40"/>
  <c r="AB23" i="36"/>
  <c r="U23" i="36"/>
  <c r="AB9" i="36"/>
  <c r="U9" i="36"/>
  <c r="C19" i="79"/>
  <c r="T15" i="79" s="1"/>
  <c r="V15" i="79" s="1"/>
  <c r="F11" i="81"/>
  <c r="M11" i="81"/>
  <c r="F11" i="80"/>
  <c r="M11" i="80"/>
  <c r="T16" i="79"/>
  <c r="V16" i="79" s="1"/>
  <c r="T12" i="79"/>
  <c r="V12" i="79" s="1"/>
  <c r="T13" i="79"/>
  <c r="V13" i="79" s="1"/>
  <c r="H66" i="43"/>
  <c r="G66" i="43" s="1"/>
  <c r="H65" i="43"/>
  <c r="G65" i="43" s="1"/>
  <c r="H63" i="43"/>
  <c r="G63" i="43" s="1"/>
  <c r="H59" i="43"/>
  <c r="G59" i="43" s="1"/>
  <c r="H61" i="43"/>
  <c r="G61" i="43" s="1"/>
  <c r="G16" i="1"/>
  <c r="H10" i="40" s="1"/>
  <c r="U10" i="40" s="1"/>
  <c r="C48" i="69"/>
  <c r="F48" i="69"/>
  <c r="F48" i="68"/>
  <c r="C30" i="68"/>
  <c r="C48" i="68"/>
  <c r="E8" i="6"/>
  <c r="E56" i="39" s="1"/>
  <c r="E29" i="6"/>
  <c r="K15" i="1" s="1"/>
  <c r="B38" i="72"/>
  <c r="D20" i="53"/>
  <c r="B40" i="72" s="1"/>
  <c r="F68" i="39"/>
  <c r="E70" i="39"/>
  <c r="J7" i="34"/>
  <c r="F30" i="6"/>
  <c r="E28" i="6"/>
  <c r="F7" i="34"/>
  <c r="S7" i="34" s="1"/>
  <c r="C20" i="71"/>
  <c r="D21" i="71"/>
  <c r="U21" i="71" s="1"/>
  <c r="T21" i="71"/>
  <c r="E20" i="71"/>
  <c r="E19" i="71" s="1"/>
  <c r="E18" i="71" s="1"/>
  <c r="E17" i="71" s="1"/>
  <c r="V21" i="71"/>
  <c r="B20" i="71"/>
  <c r="B19" i="71" s="1"/>
  <c r="B18" i="71" s="1"/>
  <c r="B17" i="71" s="1"/>
  <c r="S21" i="71"/>
  <c r="C57" i="71"/>
  <c r="D56" i="71"/>
  <c r="C53" i="71"/>
  <c r="D52" i="71"/>
  <c r="C49" i="71"/>
  <c r="D48" i="71"/>
  <c r="D33" i="71"/>
  <c r="T33" i="71"/>
  <c r="AC14" i="39"/>
  <c r="W14" i="39"/>
  <c r="AC39" i="37"/>
  <c r="W39" i="37"/>
  <c r="AB24" i="36"/>
  <c r="U24" i="36"/>
  <c r="AB12" i="36"/>
  <c r="U12" i="36"/>
  <c r="AA13" i="34"/>
  <c r="S13" i="34"/>
  <c r="U13" i="34"/>
  <c r="AB13" i="34"/>
  <c r="AA46" i="33"/>
  <c r="S46" i="33"/>
  <c r="S44" i="33"/>
  <c r="AA44" i="33"/>
  <c r="W14" i="33"/>
  <c r="AC14" i="33"/>
  <c r="AB14" i="33"/>
  <c r="U14" i="33"/>
  <c r="AA26" i="33"/>
  <c r="S26" i="33"/>
  <c r="AB12" i="21"/>
  <c r="U12" i="21"/>
  <c r="AA12" i="21"/>
  <c r="S12" i="21"/>
  <c r="G5" i="3"/>
  <c r="B3" i="3" s="1"/>
  <c r="E551" i="3" s="1"/>
  <c r="BA5" i="3"/>
  <c r="AZ493" i="3"/>
  <c r="E12" i="6"/>
  <c r="E13" i="6"/>
  <c r="E10" i="6"/>
  <c r="E14" i="6"/>
  <c r="E15" i="6"/>
  <c r="E11" i="6"/>
  <c r="AZ496" i="3"/>
  <c r="AZ508" i="3"/>
  <c r="AZ511" i="3"/>
  <c r="AZ512" i="3"/>
  <c r="AZ515" i="3"/>
  <c r="AZ519" i="3"/>
  <c r="AZ530" i="3"/>
  <c r="AZ534" i="3"/>
  <c r="AC40" i="37"/>
  <c r="W40" i="37"/>
  <c r="AC27" i="37"/>
  <c r="W27" i="37"/>
  <c r="S9" i="35"/>
  <c r="AA9" i="35"/>
  <c r="D121" i="9"/>
  <c r="D7" i="52" s="1"/>
  <c r="D6" i="52"/>
  <c r="S12" i="37"/>
  <c r="AA12" i="37"/>
  <c r="AC12" i="37"/>
  <c r="W12" i="37"/>
  <c r="U11" i="36"/>
  <c r="AB11" i="36"/>
  <c r="S23" i="35"/>
  <c r="AA23" i="35"/>
  <c r="U23" i="35"/>
  <c r="AB23" i="35"/>
  <c r="AB13" i="21"/>
  <c r="U13" i="21"/>
  <c r="U13" i="40"/>
  <c r="AB13" i="40"/>
  <c r="H14" i="74"/>
  <c r="B7" i="74" s="1"/>
  <c r="D10" i="52"/>
  <c r="D125" i="9"/>
  <c r="D11" i="52" s="1"/>
  <c r="F63" i="71"/>
  <c r="Q64" i="71"/>
  <c r="C41" i="71"/>
  <c r="D40" i="71"/>
  <c r="AA14" i="39"/>
  <c r="S14" i="39"/>
  <c r="U39" i="37"/>
  <c r="AB39" i="37"/>
  <c r="AA24" i="36"/>
  <c r="S24" i="36"/>
  <c r="AC24" i="36"/>
  <c r="W24" i="36"/>
  <c r="AC12" i="36"/>
  <c r="W12" i="36"/>
  <c r="W13" i="34"/>
  <c r="AC13" i="34"/>
  <c r="U46" i="33"/>
  <c r="AB46" i="33"/>
  <c r="AC46" i="33"/>
  <c r="W46" i="33"/>
  <c r="AC44" i="33"/>
  <c r="W44" i="33"/>
  <c r="S14" i="33"/>
  <c r="AA14" i="33"/>
  <c r="U26" i="33"/>
  <c r="AB26" i="33"/>
  <c r="AC26" i="33"/>
  <c r="W26" i="33"/>
  <c r="W12" i="21"/>
  <c r="AC12" i="21"/>
  <c r="BL5" i="3"/>
  <c r="S40" i="37"/>
  <c r="AA40" i="37"/>
  <c r="AB40" i="37"/>
  <c r="U40" i="37"/>
  <c r="U27" i="37"/>
  <c r="AB27" i="37"/>
  <c r="AC9" i="35"/>
  <c r="W9" i="35"/>
  <c r="F28" i="12"/>
  <c r="C29" i="12" s="1"/>
  <c r="D28" i="12" s="1"/>
  <c r="F27" i="69"/>
  <c r="F27" i="68"/>
  <c r="F27" i="11"/>
  <c r="AB12" i="37"/>
  <c r="U12" i="37"/>
  <c r="AA11" i="36"/>
  <c r="S11" i="36"/>
  <c r="W11" i="36"/>
  <c r="AC11" i="36"/>
  <c r="AC23" i="35"/>
  <c r="W23" i="35"/>
  <c r="AC13" i="21"/>
  <c r="W13" i="21"/>
  <c r="AA44" i="21"/>
  <c r="S44" i="21"/>
  <c r="AZ5" i="3"/>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L48" i="81"/>
  <c r="L48" i="80"/>
  <c r="F37" i="80"/>
  <c r="F40" i="81"/>
  <c r="F43" i="81"/>
  <c r="M22" i="80"/>
  <c r="F8" i="80"/>
  <c r="M6" i="81"/>
  <c r="F36" i="81"/>
  <c r="F26" i="80"/>
  <c r="F8" i="81"/>
  <c r="M26" i="81"/>
  <c r="M8" i="80"/>
  <c r="F13" i="80"/>
  <c r="M26" i="80"/>
  <c r="J15" i="81"/>
  <c r="M24" i="81"/>
  <c r="M24" i="80"/>
  <c r="M6" i="80"/>
  <c r="F16" i="81"/>
  <c r="M27" i="80"/>
  <c r="F6" i="80"/>
  <c r="F9" i="80"/>
  <c r="C76" i="81"/>
  <c r="C76" i="80"/>
  <c r="J15" i="80"/>
  <c r="F7" i="81"/>
  <c r="F43" i="80"/>
  <c r="M29" i="81"/>
  <c r="M8" i="81"/>
  <c r="F36" i="80"/>
  <c r="M22" i="81"/>
  <c r="M27" i="81"/>
  <c r="M9" i="80"/>
  <c r="F40" i="80"/>
  <c r="M23" i="81"/>
  <c r="M28" i="81"/>
  <c r="M28" i="80"/>
  <c r="M29" i="80"/>
  <c r="F9" i="81"/>
  <c r="F38" i="80"/>
  <c r="F42" i="80"/>
  <c r="F38" i="81"/>
  <c r="AE6" i="1"/>
  <c r="F13" i="81"/>
  <c r="F26" i="81"/>
  <c r="M23" i="80"/>
  <c r="F6" i="81"/>
  <c r="M9" i="81"/>
  <c r="L47" i="80"/>
  <c r="F16" i="80"/>
  <c r="F37" i="81"/>
  <c r="L47" i="81"/>
  <c r="F7" i="80"/>
  <c r="F42" i="81"/>
  <c r="F68" i="80" l="1"/>
  <c r="C6" i="80"/>
  <c r="C10" i="80" s="1"/>
  <c r="C5" i="80" s="1"/>
  <c r="F51" i="80"/>
  <c r="F71" i="80"/>
  <c r="L59" i="80"/>
  <c r="M59" i="80"/>
  <c r="N59" i="80"/>
  <c r="L58" i="80"/>
  <c r="F66" i="80"/>
  <c r="F71" i="81"/>
  <c r="F50" i="81"/>
  <c r="M7" i="81"/>
  <c r="J6" i="81" s="1"/>
  <c r="J18" i="81" s="1"/>
  <c r="F66" i="81"/>
  <c r="F68" i="81"/>
  <c r="C6" i="81"/>
  <c r="F51" i="81"/>
  <c r="F65" i="80"/>
  <c r="C27" i="80"/>
  <c r="F64" i="80"/>
  <c r="M7" i="80"/>
  <c r="J6" i="80" s="1"/>
  <c r="J18" i="80" s="1"/>
  <c r="F50" i="80"/>
  <c r="L57" i="80"/>
  <c r="L56" i="80"/>
  <c r="L60" i="80"/>
  <c r="J53" i="80"/>
  <c r="J57" i="80"/>
  <c r="J55" i="80" s="1"/>
  <c r="J58" i="80" s="1"/>
  <c r="Q50" i="80" s="1"/>
  <c r="I54" i="80"/>
  <c r="Q71" i="80"/>
  <c r="C27" i="81"/>
  <c r="F64" i="81"/>
  <c r="N59" i="81"/>
  <c r="L58" i="81"/>
  <c r="L59" i="81"/>
  <c r="M59" i="81"/>
  <c r="L56" i="81"/>
  <c r="L60" i="81"/>
  <c r="L57" i="81"/>
  <c r="J57" i="81"/>
  <c r="J55" i="81" s="1"/>
  <c r="J58" i="81" s="1"/>
  <c r="Q50" i="81" s="1"/>
  <c r="I54" i="81"/>
  <c r="J53" i="81"/>
  <c r="Q71" i="81"/>
  <c r="F65" i="81"/>
  <c r="E41" i="43"/>
  <c r="C41" i="43" s="1"/>
  <c r="C20" i="43"/>
  <c r="K61" i="43"/>
  <c r="M61" i="43"/>
  <c r="N61" i="43" s="1"/>
  <c r="K63" i="43"/>
  <c r="J63" i="43" s="1"/>
  <c r="M63" i="43"/>
  <c r="K66" i="43"/>
  <c r="J66" i="43" s="1"/>
  <c r="D66" i="43" s="1"/>
  <c r="M66" i="43"/>
  <c r="N66" i="43" s="1"/>
  <c r="K59" i="43"/>
  <c r="J59" i="43" s="1"/>
  <c r="M59" i="43"/>
  <c r="N59" i="43" s="1"/>
  <c r="K65" i="43"/>
  <c r="M65" i="43"/>
  <c r="N65" i="43" s="1"/>
  <c r="C35" i="79"/>
  <c r="C34" i="79"/>
  <c r="T8" i="79"/>
  <c r="V8" i="79" s="1"/>
  <c r="T14" i="79"/>
  <c r="V14" i="79" s="1"/>
  <c r="P63" i="71"/>
  <c r="P62" i="71"/>
  <c r="J62" i="43"/>
  <c r="D62" i="43"/>
  <c r="J60" i="43"/>
  <c r="D60" i="43"/>
  <c r="J64" i="43"/>
  <c r="D64" i="43"/>
  <c r="T11" i="79"/>
  <c r="V11" i="79" s="1"/>
  <c r="C33" i="79"/>
  <c r="T10" i="79"/>
  <c r="V10" i="79" s="1"/>
  <c r="C36" i="79"/>
  <c r="T9" i="79"/>
  <c r="V9" i="79" s="1"/>
  <c r="C37" i="79"/>
  <c r="C38" i="79"/>
  <c r="C39" i="79"/>
  <c r="F24" i="80"/>
  <c r="C24" i="80" s="1"/>
  <c r="F24" i="81"/>
  <c r="C53" i="81"/>
  <c r="C10" i="81"/>
  <c r="C53" i="80"/>
  <c r="E35" i="79"/>
  <c r="G35" i="79"/>
  <c r="I35" i="79" s="1"/>
  <c r="G34" i="79"/>
  <c r="I34" i="79" s="1"/>
  <c r="E34" i="79"/>
  <c r="H10" i="39"/>
  <c r="AB10" i="39" s="1"/>
  <c r="G33" i="79"/>
  <c r="I33" i="79" s="1"/>
  <c r="E33" i="79"/>
  <c r="G36" i="79"/>
  <c r="I36" i="79" s="1"/>
  <c r="E36" i="79"/>
  <c r="G37" i="79"/>
  <c r="I37" i="79" s="1"/>
  <c r="E37" i="79"/>
  <c r="J10" i="39"/>
  <c r="W10" i="39" s="1"/>
  <c r="J10" i="40"/>
  <c r="AC10" i="40" s="1"/>
  <c r="F10" i="39"/>
  <c r="AA10" i="39" s="1"/>
  <c r="F10" i="40"/>
  <c r="AA10" i="40" s="1"/>
  <c r="E51" i="40"/>
  <c r="F27" i="6"/>
  <c r="F31" i="6" s="1"/>
  <c r="AB10" i="40"/>
  <c r="G68" i="39"/>
  <c r="F70" i="39"/>
  <c r="C47" i="11"/>
  <c r="D45" i="11" s="1"/>
  <c r="C29" i="11"/>
  <c r="D27" i="11" s="1"/>
  <c r="F45" i="69"/>
  <c r="C47" i="69"/>
  <c r="D45" i="69" s="1"/>
  <c r="C29" i="69"/>
  <c r="D27" i="69" s="1"/>
  <c r="E60" i="40"/>
  <c r="E65" i="39"/>
  <c r="E16" i="6"/>
  <c r="E62" i="39"/>
  <c r="E57" i="40"/>
  <c r="E69" i="3"/>
  <c r="E237" i="3"/>
  <c r="E114" i="3"/>
  <c r="E261" i="3"/>
  <c r="E278" i="3"/>
  <c r="E415" i="3"/>
  <c r="E563" i="3"/>
  <c r="E395" i="3"/>
  <c r="E183" i="3"/>
  <c r="E172" i="3"/>
  <c r="E213" i="3"/>
  <c r="E260" i="3"/>
  <c r="E361" i="3"/>
  <c r="E445" i="3"/>
  <c r="E302" i="3"/>
  <c r="E239" i="3"/>
  <c r="O6" i="3"/>
  <c r="E579" i="3"/>
  <c r="E574" i="3"/>
  <c r="E410" i="3"/>
  <c r="E431" i="3"/>
  <c r="E396" i="3"/>
  <c r="E247" i="3"/>
  <c r="E285" i="3"/>
  <c r="E229" i="3"/>
  <c r="E143" i="3"/>
  <c r="E201" i="3"/>
  <c r="E97" i="3"/>
  <c r="E151" i="3"/>
  <c r="E397" i="3"/>
  <c r="E353" i="3"/>
  <c r="E314" i="3"/>
  <c r="E385" i="3"/>
  <c r="E568"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2"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125" i="3"/>
  <c r="E217" i="3"/>
  <c r="E366" i="3"/>
  <c r="E526" i="3"/>
  <c r="E553" i="3"/>
  <c r="E268" i="3"/>
  <c r="E282" i="3"/>
  <c r="E322" i="3"/>
  <c r="N6" i="3"/>
  <c r="AJ6" i="3"/>
  <c r="E212" i="3"/>
  <c r="E141" i="3"/>
  <c r="E369" i="3"/>
  <c r="E525" i="3"/>
  <c r="E534" i="3"/>
  <c r="T6" i="3"/>
  <c r="E405" i="3"/>
  <c r="E456" i="3"/>
  <c r="E469" i="3"/>
  <c r="E512" i="3"/>
  <c r="E408" i="3"/>
  <c r="E451" i="3"/>
  <c r="E376" i="3"/>
  <c r="AH6" i="3"/>
  <c r="E497" i="3"/>
  <c r="E498"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35" i="3"/>
  <c r="E34" i="3"/>
  <c r="E206" i="3"/>
  <c r="E251" i="3"/>
  <c r="AF6" i="3"/>
  <c r="E80" i="3"/>
  <c r="E158" i="3"/>
  <c r="E308" i="3"/>
  <c r="E22"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53" i="3"/>
  <c r="E167" i="3"/>
  <c r="E199" i="3"/>
  <c r="E393" i="3"/>
  <c r="E564" i="3"/>
  <c r="E543" i="3"/>
  <c r="E427" i="3"/>
  <c r="E486" i="3"/>
  <c r="E507" i="3"/>
  <c r="E422" i="3"/>
  <c r="E440" i="3"/>
  <c r="E490" i="3"/>
  <c r="E360" i="3"/>
  <c r="E556" i="3"/>
  <c r="J6" i="3"/>
  <c r="E13"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522" i="3"/>
  <c r="E86" i="3"/>
  <c r="E49" i="3"/>
  <c r="E232" i="3"/>
  <c r="E370" i="3"/>
  <c r="E102" i="3"/>
  <c r="E113" i="3"/>
  <c r="E287" i="3"/>
  <c r="E326" i="3"/>
  <c r="E83" i="3"/>
  <c r="E541" i="3"/>
  <c r="E17" i="3"/>
  <c r="E363" i="3"/>
  <c r="E312" i="3"/>
  <c r="E157" i="3"/>
  <c r="E379" i="3"/>
  <c r="E310" i="3"/>
  <c r="E513" i="3"/>
  <c r="E569" i="3"/>
  <c r="E518" i="3"/>
  <c r="E509" i="3"/>
  <c r="E375" i="3"/>
  <c r="E386" i="3"/>
  <c r="E341" i="3"/>
  <c r="E16" i="3"/>
  <c r="E173" i="3"/>
  <c r="E303" i="3"/>
  <c r="E505" i="3"/>
  <c r="E521" i="3"/>
  <c r="E531" i="3"/>
  <c r="E550" i="3"/>
  <c r="E528" i="3"/>
  <c r="E515" i="3"/>
  <c r="E511" i="3"/>
  <c r="E503" i="3"/>
  <c r="E499" i="3"/>
  <c r="E495" i="3"/>
  <c r="E549" i="3"/>
  <c r="E540" i="3"/>
  <c r="E359" i="3"/>
  <c r="E304" i="3"/>
  <c r="E350" i="3"/>
  <c r="E317" i="3"/>
  <c r="E193" i="3"/>
  <c r="E388" i="3"/>
  <c r="E377" i="3"/>
  <c r="E546" i="3"/>
  <c r="E555" i="3"/>
  <c r="E565" i="3"/>
  <c r="E581" i="3"/>
  <c r="E572" i="3"/>
  <c r="E502" i="3"/>
  <c r="E348" i="3"/>
  <c r="E368" i="3"/>
  <c r="E309" i="3"/>
  <c r="E177" i="3"/>
  <c r="E337" i="3"/>
  <c r="E517" i="3"/>
  <c r="E557" i="3"/>
  <c r="E504" i="3"/>
  <c r="E586" i="3"/>
  <c r="E542" i="3"/>
  <c r="E536" i="3"/>
  <c r="E535" i="3"/>
  <c r="E520" i="3"/>
  <c r="E516" i="3"/>
  <c r="E500" i="3"/>
  <c r="C19" i="71"/>
  <c r="D20" i="71"/>
  <c r="E30" i="6"/>
  <c r="K14" i="1"/>
  <c r="U7" i="37"/>
  <c r="AY6" i="3"/>
  <c r="E3" i="6"/>
  <c r="F45" i="68"/>
  <c r="C29" i="68"/>
  <c r="D27" i="68" s="1"/>
  <c r="C47" i="68"/>
  <c r="D45" i="68" s="1"/>
  <c r="D41" i="71"/>
  <c r="T41" i="71"/>
  <c r="Q62" i="71"/>
  <c r="Q63" i="71"/>
  <c r="E61" i="39"/>
  <c r="E56" i="40"/>
  <c r="E64" i="39"/>
  <c r="E59" i="40"/>
  <c r="E58" i="40"/>
  <c r="E63" i="39"/>
  <c r="E493" i="3"/>
  <c r="D49" i="71"/>
  <c r="T49" i="71"/>
  <c r="D53" i="71"/>
  <c r="T53" i="71"/>
  <c r="D57" i="71"/>
  <c r="T57" i="71"/>
  <c r="B16" i="71"/>
  <c r="B15" i="71" s="1"/>
  <c r="B14" i="71" s="1"/>
  <c r="B13" i="71" s="1"/>
  <c r="S17" i="71"/>
  <c r="E16" i="71"/>
  <c r="E15" i="71" s="1"/>
  <c r="E14" i="71" s="1"/>
  <c r="E13" i="71" s="1"/>
  <c r="V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6" i="81"/>
  <c r="C16" i="80"/>
  <c r="J10" i="81" l="1"/>
  <c r="J5" i="81" s="1"/>
  <c r="J26" i="81" s="1"/>
  <c r="J10" i="80"/>
  <c r="J5" i="80" s="1"/>
  <c r="C5" i="81"/>
  <c r="C38" i="81" s="1"/>
  <c r="C49" i="81"/>
  <c r="C48" i="81" s="1"/>
  <c r="C49" i="80"/>
  <c r="C48" i="80" s="1"/>
  <c r="N63" i="43"/>
  <c r="D63" i="43"/>
  <c r="Q52" i="81"/>
  <c r="F1" i="81"/>
  <c r="Q57" i="81"/>
  <c r="Q66" i="81"/>
  <c r="Q73" i="81"/>
  <c r="Q60" i="81"/>
  <c r="Q66" i="80"/>
  <c r="Q57" i="80"/>
  <c r="Q60" i="80"/>
  <c r="Q73" i="80"/>
  <c r="J65" i="43"/>
  <c r="D65" i="43"/>
  <c r="J61" i="43"/>
  <c r="D61" i="43"/>
  <c r="E59" i="43" s="1"/>
  <c r="B57" i="43" s="1"/>
  <c r="C24" i="43" s="1"/>
  <c r="Q74" i="81"/>
  <c r="Q61" i="81"/>
  <c r="F1" i="80"/>
  <c r="Q52" i="80"/>
  <c r="C32" i="81"/>
  <c r="C33" i="81"/>
  <c r="Q61" i="80"/>
  <c r="Q74" i="80"/>
  <c r="C33" i="80"/>
  <c r="C32" i="80"/>
  <c r="G38" i="79"/>
  <c r="I38" i="79" s="1"/>
  <c r="E38" i="79"/>
  <c r="G39" i="79"/>
  <c r="I39" i="79" s="1"/>
  <c r="E39" i="79"/>
  <c r="C24" i="81"/>
  <c r="C38" i="80"/>
  <c r="W10" i="40"/>
  <c r="S10" i="39"/>
  <c r="U10" i="39"/>
  <c r="S10" i="40"/>
  <c r="AC10" i="39"/>
  <c r="F69" i="15"/>
  <c r="J29" i="15"/>
  <c r="E27" i="6"/>
  <c r="H6" i="3"/>
  <c r="AC6" i="3"/>
  <c r="G70" i="39"/>
  <c r="H68" i="39"/>
  <c r="E12" i="71"/>
  <c r="E11" i="71" s="1"/>
  <c r="E10" i="71" s="1"/>
  <c r="E9" i="71" s="1"/>
  <c r="V13" i="7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215" i="3"/>
  <c r="AY250" i="3"/>
  <c r="AY402" i="3"/>
  <c r="AY551" i="3"/>
  <c r="BP6" i="3"/>
  <c r="AY493" i="3"/>
  <c r="AY62" i="3"/>
  <c r="AY151" i="3"/>
  <c r="AY265" i="3"/>
  <c r="AY359" i="3"/>
  <c r="AY346" i="3"/>
  <c r="AY466" i="3"/>
  <c r="AY424" i="3"/>
  <c r="AY558" i="3"/>
  <c r="AY560" i="3"/>
  <c r="AY587" i="3"/>
  <c r="AY55" i="3"/>
  <c r="AY27" i="3"/>
  <c r="AY148" i="3"/>
  <c r="AY119" i="3"/>
  <c r="AY241" i="3"/>
  <c r="AY224" i="3"/>
  <c r="AY391" i="3"/>
  <c r="AY323" i="3"/>
  <c r="AY306" i="3"/>
  <c r="AY448" i="3"/>
  <c r="AY429" i="3"/>
  <c r="BC6"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396" i="3"/>
  <c r="AY361" i="3"/>
  <c r="AY337" i="3"/>
  <c r="AY305" i="3"/>
  <c r="AY320" i="3"/>
  <c r="AY479" i="3"/>
  <c r="AY476" i="3"/>
  <c r="AY445" i="3"/>
  <c r="AY434" i="3"/>
  <c r="AY415" i="3"/>
  <c r="AY505" i="3"/>
  <c r="AY538" i="3"/>
  <c r="AY522" i="3"/>
  <c r="AY515" i="3"/>
  <c r="AY545" i="3"/>
  <c r="AY79" i="3"/>
  <c r="AY19" i="3"/>
  <c r="AY172" i="3"/>
  <c r="AY301" i="3"/>
  <c r="AY248" i="3"/>
  <c r="AY394" i="3"/>
  <c r="AY331" i="3"/>
  <c r="AY314" i="3"/>
  <c r="AY469" i="3"/>
  <c r="AY456" i="3"/>
  <c r="AY437" i="3"/>
  <c r="AY405" i="3"/>
  <c r="AY517" i="3"/>
  <c r="AY512" i="3"/>
  <c r="BL6" i="3"/>
  <c r="AY91" i="3"/>
  <c r="AY86" i="3"/>
  <c r="AY70" i="3"/>
  <c r="AY38" i="3"/>
  <c r="AY184" i="3"/>
  <c r="AY179" i="3"/>
  <c r="AY159" i="3"/>
  <c r="AY128" i="3"/>
  <c r="AY277" i="3"/>
  <c r="AY273" i="3"/>
  <c r="AY256" i="3"/>
  <c r="AY213" i="3"/>
  <c r="AY367" i="3"/>
  <c r="AY354" i="3"/>
  <c r="AY338" i="3"/>
  <c r="AY490" i="3"/>
  <c r="AY459" i="3"/>
  <c r="AY416" i="3"/>
  <c r="AY550" i="3"/>
  <c r="BD6" i="3"/>
  <c r="AY511" i="3"/>
  <c r="AY504" i="3"/>
  <c r="AY498" i="3"/>
  <c r="M14" i="1"/>
  <c r="C34" i="69"/>
  <c r="K16" i="1"/>
  <c r="E66" i="39"/>
  <c r="D3" i="34"/>
  <c r="D3" i="33"/>
  <c r="E6" i="6"/>
  <c r="D37" i="11"/>
  <c r="C37" i="11" s="1"/>
  <c r="D14" i="12"/>
  <c r="M18" i="9"/>
  <c r="B118" i="9" s="1"/>
  <c r="B14" i="74" s="1"/>
  <c r="B1" i="74" s="1"/>
  <c r="D3" i="21"/>
  <c r="D19" i="11"/>
  <c r="C19" i="11" s="1"/>
  <c r="C24" i="11" s="1"/>
  <c r="D3" i="37"/>
  <c r="C17" i="4"/>
  <c r="B4" i="52" s="1"/>
  <c r="B43" i="72" s="1"/>
  <c r="L18" i="9"/>
  <c r="D19" i="71"/>
  <c r="C18" i="71"/>
  <c r="E6"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AE8" i="1"/>
  <c r="AE7" i="1"/>
  <c r="J24" i="81" l="1"/>
  <c r="J24" i="80"/>
  <c r="J26" i="80"/>
  <c r="C60" i="81"/>
  <c r="C66" i="81"/>
  <c r="C60" i="80"/>
  <c r="C66" i="80"/>
  <c r="C34" i="43"/>
  <c r="C35" i="43"/>
  <c r="T10" i="43"/>
  <c r="V10" i="43" s="1"/>
  <c r="T8" i="43"/>
  <c r="V8" i="43" s="1"/>
  <c r="T11" i="43"/>
  <c r="V11" i="43" s="1"/>
  <c r="C33" i="43"/>
  <c r="C37" i="43"/>
  <c r="C39" i="43"/>
  <c r="T12" i="43"/>
  <c r="V12" i="43" s="1"/>
  <c r="C36" i="43"/>
  <c r="T9" i="43"/>
  <c r="V9" i="43" s="1"/>
  <c r="T15" i="43"/>
  <c r="V15" i="43" s="1"/>
  <c r="T14" i="43"/>
  <c r="V14" i="43" s="1"/>
  <c r="T13" i="43"/>
  <c r="V13" i="43" s="1"/>
  <c r="T16" i="43"/>
  <c r="V16" i="43" s="1"/>
  <c r="C38" i="43"/>
  <c r="B2" i="34"/>
  <c r="B3" i="34" s="1"/>
  <c r="K22" i="6"/>
  <c r="M22" i="6" s="1"/>
  <c r="I22" i="6" s="1"/>
  <c r="S22" i="6" s="1"/>
  <c r="K23" i="6"/>
  <c r="M23" i="6" s="1"/>
  <c r="I23" i="6" s="1"/>
  <c r="S23" i="6" s="1"/>
  <c r="K20" i="6"/>
  <c r="K19" i="6"/>
  <c r="S6" i="1" s="1"/>
  <c r="K21" i="6"/>
  <c r="K25" i="6"/>
  <c r="M25" i="6" s="1"/>
  <c r="I25" i="6" s="1"/>
  <c r="S25" i="6" s="1"/>
  <c r="K26" i="6"/>
  <c r="M26" i="6" s="1"/>
  <c r="I26" i="6" s="1"/>
  <c r="S26" i="6" s="1"/>
  <c r="K24" i="6"/>
  <c r="M24" i="6" s="1"/>
  <c r="I24" i="6" s="1"/>
  <c r="S24" i="6" s="1"/>
  <c r="E31" i="6"/>
  <c r="H70" i="39"/>
  <c r="I68" i="39"/>
  <c r="D17" i="12"/>
  <c r="C17" i="12" s="1"/>
  <c r="C14" i="12"/>
  <c r="D10" i="68"/>
  <c r="D10" i="69"/>
  <c r="D10" i="11"/>
  <c r="C10" i="11" s="1"/>
  <c r="D20" i="12"/>
  <c r="C20" i="12" s="1"/>
  <c r="M16" i="1"/>
  <c r="O14" i="1"/>
  <c r="O16" i="1" s="1"/>
  <c r="B8" i="71"/>
  <c r="B7" i="71" s="1"/>
  <c r="B6" i="71" s="1"/>
  <c r="B5" i="71" s="1"/>
  <c r="S9" i="71"/>
  <c r="E8" i="71"/>
  <c r="E7" i="71" s="1"/>
  <c r="E6" i="71" s="1"/>
  <c r="E5" i="71" s="1"/>
  <c r="V9" i="71"/>
  <c r="C17" i="71"/>
  <c r="D18" i="71"/>
  <c r="C20" i="11"/>
  <c r="C25" i="11" s="1"/>
  <c r="C22" i="11" s="1"/>
  <c r="C8" i="74"/>
  <c r="C7" i="74"/>
  <c r="C35" i="69"/>
  <c r="C38" i="69"/>
  <c r="D25" i="6"/>
  <c r="D22" i="6"/>
  <c r="D24" i="6"/>
  <c r="D6" i="6"/>
  <c r="D9" i="6"/>
  <c r="D10" i="6"/>
  <c r="L19" i="9"/>
  <c r="D29" i="6"/>
  <c r="H22" i="6"/>
  <c r="M19" i="9"/>
  <c r="C118" i="9" s="1"/>
  <c r="C14" i="74" s="1"/>
  <c r="B2" i="74" s="1"/>
  <c r="D19" i="6"/>
  <c r="D26" i="6"/>
  <c r="C18" i="4"/>
  <c r="D8" i="6"/>
  <c r="D23" i="6"/>
  <c r="D14" i="6"/>
  <c r="D5" i="6"/>
  <c r="D12" i="6"/>
  <c r="D11" i="6"/>
  <c r="D13" i="6"/>
  <c r="D28" i="6"/>
  <c r="E61" i="40"/>
  <c r="H26" i="6"/>
  <c r="D15" i="6"/>
  <c r="D21" i="6"/>
  <c r="D20"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0"/>
  <c r="F41" i="81"/>
  <c r="C17" i="15"/>
  <c r="F69" i="81" l="1"/>
  <c r="J29" i="81"/>
  <c r="F69" i="80"/>
  <c r="J29" i="80"/>
  <c r="E38" i="43"/>
  <c r="G38" i="43"/>
  <c r="I38" i="43" s="1"/>
  <c r="E36" i="43"/>
  <c r="G36" i="43"/>
  <c r="I36" i="43" s="1"/>
  <c r="G39" i="43"/>
  <c r="I39" i="43" s="1"/>
  <c r="E39" i="43"/>
  <c r="G33" i="43"/>
  <c r="I33" i="43" s="1"/>
  <c r="E33" i="43"/>
  <c r="E35" i="43"/>
  <c r="G35" i="43"/>
  <c r="I35" i="43" s="1"/>
  <c r="E6" i="70"/>
  <c r="E37" i="43"/>
  <c r="G37" i="43"/>
  <c r="I37" i="43" s="1"/>
  <c r="G34" i="43"/>
  <c r="I34" i="43" s="1"/>
  <c r="E34" i="43"/>
  <c r="M21" i="6"/>
  <c r="I21" i="6" s="1"/>
  <c r="S8" i="1"/>
  <c r="M20" i="6"/>
  <c r="I20" i="6" s="1"/>
  <c r="S7" i="1"/>
  <c r="H25" i="6"/>
  <c r="R25" i="6" s="1"/>
  <c r="AR6" i="1"/>
  <c r="AQ6" i="1"/>
  <c r="T6" i="1"/>
  <c r="H23" i="6"/>
  <c r="H24" i="6"/>
  <c r="R24" i="6" s="1"/>
  <c r="M19" i="6"/>
  <c r="K27" i="6"/>
  <c r="D16" i="6"/>
  <c r="D30" i="6"/>
  <c r="I70" i="39"/>
  <c r="J68" i="39"/>
  <c r="R23" i="6"/>
  <c r="A7" i="51"/>
  <c r="B7" i="72" s="1"/>
  <c r="C4" i="52"/>
  <c r="B45" i="72" s="1"/>
  <c r="A10" i="51"/>
  <c r="B9" i="72" s="1"/>
  <c r="D27" i="6"/>
  <c r="R22" i="6"/>
  <c r="C28" i="11"/>
  <c r="C27" i="11" s="1"/>
  <c r="C31" i="11" s="1"/>
  <c r="C34" i="11"/>
  <c r="N16" i="1"/>
  <c r="L16" i="1"/>
  <c r="C34" i="68"/>
  <c r="C10" i="69"/>
  <c r="C8" i="69" s="1"/>
  <c r="C5" i="69" s="1"/>
  <c r="D19" i="69"/>
  <c r="R26" i="6"/>
  <c r="D8" i="74"/>
  <c r="D7" i="74"/>
  <c r="C16" i="71"/>
  <c r="T17" i="71"/>
  <c r="D17" i="71"/>
  <c r="U17" i="71" s="1"/>
  <c r="P14" i="1"/>
  <c r="P16" i="1" s="1"/>
  <c r="C11" i="12" s="1"/>
  <c r="C10" i="68"/>
  <c r="D19" i="68"/>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C17" i="81"/>
  <c r="C17" i="80"/>
  <c r="C14" i="15"/>
  <c r="L51" i="67"/>
  <c r="B29" i="1" l="1"/>
  <c r="C8" i="68" s="1"/>
  <c r="C18" i="15"/>
  <c r="C15" i="15"/>
  <c r="D31" i="6"/>
  <c r="S16" i="1"/>
  <c r="E7" i="70"/>
  <c r="E2" i="70" s="1"/>
  <c r="E8" i="70"/>
  <c r="AR7" i="1"/>
  <c r="AQ7" i="1"/>
  <c r="T7" i="1"/>
  <c r="AQ8" i="1"/>
  <c r="AR8" i="1"/>
  <c r="T8" i="1"/>
  <c r="S20" i="6"/>
  <c r="H20" i="6"/>
  <c r="R20" i="6" s="1"/>
  <c r="R7" i="1" s="1"/>
  <c r="S21" i="6"/>
  <c r="H21" i="6"/>
  <c r="R21" i="6" s="1"/>
  <c r="R8" i="1" s="1"/>
  <c r="I19" i="6"/>
  <c r="M27" i="6"/>
  <c r="K68" i="39"/>
  <c r="J70" i="39"/>
  <c r="J7" i="21"/>
  <c r="W7" i="21" s="1"/>
  <c r="C19" i="68"/>
  <c r="D37" i="68"/>
  <c r="C37" i="68" s="1"/>
  <c r="C15" i="12"/>
  <c r="C12" i="12"/>
  <c r="C23" i="69"/>
  <c r="C38" i="11"/>
  <c r="C35" i="11"/>
  <c r="I6" i="6"/>
  <c r="I5" i="6"/>
  <c r="C15" i="71"/>
  <c r="D16" i="71"/>
  <c r="C19" i="69"/>
  <c r="C24" i="69" s="1"/>
  <c r="D37" i="69"/>
  <c r="C37" i="69" s="1"/>
  <c r="C33" i="69" s="1"/>
  <c r="C38" i="68"/>
  <c r="C35" i="68"/>
  <c r="F50" i="69"/>
  <c r="F50" i="11"/>
  <c r="F50" i="68"/>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C14" i="81"/>
  <c r="M21" i="80"/>
  <c r="F35" i="81"/>
  <c r="M21" i="81"/>
  <c r="F35" i="80"/>
  <c r="C14" i="80"/>
  <c r="C18" i="12" l="1"/>
  <c r="C19" i="15"/>
  <c r="C20" i="15" s="1"/>
  <c r="C26" i="15" s="1"/>
  <c r="C18" i="81"/>
  <c r="C15" i="81"/>
  <c r="C18" i="80"/>
  <c r="C15" i="80"/>
  <c r="F63" i="81"/>
  <c r="C62" i="81" s="1"/>
  <c r="C34" i="81"/>
  <c r="C31" i="81" s="1"/>
  <c r="J20" i="81"/>
  <c r="C34" i="80"/>
  <c r="C31" i="80" s="1"/>
  <c r="F63" i="80"/>
  <c r="C62" i="80" s="1"/>
  <c r="J20" i="80"/>
  <c r="T16" i="1"/>
  <c r="G3" i="79"/>
  <c r="G3" i="43"/>
  <c r="C33" i="11"/>
  <c r="C42" i="11" s="1"/>
  <c r="H19" i="6"/>
  <c r="S19" i="6"/>
  <c r="S27" i="6" s="1"/>
  <c r="I27" i="6"/>
  <c r="J7" i="35"/>
  <c r="AC7" i="35" s="1"/>
  <c r="V38" i="35" s="1"/>
  <c r="I38" i="35" s="1"/>
  <c r="L68" i="39"/>
  <c r="K70" i="39"/>
  <c r="C16" i="12"/>
  <c r="C21" i="12" s="1"/>
  <c r="C22" i="12" s="1"/>
  <c r="C39" i="69"/>
  <c r="C43" i="69" s="1"/>
  <c r="C42" i="69"/>
  <c r="C39" i="11"/>
  <c r="C24" i="68"/>
  <c r="C14" i="71"/>
  <c r="D15" i="71"/>
  <c r="C20" i="69"/>
  <c r="C33" i="68"/>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80" l="1"/>
  <c r="C23" i="15"/>
  <c r="C29" i="15" s="1"/>
  <c r="C57" i="15" s="1"/>
  <c r="C19" i="81"/>
  <c r="C20" i="81" s="1"/>
  <c r="C36" i="15"/>
  <c r="C20" i="80"/>
  <c r="C26" i="80" s="1"/>
  <c r="N101" i="43"/>
  <c r="I101" i="43"/>
  <c r="F101" i="43"/>
  <c r="H22" i="43"/>
  <c r="E101" i="43"/>
  <c r="B113" i="43"/>
  <c r="C101" i="43"/>
  <c r="N104" i="46"/>
  <c r="H101" i="43"/>
  <c r="AJ11" i="43"/>
  <c r="AJ13" i="43" s="1"/>
  <c r="AF11" i="43"/>
  <c r="AF13" i="43" s="1"/>
  <c r="AB11" i="43"/>
  <c r="AB13" i="43" s="1"/>
  <c r="Z7" i="43"/>
  <c r="AG11" i="43"/>
  <c r="AG13" i="43" s="1"/>
  <c r="AC11" i="43"/>
  <c r="AC13" i="43" s="1"/>
  <c r="Y11" i="43"/>
  <c r="Y13" i="43" s="1"/>
  <c r="K101" i="43"/>
  <c r="D101" i="43"/>
  <c r="F22" i="43"/>
  <c r="E22" i="43"/>
  <c r="M101" i="43"/>
  <c r="J22" i="43"/>
  <c r="G101" i="43"/>
  <c r="J101" i="43"/>
  <c r="L101" i="43"/>
  <c r="G22" i="43"/>
  <c r="AH11" i="43"/>
  <c r="AH13" i="43" s="1"/>
  <c r="AD11" i="43"/>
  <c r="AD13" i="43" s="1"/>
  <c r="Z11" i="43"/>
  <c r="Z13" i="43" s="1"/>
  <c r="AI11" i="43"/>
  <c r="AI13" i="43" s="1"/>
  <c r="AE11" i="43"/>
  <c r="AE13" i="43" s="1"/>
  <c r="AA11" i="43"/>
  <c r="AA13" i="43" s="1"/>
  <c r="S6" i="43"/>
  <c r="T6" i="43" s="1"/>
  <c r="V6" i="43" s="1"/>
  <c r="S4" i="43"/>
  <c r="T4" i="43" s="1"/>
  <c r="V4" i="43" s="1"/>
  <c r="C23" i="43"/>
  <c r="S3" i="43"/>
  <c r="T3" i="43" s="1"/>
  <c r="V3" i="43" s="1"/>
  <c r="S5" i="43"/>
  <c r="T5" i="43" s="1"/>
  <c r="V5" i="43" s="1"/>
  <c r="S2" i="43"/>
  <c r="T2" i="43" s="1"/>
  <c r="V2" i="43" s="1"/>
  <c r="S7" i="43"/>
  <c r="T7" i="43" s="1"/>
  <c r="V7" i="43" s="1"/>
  <c r="S5" i="79"/>
  <c r="T5" i="79" s="1"/>
  <c r="V5" i="79" s="1"/>
  <c r="S6" i="79"/>
  <c r="T6" i="79" s="1"/>
  <c r="V6" i="79" s="1"/>
  <c r="N101" i="79"/>
  <c r="J101" i="79"/>
  <c r="F101" i="79"/>
  <c r="M101" i="79"/>
  <c r="E101" i="79"/>
  <c r="F22" i="79"/>
  <c r="C101" i="79"/>
  <c r="E22" i="79"/>
  <c r="AH11" i="79"/>
  <c r="AH13" i="79" s="1"/>
  <c r="AD11" i="79"/>
  <c r="AD13" i="79" s="1"/>
  <c r="Z11" i="79"/>
  <c r="Z13" i="79" s="1"/>
  <c r="G101" i="79"/>
  <c r="G22" i="79"/>
  <c r="AG11" i="79"/>
  <c r="AG13" i="79" s="1"/>
  <c r="AC11" i="79"/>
  <c r="AC13" i="79" s="1"/>
  <c r="Y11" i="79"/>
  <c r="Y13" i="79" s="1"/>
  <c r="Z7" i="79"/>
  <c r="S3" i="79"/>
  <c r="T3" i="79" s="1"/>
  <c r="V3" i="79" s="1"/>
  <c r="S2" i="79"/>
  <c r="T2" i="79" s="1"/>
  <c r="V2" i="79" s="1"/>
  <c r="L101" i="79"/>
  <c r="H101" i="79"/>
  <c r="D101" i="79"/>
  <c r="I101" i="79"/>
  <c r="H22" i="79"/>
  <c r="K101" i="79"/>
  <c r="J22" i="79"/>
  <c r="AJ11" i="79"/>
  <c r="AJ13" i="79" s="1"/>
  <c r="AF11" i="79"/>
  <c r="AF13" i="79" s="1"/>
  <c r="AB11" i="79"/>
  <c r="AB13" i="79" s="1"/>
  <c r="B113" i="79"/>
  <c r="C23" i="79"/>
  <c r="AI11" i="79"/>
  <c r="AI13" i="79" s="1"/>
  <c r="AE11" i="79"/>
  <c r="AE13" i="79" s="1"/>
  <c r="AA11" i="79"/>
  <c r="AA13" i="79" s="1"/>
  <c r="S4" i="79"/>
  <c r="T4" i="79" s="1"/>
  <c r="V4" i="79" s="1"/>
  <c r="S7" i="79"/>
  <c r="T7" i="79" s="1"/>
  <c r="V7" i="79" s="1"/>
  <c r="H27" i="6"/>
  <c r="R19" i="6"/>
  <c r="M68" i="39"/>
  <c r="L70" i="39"/>
  <c r="C41" i="69"/>
  <c r="C30" i="12"/>
  <c r="C28" i="12" s="1"/>
  <c r="C27" i="12"/>
  <c r="C25" i="12" s="1"/>
  <c r="C28" i="69"/>
  <c r="C27" i="69" s="1"/>
  <c r="C25" i="69"/>
  <c r="C22" i="69" s="1"/>
  <c r="D14" i="71"/>
  <c r="C13" i="71"/>
  <c r="C46" i="11"/>
  <c r="C45" i="11" s="1"/>
  <c r="C43" i="11"/>
  <c r="C41" i="11" s="1"/>
  <c r="C46" i="69"/>
  <c r="C45" i="69" s="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3" i="15" l="1"/>
  <c r="C37" i="15" s="1"/>
  <c r="J19" i="15"/>
  <c r="J59" i="15"/>
  <c r="J60" i="15" s="1"/>
  <c r="Q48" i="15" s="1"/>
  <c r="J14" i="15"/>
  <c r="J22" i="15" s="1"/>
  <c r="Q49" i="15"/>
  <c r="C26" i="81"/>
  <c r="C23" i="81"/>
  <c r="C23" i="80"/>
  <c r="C29" i="80" s="1"/>
  <c r="J14" i="80" s="1"/>
  <c r="C56" i="15"/>
  <c r="C65" i="15" s="1"/>
  <c r="Q70" i="15"/>
  <c r="C61" i="15"/>
  <c r="C64" i="15"/>
  <c r="C26" i="79"/>
  <c r="B2" i="79" s="1"/>
  <c r="B3" i="79" s="1"/>
  <c r="K105" i="79"/>
  <c r="K106" i="79"/>
  <c r="K102" i="79"/>
  <c r="K109" i="79"/>
  <c r="K107" i="79"/>
  <c r="K103" i="79"/>
  <c r="K104" i="79"/>
  <c r="I109" i="79"/>
  <c r="I106" i="79"/>
  <c r="I104" i="79"/>
  <c r="I102" i="79"/>
  <c r="I107" i="79"/>
  <c r="I105" i="79"/>
  <c r="I103" i="79"/>
  <c r="H106" i="79"/>
  <c r="H104" i="79"/>
  <c r="H102" i="79"/>
  <c r="H109" i="79"/>
  <c r="H105" i="79"/>
  <c r="H107" i="79"/>
  <c r="H103" i="79"/>
  <c r="C105" i="79"/>
  <c r="C106" i="79"/>
  <c r="C102" i="79"/>
  <c r="C109" i="79"/>
  <c r="C107" i="79"/>
  <c r="C103" i="79"/>
  <c r="C104" i="79"/>
  <c r="E109" i="79"/>
  <c r="E106" i="79"/>
  <c r="E104" i="79"/>
  <c r="E102" i="79"/>
  <c r="E107" i="79"/>
  <c r="E105" i="79"/>
  <c r="E103" i="79"/>
  <c r="F109" i="79"/>
  <c r="F106" i="79"/>
  <c r="F104" i="79"/>
  <c r="F102" i="79"/>
  <c r="F107" i="79"/>
  <c r="F105" i="79"/>
  <c r="F103" i="79"/>
  <c r="N109" i="79"/>
  <c r="N106" i="79"/>
  <c r="N104" i="79"/>
  <c r="N102" i="79"/>
  <c r="N107" i="79"/>
  <c r="N105" i="79"/>
  <c r="N103" i="79"/>
  <c r="J107" i="43"/>
  <c r="J105" i="43"/>
  <c r="J104" i="43"/>
  <c r="J109" i="43"/>
  <c r="J102" i="43"/>
  <c r="J106" i="43"/>
  <c r="J103" i="43"/>
  <c r="D22" i="43"/>
  <c r="C21" i="43" s="1"/>
  <c r="C29" i="43" s="1"/>
  <c r="D103" i="43"/>
  <c r="D105" i="43"/>
  <c r="D106" i="43"/>
  <c r="D104" i="43"/>
  <c r="D109" i="43"/>
  <c r="D107" i="43"/>
  <c r="D102" i="43"/>
  <c r="I115" i="43"/>
  <c r="J115" i="43" s="1"/>
  <c r="K115" i="43" s="1"/>
  <c r="L115" i="43" s="1"/>
  <c r="M115" i="43" s="1"/>
  <c r="B117" i="43"/>
  <c r="C117" i="43" s="1"/>
  <c r="D118" i="43"/>
  <c r="E118" i="43" s="1"/>
  <c r="F118"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5" i="43"/>
  <c r="E115" i="43" s="1"/>
  <c r="F115" i="43" s="1"/>
  <c r="G115" i="43" s="1"/>
  <c r="H115" i="43" s="1"/>
  <c r="G118" i="43"/>
  <c r="H118" i="43" s="1"/>
  <c r="B118" i="43"/>
  <c r="C118" i="43" s="1"/>
  <c r="B115" i="43"/>
  <c r="C115" i="43" s="1"/>
  <c r="D113" i="43" s="1"/>
  <c r="I118" i="43"/>
  <c r="J118" i="43" s="1"/>
  <c r="K118" i="43" s="1"/>
  <c r="L118" i="43" s="1"/>
  <c r="M118" i="43" s="1"/>
  <c r="I102" i="43"/>
  <c r="I106" i="43"/>
  <c r="I107" i="43"/>
  <c r="I105" i="43"/>
  <c r="I109" i="43"/>
  <c r="I103" i="43"/>
  <c r="I104" i="43"/>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5" i="79"/>
  <c r="G118" i="79"/>
  <c r="H118" i="79" s="1"/>
  <c r="I116" i="79"/>
  <c r="J116" i="79" s="1"/>
  <c r="K116" i="79" s="1"/>
  <c r="L116" i="79" s="1"/>
  <c r="M116" i="79" s="1"/>
  <c r="D118" i="79"/>
  <c r="E118" i="79" s="1"/>
  <c r="F118" i="79" s="1"/>
  <c r="D116" i="79"/>
  <c r="E116" i="79" s="1"/>
  <c r="F116" i="79" s="1"/>
  <c r="G116" i="79" s="1"/>
  <c r="H116" i="79" s="1"/>
  <c r="B118" i="79"/>
  <c r="C118" i="79" s="1"/>
  <c r="B117" i="79"/>
  <c r="C117" i="79" s="1"/>
  <c r="D109" i="79"/>
  <c r="D106" i="79"/>
  <c r="D104" i="79"/>
  <c r="D102" i="79"/>
  <c r="D107" i="79"/>
  <c r="D103" i="79"/>
  <c r="D105" i="79"/>
  <c r="L106" i="79"/>
  <c r="L104" i="79"/>
  <c r="L102" i="79"/>
  <c r="L109" i="79"/>
  <c r="L107" i="79"/>
  <c r="L103" i="79"/>
  <c r="L105" i="79"/>
  <c r="G104" i="79"/>
  <c r="G109" i="79"/>
  <c r="G105" i="79"/>
  <c r="G106" i="79"/>
  <c r="G102" i="79"/>
  <c r="G107" i="79"/>
  <c r="G103" i="79"/>
  <c r="D22" i="79"/>
  <c r="C21" i="79" s="1"/>
  <c r="C29" i="79" s="1"/>
  <c r="M109" i="79"/>
  <c r="M106" i="79"/>
  <c r="M104" i="79"/>
  <c r="M102" i="79"/>
  <c r="M107" i="79"/>
  <c r="M105" i="79"/>
  <c r="M103" i="79"/>
  <c r="J109" i="79"/>
  <c r="J106" i="79"/>
  <c r="J104" i="79"/>
  <c r="J102" i="79"/>
  <c r="J107" i="79"/>
  <c r="J105" i="79"/>
  <c r="J103" i="79"/>
  <c r="L105" i="43"/>
  <c r="L109" i="43"/>
  <c r="L103" i="43"/>
  <c r="L102" i="43"/>
  <c r="L104" i="43"/>
  <c r="L106" i="43"/>
  <c r="L107" i="43"/>
  <c r="G104" i="43"/>
  <c r="G109" i="43"/>
  <c r="G102" i="43"/>
  <c r="G107" i="43"/>
  <c r="G106" i="43"/>
  <c r="G105" i="43"/>
  <c r="G103" i="43"/>
  <c r="M103" i="43"/>
  <c r="M105" i="43"/>
  <c r="M107" i="43"/>
  <c r="M102" i="43"/>
  <c r="M104" i="43"/>
  <c r="M109" i="43"/>
  <c r="M106" i="43"/>
  <c r="K103" i="43"/>
  <c r="K102" i="43"/>
  <c r="K105" i="43"/>
  <c r="K107" i="43"/>
  <c r="K109" i="43"/>
  <c r="K104" i="43"/>
  <c r="K106" i="43"/>
  <c r="H107" i="43"/>
  <c r="H105" i="43"/>
  <c r="H103" i="43"/>
  <c r="H104" i="43"/>
  <c r="H106" i="43"/>
  <c r="H109" i="43"/>
  <c r="H102" i="43"/>
  <c r="C104" i="43"/>
  <c r="C107" i="43"/>
  <c r="C109" i="43"/>
  <c r="C106" i="43"/>
  <c r="C102" i="43"/>
  <c r="C103" i="43"/>
  <c r="C105" i="43"/>
  <c r="E107" i="43"/>
  <c r="E102" i="43"/>
  <c r="E104" i="43"/>
  <c r="E105" i="43"/>
  <c r="E109" i="43"/>
  <c r="E106" i="43"/>
  <c r="E103" i="43"/>
  <c r="F109" i="43"/>
  <c r="F102" i="43"/>
  <c r="F103" i="43"/>
  <c r="F104" i="43"/>
  <c r="F106" i="43"/>
  <c r="F105" i="43"/>
  <c r="F107" i="43"/>
  <c r="N102" i="43"/>
  <c r="N105" i="43"/>
  <c r="N104" i="43"/>
  <c r="N107" i="43"/>
  <c r="N106" i="43"/>
  <c r="N103" i="43"/>
  <c r="N109" i="43"/>
  <c r="R27" i="6"/>
  <c r="R6" i="1"/>
  <c r="C49" i="11"/>
  <c r="C51" i="11" s="1"/>
  <c r="M70" i="39"/>
  <c r="N68" i="39"/>
  <c r="C32" i="12"/>
  <c r="B2" i="12" s="1"/>
  <c r="B3" i="12" s="1"/>
  <c r="C49" i="69"/>
  <c r="C51" i="69" s="1"/>
  <c r="C31" i="69"/>
  <c r="C52" i="11"/>
  <c r="B2" i="11" s="1"/>
  <c r="B3" i="11" s="1"/>
  <c r="C46" i="68"/>
  <c r="C45" i="68" s="1"/>
  <c r="C43" i="68"/>
  <c r="C41" i="68" s="1"/>
  <c r="C12" i="71"/>
  <c r="T13" i="71"/>
  <c r="D13" i="71"/>
  <c r="U13" i="71" s="1"/>
  <c r="R39" i="35"/>
  <c r="E38" i="35"/>
  <c r="M63" i="40"/>
  <c r="L65" i="40"/>
  <c r="M21" i="15"/>
  <c r="F35" i="15"/>
  <c r="C75" i="15" l="1"/>
  <c r="J13" i="15"/>
  <c r="J23" i="15" s="1"/>
  <c r="C13" i="80"/>
  <c r="C75" i="80" s="1"/>
  <c r="J19" i="80"/>
  <c r="J17" i="80" s="1"/>
  <c r="C36" i="80"/>
  <c r="J59" i="80"/>
  <c r="J60" i="80" s="1"/>
  <c r="L46" i="80" s="1"/>
  <c r="C57" i="80"/>
  <c r="C61" i="80" s="1"/>
  <c r="C59" i="80" s="1"/>
  <c r="Q49" i="80"/>
  <c r="C29" i="81"/>
  <c r="J13" i="80"/>
  <c r="J23" i="80" s="1"/>
  <c r="J22" i="80"/>
  <c r="C30" i="43"/>
  <c r="E30" i="43" s="1"/>
  <c r="C27" i="43" s="1"/>
  <c r="E29" i="43"/>
  <c r="C26" i="43" s="1"/>
  <c r="E29" i="79"/>
  <c r="C30" i="79"/>
  <c r="E30" i="79" s="1"/>
  <c r="C27" i="79" s="1"/>
  <c r="C115" i="79"/>
  <c r="D113" i="79"/>
  <c r="F63" i="15"/>
  <c r="C62" i="15" s="1"/>
  <c r="C59" i="15" s="1"/>
  <c r="C58" i="15" s="1"/>
  <c r="C67" i="15" s="1"/>
  <c r="C68" i="15" s="1"/>
  <c r="C34" i="15"/>
  <c r="C31" i="15" s="1"/>
  <c r="C30" i="15" s="1"/>
  <c r="C39" i="15" s="1"/>
  <c r="J20" i="15"/>
  <c r="J17" i="15" s="1"/>
  <c r="J16" i="15" s="1"/>
  <c r="J25" i="15" s="1"/>
  <c r="R16" i="1"/>
  <c r="N70" i="39"/>
  <c r="O68" i="39"/>
  <c r="O70" i="39" s="1"/>
  <c r="H7" i="39" s="1"/>
  <c r="C52" i="69"/>
  <c r="B2" i="69" s="1"/>
  <c r="B3" i="69" s="1"/>
  <c r="C49" i="68"/>
  <c r="C51" i="68" s="1"/>
  <c r="C56" i="11"/>
  <c r="C57" i="11" s="1"/>
  <c r="D12" i="71"/>
  <c r="C11" i="71"/>
  <c r="C39" i="35"/>
  <c r="B2" i="35" s="1"/>
  <c r="B3" i="35" s="1"/>
  <c r="C38" i="35"/>
  <c r="N63" i="40"/>
  <c r="M65" i="40"/>
  <c r="E43" i="35"/>
  <c r="F43" i="35" s="1"/>
  <c r="E42" i="35"/>
  <c r="F42" i="35" s="1"/>
  <c r="I43" i="35"/>
  <c r="J43" i="35" s="1"/>
  <c r="L51" i="15"/>
  <c r="E6" i="76"/>
  <c r="C37" i="80" l="1"/>
  <c r="C30" i="80" s="1"/>
  <c r="C39" i="80" s="1"/>
  <c r="C56" i="80"/>
  <c r="C65" i="80" s="1"/>
  <c r="C64" i="80"/>
  <c r="Q70" i="80"/>
  <c r="Q48" i="80"/>
  <c r="C36" i="81"/>
  <c r="Q49" i="81"/>
  <c r="J19" i="81"/>
  <c r="J17" i="81" s="1"/>
  <c r="J59" i="81"/>
  <c r="J60" i="81" s="1"/>
  <c r="J14" i="81"/>
  <c r="C57" i="81"/>
  <c r="C13" i="81"/>
  <c r="J16" i="80"/>
  <c r="J25" i="80" s="1"/>
  <c r="C40" i="80"/>
  <c r="Q69" i="80"/>
  <c r="C80" i="80"/>
  <c r="C79" i="80" s="1"/>
  <c r="E2" i="76"/>
  <c r="B2" i="43"/>
  <c r="C6" i="68" s="1"/>
  <c r="L57" i="15"/>
  <c r="L60" i="15" s="1"/>
  <c r="Q67" i="15"/>
  <c r="C40" i="15"/>
  <c r="C46" i="15" s="1"/>
  <c r="C80" i="15"/>
  <c r="C79" i="15" s="1"/>
  <c r="Q69" i="15"/>
  <c r="Q68" i="15" s="1"/>
  <c r="C71" i="15"/>
  <c r="C57" i="69"/>
  <c r="C56" i="69" s="1"/>
  <c r="U7" i="39"/>
  <c r="AB7" i="39"/>
  <c r="T47" i="39" s="1"/>
  <c r="G47" i="39" s="1"/>
  <c r="G51" i="39" s="1"/>
  <c r="H51" i="39" s="1"/>
  <c r="J7" i="39"/>
  <c r="F7" i="39"/>
  <c r="C10" i="71"/>
  <c r="D11" i="71"/>
  <c r="O63" i="40"/>
  <c r="O65" i="40" s="1"/>
  <c r="N65" i="40"/>
  <c r="L51" i="80"/>
  <c r="B6" i="76"/>
  <c r="C58" i="80" l="1"/>
  <c r="C67" i="80" s="1"/>
  <c r="C68" i="80" s="1"/>
  <c r="C71" i="80" s="1"/>
  <c r="Q68" i="80"/>
  <c r="C37" i="81"/>
  <c r="C30" i="81" s="1"/>
  <c r="C39" i="81" s="1"/>
  <c r="C56" i="81"/>
  <c r="C65" i="81" s="1"/>
  <c r="C75" i="81"/>
  <c r="C80" i="81" s="1"/>
  <c r="C79" i="81" s="1"/>
  <c r="Q70" i="81"/>
  <c r="J22" i="81"/>
  <c r="J13" i="81"/>
  <c r="J23" i="81" s="1"/>
  <c r="C61" i="81"/>
  <c r="C59" i="81" s="1"/>
  <c r="C64" i="81"/>
  <c r="Q48" i="81"/>
  <c r="L46" i="81"/>
  <c r="Q67" i="80"/>
  <c r="Q56" i="80"/>
  <c r="Q62" i="80" s="1"/>
  <c r="Q47" i="80"/>
  <c r="Q53" i="80" s="1"/>
  <c r="C43" i="80"/>
  <c r="B2" i="80"/>
  <c r="C83" i="80"/>
  <c r="C82" i="80" s="1"/>
  <c r="Q65" i="80"/>
  <c r="Q75" i="80" s="1"/>
  <c r="B2" i="76"/>
  <c r="B3" i="76" s="1"/>
  <c r="B3" i="43"/>
  <c r="Q65" i="15"/>
  <c r="Q47" i="15"/>
  <c r="Q53" i="15" s="1"/>
  <c r="Q56" i="15"/>
  <c r="C43" i="15"/>
  <c r="C83" i="15"/>
  <c r="C82" i="15" s="1"/>
  <c r="L46" i="15"/>
  <c r="B2" i="15" s="1"/>
  <c r="Q57" i="15"/>
  <c r="Q62" i="15" s="1"/>
  <c r="Q66" i="15"/>
  <c r="AA7" i="39"/>
  <c r="R47" i="39" s="1"/>
  <c r="S7" i="39"/>
  <c r="W7" i="39"/>
  <c r="AC7" i="39"/>
  <c r="V47" i="39" s="1"/>
  <c r="I47" i="39" s="1"/>
  <c r="D10" i="71"/>
  <c r="C9" i="71"/>
  <c r="J7" i="40"/>
  <c r="F7" i="40"/>
  <c r="H7" i="40"/>
  <c r="L51" i="81"/>
  <c r="AO7" i="1"/>
  <c r="AO6" i="1"/>
  <c r="C46" i="80" l="1"/>
  <c r="C58" i="81"/>
  <c r="C67" i="81" s="1"/>
  <c r="C68" i="81" s="1"/>
  <c r="C71" i="81" s="1"/>
  <c r="J16" i="81"/>
  <c r="J25" i="81" s="1"/>
  <c r="Q67" i="81"/>
  <c r="C40" i="81"/>
  <c r="Q69" i="81"/>
  <c r="Q68" i="81" s="1"/>
  <c r="B7" i="70"/>
  <c r="B3" i="80"/>
  <c r="C7" i="68"/>
  <c r="C5" i="68" s="1"/>
  <c r="Q75" i="15"/>
  <c r="B6" i="70"/>
  <c r="B3" i="15"/>
  <c r="E47" i="39"/>
  <c r="R48" i="39"/>
  <c r="I52" i="39"/>
  <c r="J52" i="39" s="1"/>
  <c r="I51" i="39"/>
  <c r="J51" i="39" s="1"/>
  <c r="G52" i="39"/>
  <c r="H52" i="39" s="1"/>
  <c r="C8" i="71"/>
  <c r="T9" i="71"/>
  <c r="D9" i="71"/>
  <c r="U9" i="71" s="1"/>
  <c r="U7" i="40"/>
  <c r="AB7" i="40"/>
  <c r="T42" i="40" s="1"/>
  <c r="G42" i="40" s="1"/>
  <c r="AA7" i="40"/>
  <c r="R42" i="40" s="1"/>
  <c r="S7" i="40"/>
  <c r="AC7" i="40"/>
  <c r="V42" i="40" s="1"/>
  <c r="I42" i="40" s="1"/>
  <c r="W7" i="40"/>
  <c r="Q65" i="81" l="1"/>
  <c r="Q75" i="81" s="1"/>
  <c r="Q47" i="81"/>
  <c r="Q53" i="81" s="1"/>
  <c r="Q56" i="81"/>
  <c r="Q62" i="81" s="1"/>
  <c r="C43" i="81"/>
  <c r="B2" i="81"/>
  <c r="C83" i="81"/>
  <c r="C82" i="81" s="1"/>
  <c r="C46" i="81"/>
  <c r="C23" i="68"/>
  <c r="C20" i="68"/>
  <c r="C25" i="68" s="1"/>
  <c r="C47" i="39"/>
  <c r="C48" i="39"/>
  <c r="E51" i="39"/>
  <c r="F51" i="39" s="1"/>
  <c r="E52" i="39"/>
  <c r="F52" i="39" s="1"/>
  <c r="D8" i="71"/>
  <c r="C7" i="71"/>
  <c r="I46" i="40"/>
  <c r="J46" i="40" s="1"/>
  <c r="R43" i="40"/>
  <c r="E42" i="40"/>
  <c r="G47" i="40"/>
  <c r="H47" i="40" s="1"/>
  <c r="G46" i="40"/>
  <c r="H46" i="40" s="1"/>
  <c r="AO8" i="1"/>
  <c r="B8" i="70" l="1"/>
  <c r="B2" i="70" s="1"/>
  <c r="B3" i="70" s="1"/>
  <c r="B3" i="81"/>
  <c r="C22" i="68"/>
  <c r="C28" i="68"/>
  <c r="C27" i="68"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6" i="71"/>
  <c r="D7" i="71"/>
  <c r="C42" i="40"/>
  <c r="C43" i="40"/>
  <c r="E47" i="40"/>
  <c r="F47" i="40" s="1"/>
  <c r="E46" i="40"/>
  <c r="F46" i="40" s="1"/>
  <c r="I47" i="40"/>
  <c r="J47" i="40" s="1"/>
  <c r="D20" i="9"/>
  <c r="D19" i="9"/>
  <c r="D21" i="9" l="1"/>
  <c r="D102" i="9"/>
  <c r="D103" i="9"/>
  <c r="C31" i="68"/>
  <c r="C52" i="68" s="1"/>
  <c r="B2"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M20" i="79" l="1"/>
  <c r="C57" i="68"/>
  <c r="C56" i="68" s="1"/>
  <c r="C21" i="9"/>
  <c r="C102" i="9"/>
  <c r="D22" i="9"/>
  <c r="G19" i="9"/>
  <c r="G21" i="9" s="1"/>
  <c r="B3" i="68"/>
  <c r="D5" i="71"/>
  <c r="M20" i="43"/>
  <c r="C20" i="9"/>
  <c r="D34" i="9"/>
  <c r="D35" i="9"/>
  <c r="C103" i="9" l="1"/>
  <c r="G20" i="9"/>
  <c r="C32" i="9" s="1"/>
  <c r="C35" i="9" l="1"/>
  <c r="H118" i="9"/>
  <c r="C104" i="9" l="1"/>
  <c r="I118" i="9"/>
  <c r="H119" i="9"/>
  <c r="H5" i="52" s="1"/>
  <c r="H101" i="9"/>
  <c r="H4" i="52"/>
  <c r="D14" i="74"/>
  <c r="C34" i="9"/>
  <c r="D118" i="9" s="1"/>
  <c r="F118" i="9"/>
  <c r="F4" i="52" l="1"/>
  <c r="B51" i="72" s="1"/>
  <c r="G118" i="9"/>
  <c r="G4" i="52" s="1"/>
  <c r="B52" i="72" s="1"/>
  <c r="F119" i="9"/>
  <c r="F5" i="52" s="1"/>
  <c r="B53" i="72" s="1"/>
  <c r="F14" i="74"/>
  <c r="B5" i="74"/>
  <c r="E14" i="74"/>
  <c r="M48" i="9"/>
  <c r="D45" i="9"/>
  <c r="D5" i="53"/>
  <c r="H107" i="9"/>
  <c r="H102" i="9"/>
  <c r="D7" i="53" s="1"/>
  <c r="B21" i="72" s="1"/>
  <c r="C105" i="9"/>
  <c r="I4" i="52"/>
  <c r="D119" i="9"/>
  <c r="D5" i="52" s="1"/>
  <c r="B49" i="72" s="1"/>
  <c r="D4" i="52"/>
  <c r="B47" i="72" s="1"/>
  <c r="D13" i="53" l="1"/>
  <c r="D122" i="9"/>
  <c r="H108" i="9"/>
  <c r="D15" i="53" s="1"/>
  <c r="B31" i="72" s="1"/>
  <c r="M49" i="9"/>
  <c r="D52" i="9"/>
  <c r="C85" i="9"/>
  <c r="D53" i="9"/>
  <c r="C93" i="9"/>
  <c r="C86" i="9" s="1"/>
  <c r="C72" i="9"/>
  <c r="D55" i="9"/>
  <c r="M53" i="9" s="1"/>
  <c r="C78" i="9"/>
  <c r="C73" i="9" s="1"/>
  <c r="C64" i="9"/>
  <c r="C63" i="9" s="1"/>
  <c r="C67" i="9" s="1"/>
  <c r="E118" i="9"/>
  <c r="E4" i="52" s="1"/>
  <c r="B48" i="72" s="1"/>
  <c r="D6" i="53"/>
  <c r="B22" i="72" s="1"/>
  <c r="B20" i="72"/>
  <c r="C5" i="74"/>
  <c r="D5" i="74"/>
  <c r="D59" i="9" l="1"/>
  <c r="M55" i="9" s="1"/>
  <c r="C68" i="9"/>
  <c r="D54" i="9" s="1"/>
  <c r="C95" i="9"/>
  <c r="L66" i="9"/>
  <c r="M66" i="9" s="1"/>
  <c r="L67" i="9"/>
  <c r="M67" i="9" s="1"/>
  <c r="L63" i="9"/>
  <c r="M63" i="9" s="1"/>
  <c r="L65" i="9"/>
  <c r="M65" i="9" s="1"/>
  <c r="L68" i="9"/>
  <c r="M68" i="9" s="1"/>
  <c r="L64" i="9"/>
  <c r="M64" i="9" s="1"/>
  <c r="D123" i="9"/>
  <c r="D9" i="52" s="1"/>
  <c r="D8" i="52"/>
  <c r="G14" i="74"/>
  <c r="B6" i="74" s="1"/>
  <c r="C79" i="9"/>
  <c r="B30" i="72"/>
  <c r="D14" i="53"/>
  <c r="B32" i="72" s="1"/>
  <c r="M69" i="9" l="1"/>
  <c r="N69" i="9" s="1"/>
  <c r="D6" i="74"/>
  <c r="C6" i="74"/>
  <c r="C80" i="9"/>
  <c r="E80" i="9" s="1"/>
  <c r="E81" i="9" s="1"/>
  <c r="C96" i="9"/>
  <c r="E96" i="9" s="1"/>
  <c r="E97" i="9" s="1"/>
  <c r="C97" i="9" l="1"/>
  <c r="D58" i="9" s="1"/>
  <c r="D56" i="9" s="1"/>
  <c r="M54" i="9" s="1"/>
  <c r="N57" i="9" s="1"/>
  <c r="N58"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<sst xmlns="http://schemas.openxmlformats.org/spreadsheetml/2006/main" count="8598" uniqueCount="3209">
  <si>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</si>
  <si>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</si>
  <si>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</si>
  <si>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</si>
  <si>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</si>
  <si>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</si>
  <si>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</si>
  <si>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</si>
  <si>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</si>
  <si>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</si>
  <si>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</si>
  <si>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</si>
  <si>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</si>
  <si>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</si>
  <si>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</si>
  <si>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</si>
  <si>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</si>
  <si>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</si>
  <si>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</si>
  <si>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</si>
  <si>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</si>
  <si>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</si>
  <si>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</si>
  <si>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</si>
  <si>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</si>
  <si>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</si>
  <si>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</si>
  <si>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</si>
  <si>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</si>
  <si>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</si>
  <si>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</si>
  <si>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</si>
  <si>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</si>
  <si>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</si>
  <si>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</si>
  <si>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</si>
  <si>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</si>
  <si>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</si>
  <si>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</si>
  <si>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</si>
  <si>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</si>
  <si>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</si>
  <si>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</si>
  <si>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</si>
  <si>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</si>
  <si>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</si>
  <si>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</si>
  <si>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</si>
  <si>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</si>
  <si>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</si>
  <si>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</si>
  <si>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</si>
  <si>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</si>
  <si>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</si>
  <si>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</si>
  <si>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</si>
  <si>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</si>
  <si>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</si>
  <si>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</si>
  <si>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</si>
  <si>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</si>
  <si>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</si>
  <si>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</si>
  <si>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</si>
  <si>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</si>
  <si>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</si>
  <si>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</si>
  <si>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</si>
  <si>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</si>
  <si>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</si>
  <si>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</si>
  <si>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</si>
  <si>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</si>
  <si>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</si>
  <si>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</si>
  <si>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</si>
  <si>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</si>
  <si>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</si>
  <si>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</si>
  <si>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</si>
  <si>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</si>
  <si>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</si>
  <si>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</si>
  <si>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</si>
  <si>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</si>
  <si>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</si>
  <si>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</si>
  <si>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</si>
  <si>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</si>
  <si>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</si>
  <si>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</si>
  <si>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</si>
  <si>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</si>
  <si>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</si>
  <si>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</si>
  <si>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</si>
  <si>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</si>
  <si>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</si>
  <si>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</si>
  <si>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</si>
  <si>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</si>
  <si>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</si>
  <si>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</si>
  <si>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</si>
  <si>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</si>
  <si>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</si>
  <si>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</si>
  <si>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</si>
  <si>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</si>
  <si>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</si>
  <si>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</si>
  <si>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</si>
  <si>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</si>
  <si>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</si>
  <si>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</si>
  <si>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</si>
  <si>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</si>
  <si>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</si>
  <si>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</si>
  <si>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</si>
  <si>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</si>
  <si>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</si>
  <si>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</si>
  <si>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</si>
  <si>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</si>
  <si>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</si>
  <si>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</si>
  <si>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</si>
  <si>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</si>
  <si>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</si>
  <si>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</si>
  <si>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</si>
  <si>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</si>
  <si>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</si>
  <si>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</si>
  <si>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</si>
  <si>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</si>
  <si>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</si>
  <si>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</si>
  <si>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</si>
  <si>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</si>
  <si>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</si>
  <si>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</si>
  <si>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</si>
  <si>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</si>
  <si>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</si>
  <si>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</si>
  <si>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</si>
  <si>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</si>
  <si>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</si>
  <si>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</si>
  <si>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</si>
  <si>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</si>
  <si>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</si>
  <si>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</si>
  <si>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</si>
  <si>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</si>
  <si>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</si>
  <si>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</si>
  <si>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</si>
  <si>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</si>
  <si>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</si>
  <si>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</si>
  <si>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</si>
  <si>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</si>
  <si>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</si>
  <si>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</si>
  <si>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</si>
  <si>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</si>
  <si>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</si>
  <si>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</si>
  <si>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</si>
  <si>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</si>
  <si>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</si>
  <si>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</si>
  <si>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</si>
  <si>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</si>
  <si>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</si>
  <si>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</si>
  <si>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</si>
  <si>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</si>
  <si>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</si>
  <si>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</si>
  <si>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</si>
  <si>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</si>
  <si>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</si>
  <si>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</si>
  <si>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</si>
  <si>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</si>
  <si>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</si>
  <si>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</si>
  <si>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</si>
  <si>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</si>
  <si>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</si>
  <si>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</si>
  <si>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</si>
  <si>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</si>
  <si>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</si>
  <si>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</si>
  <si>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</si>
  <si>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</si>
  <si>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</si>
  <si>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</si>
  <si>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</si>
  <si>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</si>
  <si>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</si>
  <si>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</si>
  <si>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</si>
  <si>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</si>
  <si>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</si>
  <si>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</si>
  <si>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</si>
  <si>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</si>
  <si>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</si>
  <si>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</si>
  <si>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</si>
  <si>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</si>
  <si>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</si>
  <si>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</si>
  <si>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</si>
  <si>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</si>
  <si>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</si>
  <si>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</si>
  <si>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</si>
  <si>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</si>
  <si>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</si>
  <si>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</si>
  <si>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</si>
  <si>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</si>
  <si>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</si>
  <si>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</si>
  <si>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</si>
  <si>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</si>
  <si>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</si>
  <si>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</si>
  <si>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</si>
  <si>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</si>
  <si>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</si>
  <si>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</si>
  <si>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</si>
  <si>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</si>
  <si>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</si>
  <si>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</si>
  <si>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</si>
  <si>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</si>
  <si>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</si>
  <si>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</si>
  <si>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</si>
  <si>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</si>
  <si>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</si>
  <si>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</si>
  <si>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</si>
  <si>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</si>
  <si>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</si>
  <si>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</si>
  <si>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</si>
  <si>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</si>
  <si>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</si>
  <si>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</si>
  <si>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</si>
  <si>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</si>
  <si>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</si>
  <si>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</si>
  <si>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</si>
  <si>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</si>
  <si>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</si>
  <si>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</si>
  <si>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</si>
  <si>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</si>
  <si>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</si>
  <si>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</si>
  <si>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</si>
  <si>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</si>
  <si>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</si>
  <si>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</si>
  <si>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</si>
  <si>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</si>
  <si>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</si>
  <si>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</si>
  <si>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</si>
  <si>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</si>
  <si>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</si>
  <si>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</si>
  <si>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</si>
  <si>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</si>
  <si>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</si>
  <si>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</si>
  <si>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</si>
  <si>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</si>
  <si>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</si>
  <si>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</si>
  <si>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</si>
  <si>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</si>
  <si>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</si>
  <si>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</si>
  <si>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</si>
  <si>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</si>
  <si>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</si>
  <si>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</si>
  <si>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</si>
  <si>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</si>
  <si>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</si>
  <si>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</si>
  <si>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</si>
  <si>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</si>
  <si>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</si>
  <si>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</si>
  <si>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</si>
  <si>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</si>
  <si>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</si>
  <si>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</si>
  <si>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</si>
  <si>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</si>
  <si>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</si>
  <si>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</si>
  <si>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</si>
  <si>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</si>
  <si>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</si>
  <si>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</si>
  <si>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</si>
  <si>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</si>
  <si>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</si>
  <si>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</si>
  <si>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</si>
  <si>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</si>
  <si>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</si>
  <si>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</si>
  <si>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</si>
  <si>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</si>
  <si>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</si>
  <si>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</si>
  <si>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</si>
  <si>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</si>
  <si>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</si>
  <si>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</si>
  <si>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</si>
  <si>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</si>
  <si>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</si>
  <si>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</si>
  <si>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</si>
  <si>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</si>
  <si>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</si>
  <si>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</si>
  <si>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</si>
  <si>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</si>
  <si>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</si>
  <si>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</si>
  <si>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</si>
  <si>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</si>
  <si>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</si>
  <si>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</si>
  <si>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</si>
  <si>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</si>
  <si>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</si>
  <si>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</si>
  <si>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</si>
  <si>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</si>
  <si>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</si>
  <si>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</si>
  <si>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</si>
  <si>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</si>
  <si>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</si>
  <si>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</si>
  <si>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</si>
  <si>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</si>
  <si>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</si>
  <si>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</si>
  <si>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</si>
  <si>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</si>
  <si>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</si>
  <si>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</si>
  <si>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</si>
  <si>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</si>
  <si>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</si>
  <si>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</si>
  <si>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</si>
  <si>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</si>
  <si>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</si>
  <si>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</si>
  <si>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</si>
  <si>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</si>
  <si>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</si>
  <si>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</si>
  <si>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</si>
  <si>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</si>
  <si>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</si>
  <si>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</si>
  <si>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</si>
  <si>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</si>
  <si>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</si>
  <si>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</si>
  <si>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</si>
  <si>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</si>
  <si>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</si>
  <si>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</si>
  <si>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</si>
  <si>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</si>
  <si>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</si>
  <si>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</si>
  <si>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</si>
  <si>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</si>
  <si>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</si>
  <si>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</si>
  <si>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</si>
  <si>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</si>
  <si>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</si>
  <si>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</si>
  <si>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</si>
  <si>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</si>
  <si>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</si>
  <si>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</si>
  <si>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</si>
  <si>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</si>
  <si>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</si>
  <si>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</si>
  <si>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</si>
  <si>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</si>
  <si>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</si>
  <si>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</si>
  <si>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</si>
  <si>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</si>
  <si>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</si>
  <si>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</si>
  <si>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</si>
  <si>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</si>
  <si>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</si>
  <si>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</si>
  <si>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</si>
  <si>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</si>
  <si>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</si>
  <si>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</si>
  <si>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</si>
  <si>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</si>
  <si>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</si>
  <si>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</si>
  <si>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</si>
  <si>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</si>
  <si>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</si>
  <si>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</si>
  <si>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</si>
  <si>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</si>
  <si>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</si>
  <si>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</si>
  <si>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</si>
  <si>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</si>
  <si>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</si>
  <si>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</si>
  <si>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</si>
  <si>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</si>
  <si>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</si>
  <si>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</si>
  <si>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</si>
  <si>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</si>
  <si>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</si>
  <si>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</si>
  <si>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</si>
  <si>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</si>
  <si>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</si>
  <si>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</si>
  <si>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</si>
  <si>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</si>
  <si>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</si>
  <si>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</si>
  <si>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</si>
  <si>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</si>
  <si>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</si>
  <si>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</si>
  <si>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</si>
  <si>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</si>
  <si>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</si>
  <si>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</si>
  <si>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</si>
  <si>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</si>
  <si>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</si>
  <si>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</si>
  <si>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</si>
  <si>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</si>
  <si>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</si>
  <si>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</si>
  <si>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</si>
  <si>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</si>
  <si>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</si>
  <si>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</si>
  <si>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</si>
  <si>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</si>
  <si>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</si>
  <si>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</si>
  <si>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</si>
  <si>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</si>
  <si>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</si>
  <si>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</si>
  <si>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</si>
  <si>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</si>
  <si>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</si>
  <si>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</si>
  <si>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</si>
  <si>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</si>
  <si>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</si>
  <si>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</si>
  <si>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</si>
  <si>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</si>
  <si>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</si>
  <si>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</si>
  <si>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</si>
  <si>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</si>
  <si>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</si>
  <si>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</si>
  <si>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</si>
  <si>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</si>
  <si>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</si>
  <si>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</si>
  <si>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</si>
  <si>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</si>
  <si>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</si>
  <si>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</si>
  <si>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</si>
  <si>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</si>
  <si>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</si>
  <si>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</si>
  <si>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</si>
  <si>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</si>
  <si>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</si>
  <si>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</si>
  <si>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</si>
  <si>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</si>
  <si>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</si>
  <si>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</si>
  <si>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</si>
  <si>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</si>
  <si>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</si>
  <si>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</si>
  <si>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</si>
  <si>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</si>
  <si>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</si>
  <si>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</si>
  <si>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</si>
  <si>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</si>
  <si>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</si>
  <si>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</si>
  <si>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</si>
  <si>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</si>
  <si>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</si>
  <si>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</si>
  <si>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</si>
  <si>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</si>
  <si>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</si>
  <si>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</si>
  <si>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</si>
  <si>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</si>
  <si>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</si>
  <si>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</si>
  <si>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</si>
  <si>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</si>
  <si>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</si>
  <si>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</si>
  <si>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</si>
  <si>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</si>
  <si>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</si>
  <si>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</si>
  <si>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</si>
  <si>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</si>
  <si>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</si>
  <si>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</si>
  <si>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</si>
  <si>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</si>
  <si>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</si>
  <si>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</si>
  <si>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</si>
  <si>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</si>
  <si>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</si>
  <si>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</si>
  <si>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</si>
  <si>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</si>
  <si>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</si>
  <si>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</si>
  <si>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</si>
  <si>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</si>
  <si>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</si>
  <si>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</si>
  <si>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</si>
  <si>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</si>
  <si>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</si>
  <si>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</si>
  <si>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</si>
  <si>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</si>
  <si>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</si>
  <si>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</si>
  <si>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</si>
  <si>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</si>
  <si>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</si>
  <si>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</si>
  <si>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</si>
  <si>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</si>
  <si>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</si>
  <si>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</si>
  <si>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</si>
  <si>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</si>
  <si>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</si>
  <si>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</si>
  <si>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</si>
  <si>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</si>
  <si>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</si>
  <si>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</si>
  <si>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</si>
  <si>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</si>
  <si>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</si>
  <si>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</si>
  <si>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</si>
  <si>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</si>
  <si>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</si>
  <si>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</si>
  <si>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</si>
  <si>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</si>
  <si>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</si>
  <si>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</si>
  <si>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</si>
  <si>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</si>
  <si>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</si>
  <si>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</si>
  <si>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</si>
  <si>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</si>
  <si>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</si>
  <si>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</si>
  <si>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</si>
  <si>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</si>
  <si>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</si>
  <si>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</si>
  <si>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</si>
  <si>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</si>
  <si>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</si>
  <si>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</si>
  <si>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</si>
  <si>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</si>
  <si>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</si>
  <si>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</si>
  <si>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</si>
  <si>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</si>
  <si>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</si>
  <si>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</si>
  <si>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</si>
  <si>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</si>
  <si>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</si>
  <si>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</si>
  <si>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</si>
  <si>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</si>
  <si>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</si>
  <si>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</si>
  <si>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</si>
  <si>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</si>
  <si>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</si>
  <si>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</si>
  <si>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</si>
  <si>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</si>
  <si>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</si>
  <si>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</si>
  <si>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</si>
  <si>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</si>
  <si>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</si>
  <si>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</si>
  <si>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</si>
  <si>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</si>
  <si>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</si>
  <si>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</si>
  <si>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</si>
  <si>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</si>
  <si>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</si>
  <si>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</si>
  <si>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</si>
  <si>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</si>
  <si>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</si>
  <si>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</si>
  <si>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</si>
  <si>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</si>
  <si>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</si>
  <si>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</si>
  <si>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</si>
  <si>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</si>
  <si>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</si>
  <si>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</si>
  <si>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</si>
  <si>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</si>
  <si>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</si>
  <si>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</si>
  <si>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</si>
  <si>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</si>
  <si>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</si>
  <si>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</si>
  <si>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</si>
  <si>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</si>
  <si>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</si>
  <si>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</si>
  <si>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</si>
  <si>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</si>
  <si>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</si>
  <si>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</si>
  <si>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</si>
  <si>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</si>
  <si>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</si>
  <si>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</si>
  <si>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</si>
  <si>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</si>
  <si>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</si>
  <si>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</si>
  <si>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</si>
  <si>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</si>
  <si>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</si>
  <si>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</si>
  <si>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</si>
  <si>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</si>
  <si>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</si>
  <si>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</si>
  <si>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</si>
  <si>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</si>
  <si>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</si>
  <si>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</si>
  <si>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</si>
  <si>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</si>
  <si>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</si>
  <si>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</si>
  <si>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</si>
  <si>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</si>
  <si>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</si>
  <si>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</si>
  <si>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</si>
  <si>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</si>
  <si>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</si>
  <si>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</si>
  <si>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</si>
  <si>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</si>
  <si>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</si>
  <si>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</si>
  <si>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</si>
  <si>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</si>
  <si>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</si>
  <si>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</si>
  <si>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</si>
  <si>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</si>
  <si>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</si>
  <si>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</si>
  <si>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</si>
  <si>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</si>
  <si>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</si>
  <si>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</si>
  <si>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</si>
  <si>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</si>
  <si>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</si>
  <si>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</si>
  <si>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</si>
  <si>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</si>
  <si>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</si>
  <si>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</si>
  <si>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</si>
  <si>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</si>
  <si>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</si>
  <si>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</si>
  <si>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</si>
  <si>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</si>
  <si>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</si>
  <si>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</si>
  <si>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</si>
  <si>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</si>
  <si>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</si>
  <si>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</si>
  <si>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</si>
  <si>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</si>
  <si>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</si>
  <si>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</si>
  <si>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</si>
  <si>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</si>
  <si>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</si>
  <si>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</si>
  <si>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</si>
  <si>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</si>
  <si>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</si>
  <si>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</si>
  <si>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</si>
  <si>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</si>
  <si>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</si>
  <si>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</si>
  <si>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</si>
  <si>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</si>
  <si>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</si>
  <si>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</si>
  <si>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</si>
  <si>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</si>
  <si>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</si>
  <si>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</si>
  <si>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</si>
  <si>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</si>
  <si>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</si>
  <si>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</si>
  <si>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</si>
  <si>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</si>
  <si>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</si>
  <si>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</si>
  <si>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</si>
  <si>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</si>
  <si>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</si>
  <si>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</si>
  <si>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</si>
  <si>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</si>
  <si>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</si>
  <si>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</si>
  <si>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</si>
  <si>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</si>
  <si>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</si>
  <si>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</si>
  <si>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</si>
  <si>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</si>
  <si>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</si>
  <si>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</si>
  <si>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</si>
  <si>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</si>
  <si>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</si>
  <si>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</si>
  <si>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</si>
  <si>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</si>
  <si>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</si>
  <si>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</si>
  <si>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</si>
  <si>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</si>
  <si>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</si>
  <si>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</si>
  <si>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</si>
  <si>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</si>
  <si>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</si>
  <si>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</si>
  <si>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</si>
  <si>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</si>
  <si>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</si>
  <si>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</si>
  <si>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</si>
  <si>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</si>
  <si>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</si>
  <si>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</si>
  <si>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</si>
  <si>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</si>
  <si>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</si>
  <si>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</si>
  <si>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</si>
  <si>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</si>
  <si>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</si>
  <si>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</si>
  <si>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</si>
  <si>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</si>
  <si>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</si>
  <si>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</si>
  <si>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</si>
  <si>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</si>
  <si>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</si>
  <si>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</si>
  <si>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</si>
  <si>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</si>
  <si>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</si>
  <si>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</si>
  <si>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</si>
  <si>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</si>
  <si>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</si>
  <si>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</si>
  <si>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</si>
  <si>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</si>
  <si>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</si>
  <si>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</si>
  <si>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</si>
  <si>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</si>
  <si>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</si>
  <si>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</si>
  <si>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</si>
  <si>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</si>
  <si>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</si>
  <si>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</si>
  <si>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</si>
  <si>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</si>
  <si>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</si>
  <si>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</si>
  <si>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</si>
  <si>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</si>
  <si>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</si>
  <si>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</si>
  <si>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</si>
  <si>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</si>
  <si>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</si>
  <si>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</si>
  <si>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</si>
  <si>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</si>
  <si>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</si>
  <si>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</si>
  <si>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</si>
  <si>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</si>
  <si>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</si>
  <si>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</si>
  <si>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</si>
  <si>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</si>
  <si>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</si>
  <si>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</si>
  <si>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</si>
  <si>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</si>
  <si>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</si>
  <si>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</si>
  <si>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</si>
  <si>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</si>
  <si>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</si>
  <si>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</si>
  <si>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</si>
  <si>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</si>
  <si>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</si>
  <si>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</si>
  <si>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</si>
  <si>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</si>
  <si>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</si>
  <si>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</si>
  <si>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</si>
  <si>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</si>
  <si>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</si>
  <si>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</si>
  <si>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</si>
  <si>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</si>
  <si>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</si>
  <si>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</si>
  <si>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</si>
  <si>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</si>
  <si>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</si>
  <si>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</si>
  <si>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</si>
  <si>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</si>
  <si>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</si>
  <si>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</si>
  <si>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</si>
  <si>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</si>
  <si>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</si>
  <si>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</si>
  <si>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</si>
  <si>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</si>
  <si>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</si>
  <si>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</si>
  <si>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</si>
  <si>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</si>
  <si>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</si>
  <si>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</si>
  <si>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</si>
  <si>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</si>
  <si>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</si>
  <si>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</si>
  <si>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</si>
  <si>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</si>
  <si>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</si>
  <si>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</si>
  <si>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</si>
  <si>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</si>
  <si>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</si>
  <si>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</si>
  <si>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</si>
  <si>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</si>
  <si>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</si>
  <si>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</si>
  <si>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</si>
  <si>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</si>
  <si>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</si>
  <si>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</si>
  <si>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</si>
  <si>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</si>
  <si>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</si>
  <si>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</si>
  <si>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</si>
  <si>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</si>
  <si>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</si>
  <si>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</si>
  <si>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</si>
  <si>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</si>
  <si>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</si>
  <si>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</si>
  <si>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</si>
  <si>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</si>
  <si>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</si>
  <si>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</si>
  <si>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</si>
  <si>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</si>
  <si>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</si>
  <si>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</si>
  <si>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</si>
  <si>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</si>
  <si>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</si>
  <si>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</si>
  <si>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</si>
  <si>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</si>
  <si>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</si>
  <si>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</si>
  <si>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</si>
  <si>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</si>
  <si>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</si>
  <si>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</si>
  <si>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</si>
  <si>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</si>
  <si>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</si>
  <si>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</si>
  <si>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</si>
  <si>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</si>
  <si>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</si>
  <si>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</si>
  <si>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</si>
  <si>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</si>
  <si>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</si>
  <si>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</si>
  <si>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</si>
  <si>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</si>
  <si>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</si>
  <si>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</si>
  <si>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</si>
  <si>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</si>
  <si>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</si>
  <si>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</si>
  <si>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</si>
  <si>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</si>
  <si>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</si>
  <si>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</si>
  <si>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</si>
  <si>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</si>
  <si>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</si>
  <si>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</si>
  <si>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</si>
  <si>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</si>
  <si>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</si>
  <si>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</si>
  <si>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</si>
  <si>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</si>
  <si>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</si>
  <si>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</si>
  <si>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</si>
  <si>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</si>
  <si>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</si>
  <si>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</si>
  <si>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</si>
  <si>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</si>
  <si>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</si>
  <si>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</si>
  <si>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</si>
  <si>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</si>
  <si>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</si>
  <si>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</si>
  <si>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</si>
  <si>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</si>
  <si>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</si>
  <si>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</si>
  <si>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</si>
  <si>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</si>
  <si>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</si>
  <si>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</si>
  <si>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</si>
  <si>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</si>
  <si>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</si>
  <si>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</si>
  <si>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</si>
  <si>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</si>
  <si>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</si>
  <si>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</si>
  <si>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</si>
  <si>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</si>
  <si>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</si>
  <si>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</si>
  <si>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</si>
  <si>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</si>
  <si>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</si>
  <si>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</si>
  <si>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</si>
  <si>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</si>
  <si>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</si>
  <si>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</si>
  <si>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</si>
  <si>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</si>
  <si>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</si>
  <si>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</si>
  <si>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</si>
  <si>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</si>
  <si>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</si>
  <si>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</si>
  <si>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</si>
  <si>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</si>
  <si>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</si>
  <si>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</si>
  <si>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</si>
  <si>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</si>
  <si>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</si>
  <si>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</si>
  <si>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</si>
  <si>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</si>
  <si>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</si>
  <si>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</si>
  <si>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</si>
  <si>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</si>
  <si>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</si>
  <si>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</si>
  <si>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</si>
  <si>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</si>
  <si>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</si>
  <si>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</si>
  <si>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</si>
  <si>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</si>
  <si>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</si>
  <si>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</si>
  <si>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</si>
  <si>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</si>
  <si>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</si>
  <si>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</si>
  <si>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</si>
  <si>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</si>
  <si>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</si>
  <si>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</si>
  <si>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</si>
  <si>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</si>
  <si>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</si>
  <si>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</si>
  <si>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</si>
  <si>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</si>
  <si>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</si>
  <si>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</si>
  <si>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</si>
  <si>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</si>
  <si>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</si>
  <si>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</si>
  <si>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</si>
  <si>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</si>
  <si>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</si>
  <si>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</si>
  <si>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</si>
  <si>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</si>
  <si>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</si>
  <si>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</si>
  <si>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</si>
  <si>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</si>
  <si>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</si>
  <si>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</si>
  <si>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</si>
  <si>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</si>
  <si>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</si>
  <si>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</si>
  <si>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</si>
  <si>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</si>
  <si>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</si>
  <si>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</si>
  <si>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</si>
  <si>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</si>
  <si>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</si>
  <si>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</si>
  <si>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</si>
  <si>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</si>
  <si>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</si>
  <si>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</si>
  <si>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</si>
  <si>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</si>
  <si>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</si>
  <si>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</si>
  <si>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</si>
  <si>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</si>
  <si>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</si>
  <si>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</si>
  <si>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</si>
  <si>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</si>
  <si>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</si>
  <si>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</si>
  <si>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</si>
  <si>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</si>
  <si>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</si>
  <si>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</si>
  <si>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</si>
  <si>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</si>
  <si>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</si>
  <si>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</si>
  <si>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</si>
  <si>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</si>
  <si>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</si>
  <si>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</si>
  <si>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</si>
  <si>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</si>
  <si>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</si>
  <si>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</si>
  <si>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</si>
  <si>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</si>
  <si>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</si>
  <si>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</si>
  <si>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</si>
  <si>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</si>
  <si>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</si>
  <si>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</si>
  <si>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</si>
  <si>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</si>
  <si>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</si>
  <si>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</si>
  <si>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</si>
  <si>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</si>
  <si>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</si>
  <si>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</si>
  <si>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</si>
  <si>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</si>
  <si>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</si>
  <si>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</si>
  <si>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</si>
  <si>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</si>
  <si>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</si>
  <si>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</si>
  <si>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</si>
  <si>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</si>
  <si>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</si>
  <si>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</si>
  <si>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</si>
  <si>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</si>
  <si>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</si>
  <si>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</si>
  <si>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</si>
  <si>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</si>
  <si>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</si>
  <si>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</si>
  <si>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</si>
  <si>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</si>
  <si>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</si>
  <si>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</si>
  <si>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</si>
  <si>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</si>
  <si>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</si>
  <si>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</si>
  <si>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</si>
  <si>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</si>
  <si>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</si>
  <si>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</si>
  <si>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</si>
  <si>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</si>
  <si>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</si>
  <si>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</si>
  <si>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</si>
  <si>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</si>
  <si>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</si>
  <si>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</si>
  <si>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</si>
  <si>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</si>
  <si>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</si>
  <si>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</si>
  <si>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</si>
  <si>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</si>
  <si>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</si>
  <si>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</si>
  <si>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</si>
  <si>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</si>
  <si>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</si>
  <si>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</si>
  <si>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</si>
  <si>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</si>
  <si>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</si>
  <si>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</si>
  <si>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</si>
  <si>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</si>
  <si>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</si>
  <si>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</si>
  <si>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</si>
  <si>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</si>
  <si>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</si>
  <si>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</si>
  <si>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</si>
  <si>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</si>
  <si>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</si>
  <si>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</si>
  <si>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</si>
  <si>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</si>
  <si>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</si>
  <si>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</si>
  <si>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</si>
  <si>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</si>
  <si>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</si>
  <si>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</si>
  <si>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</si>
  <si>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</si>
  <si>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</si>
  <si>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</si>
  <si>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</si>
  <si>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</si>
  <si>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</si>
  <si>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</si>
  <si>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</si>
  <si>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</si>
  <si>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</si>
  <si>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</si>
  <si>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</si>
  <si>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</si>
  <si>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</si>
  <si>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</si>
  <si>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</si>
  <si>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</si>
  <si>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</si>
  <si>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</si>
  <si>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</si>
  <si>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</si>
  <si>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</si>
  <si>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</si>
  <si>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</si>
  <si>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</si>
  <si>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</si>
  <si>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</si>
  <si>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</si>
  <si>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</si>
  <si>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</si>
  <si>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</si>
  <si>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</si>
  <si>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</si>
  <si>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</si>
  <si>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</si>
  <si>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</si>
  <si>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</si>
  <si>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</si>
  <si>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</si>
  <si>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</si>
  <si>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</si>
  <si>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</si>
  <si>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</si>
  <si>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</si>
  <si>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</si>
  <si>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</si>
  <si>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</si>
  <si>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</si>
  <si>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</si>
  <si>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</si>
  <si>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</si>
  <si>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</si>
  <si>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</si>
  <si>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</si>
  <si>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</si>
  <si>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</si>
  <si>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</si>
  <si>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</si>
  <si>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</si>
  <si>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</si>
  <si>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</si>
  <si>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</si>
  <si>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</si>
  <si>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</si>
  <si>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</si>
  <si>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</si>
  <si>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</si>
  <si>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</si>
  <si>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</si>
  <si>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</si>
  <si>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</si>
  <si>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</si>
  <si>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</si>
  <si>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</si>
  <si>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</si>
  <si>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</si>
  <si>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</si>
  <si>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</si>
  <si>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</si>
  <si>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</si>
  <si>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</si>
  <si>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</si>
  <si>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</si>
  <si>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</si>
  <si>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</si>
  <si>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</si>
  <si>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</si>
  <si>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</si>
  <si>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</si>
  <si>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</si>
  <si>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</si>
  <si>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</si>
  <si>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</si>
  <si>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</si>
  <si>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</si>
  <si>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</si>
  <si>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</si>
  <si>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</si>
  <si>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</si>
  <si>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</si>
  <si>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</si>
  <si>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</si>
  <si>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</si>
  <si>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</si>
  <si>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</si>
  <si>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</si>
  <si>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</si>
  <si>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</si>
  <si>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</si>
  <si>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</si>
  <si>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</si>
  <si>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</si>
  <si>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</si>
  <si>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</si>
  <si>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</si>
  <si>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</si>
  <si>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</si>
  <si>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</si>
  <si>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</si>
  <si>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</si>
  <si>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</si>
  <si>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</si>
  <si>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</si>
  <si>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</si>
  <si>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</si>
  <si>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</si>
  <si>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</si>
  <si>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</si>
  <si>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</si>
  <si>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</si>
  <si>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</si>
  <si>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</si>
  <si>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</si>
  <si>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</si>
  <si>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</si>
  <si>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</si>
  <si>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</si>
  <si>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</si>
  <si>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</si>
  <si>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</si>
  <si>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</si>
  <si>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</si>
  <si>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</si>
  <si>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</si>
  <si>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</si>
  <si>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</si>
  <si>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</si>
  <si>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</si>
  <si>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</si>
  <si>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</si>
  <si>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</si>
  <si>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</si>
  <si>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</si>
  <si>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</si>
  <si>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</si>
  <si>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</si>
  <si>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</si>
  <si>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</si>
  <si>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</si>
  <si>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</si>
  <si>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</si>
  <si>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</si>
  <si>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</si>
  <si>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</si>
  <si>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</si>
  <si>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</si>
  <si>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</si>
  <si>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</si>
  <si>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</si>
  <si>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</si>
  <si>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</si>
  <si>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</si>
  <si>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</si>
  <si>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</si>
  <si>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</si>
  <si>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</si>
  <si>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</si>
  <si>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</si>
  <si>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</si>
  <si>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</si>
  <si>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</si>
  <si>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</si>
  <si>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</si>
  <si>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</si>
  <si>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</si>
  <si>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</si>
  <si>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</si>
  <si>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</si>
  <si>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</si>
  <si>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</si>
  <si>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</si>
  <si>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</si>
  <si>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</si>
  <si>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</si>
  <si>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</si>
  <si>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</si>
  <si>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</si>
  <si>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</si>
  <si>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</si>
  <si>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</si>
  <si>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</si>
  <si>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</si>
  <si>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</si>
  <si>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</si>
  <si>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</si>
  <si>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</si>
  <si>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</si>
  <si>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</si>
  <si>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</si>
  <si>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</si>
  <si>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</si>
  <si>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</si>
  <si>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</si>
  <si>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</si>
  <si>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</si>
  <si>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</si>
  <si>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</si>
  <si>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</si>
  <si>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</si>
  <si>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</si>
  <si>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</si>
  <si>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</si>
  <si>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</si>
  <si>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</si>
  <si>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</si>
  <si>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</si>
  <si>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</si>
  <si>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</si>
  <si>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</si>
  <si>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</si>
  <si>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</si>
  <si>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</si>
  <si>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</si>
  <si>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</si>
  <si>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</si>
  <si>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</si>
  <si>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</si>
  <si>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</si>
  <si>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</si>
  <si>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</si>
  <si>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</si>
  <si>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</si>
  <si>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</si>
  <si>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</si>
  <si>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</si>
  <si>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</si>
  <si>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</si>
  <si>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</si>
  <si>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</si>
  <si>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</si>
  <si>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</si>
  <si>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</si>
  <si>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</si>
  <si>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</si>
  <si>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</si>
  <si>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</si>
  <si>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</si>
  <si>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</si>
  <si>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</si>
  <si>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</si>
  <si>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</si>
  <si>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</si>
  <si>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</si>
  <si>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</si>
  <si>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</si>
  <si>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</si>
  <si>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</si>
  <si>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</si>
  <si>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</si>
  <si>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</si>
  <si>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</si>
  <si>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</si>
  <si>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</si>
  <si>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</si>
  <si>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</si>
  <si>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</si>
  <si>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</si>
  <si>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</si>
  <si>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</si>
  <si>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</si>
  <si>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</si>
  <si>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</si>
  <si>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</si>
  <si>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</si>
  <si>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</si>
  <si>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</si>
  <si>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</si>
  <si>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</si>
  <si>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</si>
  <si>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</si>
  <si>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</si>
  <si>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</si>
  <si>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</si>
  <si>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</si>
  <si>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</si>
  <si>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</si>
  <si>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</si>
  <si>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</si>
  <si>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</si>
  <si>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</si>
  <si>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</si>
  <si>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</si>
  <si>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</si>
  <si>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</si>
  <si>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</si>
  <si>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</si>
  <si>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</si>
  <si>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</si>
  <si>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</si>
  <si>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</si>
  <si>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</si>
  <si>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</si>
  <si>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</si>
  <si>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</si>
  <si>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</si>
  <si>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</si>
  <si>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</si>
  <si>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</si>
  <si>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</si>
  <si>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</si>
  <si>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</si>
  <si>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</si>
  <si>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</si>
  <si>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</si>
  <si>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</si>
  <si>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</si>
  <si>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</si>
  <si>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</si>
  <si>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</si>
  <si>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</si>
  <si>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</si>
  <si>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</si>
  <si>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</si>
  <si>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</si>
  <si>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</si>
  <si>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</si>
  <si>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</si>
  <si>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</si>
  <si>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</si>
  <si>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</si>
  <si>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</si>
  <si>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</si>
  <si>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</si>
  <si>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</si>
  <si>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</si>
  <si>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</si>
  <si>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</si>
  <si>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</si>
  <si>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</si>
  <si>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</si>
  <si>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</si>
  <si>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</si>
  <si>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</si>
  <si>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</si>
  <si>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</si>
  <si>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</si>
  <si>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</si>
  <si>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</si>
  <si>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</si>
  <si>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</si>
  <si>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</si>
  <si>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</si>
  <si>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</si>
  <si>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</si>
  <si>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</si>
  <si>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</si>
  <si>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</si>
  <si>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</si>
  <si>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</si>
  <si>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</si>
  <si>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</si>
  <si>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</si>
  <si>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</si>
  <si>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</si>
  <si>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</si>
  <si>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</si>
  <si>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</si>
  <si>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</si>
  <si>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</si>
  <si>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</si>
  <si>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</si>
  <si>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</si>
  <si>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</si>
  <si>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</si>
  <si>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</si>
  <si>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</si>
  <si>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</si>
  <si>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</si>
  <si>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</si>
  <si>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</si>
  <si>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</si>
  <si>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</si>
  <si>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</si>
  <si>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</si>
  <si>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</si>
  <si>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</si>
  <si>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</si>
  <si>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</si>
  <si>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</si>
  <si>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</si>
  <si>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</si>
  <si>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</si>
  <si>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</si>
  <si>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</si>
  <si>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</si>
  <si>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</si>
  <si>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</si>
  <si>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</si>
  <si>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</si>
  <si>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</si>
  <si>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</si>
  <si>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</si>
  <si>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</si>
  <si>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</si>
  <si>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</si>
  <si>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</si>
  <si>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</si>
  <si>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</si>
  <si>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</si>
  <si>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</si>
  <si>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</si>
  <si>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</si>
  <si>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</si>
  <si>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</si>
  <si>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</si>
  <si>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</si>
  <si>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</si>
  <si>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</si>
  <si>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</si>
  <si>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</si>
  <si>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</si>
  <si>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</si>
  <si>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</si>
  <si>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</si>
  <si>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</si>
  <si>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</si>
  <si>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</si>
  <si>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</si>
  <si>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</si>
  <si>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</si>
  <si>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</si>
  <si>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</si>
  <si>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</si>
  <si>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</si>
  <si>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</si>
  <si>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</si>
  <si>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</si>
  <si>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</si>
  <si>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</si>
  <si>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</si>
  <si>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</si>
  <si>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</si>
  <si>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</si>
  <si>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</si>
  <si>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</si>
  <si>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</si>
  <si>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</si>
  <si>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</si>
  <si>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</si>
  <si>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</si>
  <si>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</si>
  <si>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</si>
  <si>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</si>
  <si>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</si>
  <si>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</si>
  <si>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</si>
  <si>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</si>
  <si>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</si>
  <si>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</si>
  <si>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</si>
  <si>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</si>
  <si>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</si>
  <si>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</si>
  <si>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</si>
  <si>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</si>
  <si>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</si>
  <si>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</si>
  <si>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</si>
  <si>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</si>
  <si>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</si>
  <si>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</si>
  <si>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</si>
  <si>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</si>
  <si>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</si>
  <si>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</si>
  <si>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</si>
  <si>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</si>
  <si>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</si>
  <si>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</si>
  <si>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</si>
  <si>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</si>
  <si>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</si>
  <si>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</si>
  <si>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</si>
  <si>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</si>
  <si>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</si>
  <si>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</si>
  <si>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</si>
  <si>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</si>
  <si>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</si>
  <si>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</si>
  <si>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</si>
  <si>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</si>
  <si>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</si>
  <si>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</si>
  <si>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</si>
  <si>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</si>
  <si>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</si>
  <si>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</si>
  <si>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</si>
  <si>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</si>
  <si>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</si>
  <si>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</si>
  <si>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</si>
  <si>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</si>
  <si>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</si>
  <si>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</si>
  <si>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</si>
  <si>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</si>
  <si>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</si>
  <si>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</si>
  <si>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</si>
  <si>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</si>
  <si>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</si>
  <si>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</si>
  <si>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</si>
  <si>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</si>
  <si>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</si>
  <si>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</si>
  <si>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</si>
  <si>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</si>
  <si>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</si>
  <si>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</si>
  <si>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</si>
  <si>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</si>
  <si>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</si>
  <si>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</si>
  <si>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</si>
  <si>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</si>
  <si>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</si>
  <si>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</si>
  <si>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</si>
  <si>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</si>
  <si>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</si>
  <si>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</si>
  <si>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</si>
  <si>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</si>
  <si>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</si>
  <si>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</si>
  <si>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</si>
  <si>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</si>
  <si>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</si>
  <si>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</si>
  <si>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</si>
  <si>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</si>
  <si>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</si>
  <si>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</si>
  <si>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</si>
  <si>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</si>
  <si>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</si>
  <si>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</si>
  <si>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</si>
  <si>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</si>
  <si>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</si>
  <si>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</si>
  <si>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</si>
  <si>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</si>
  <si>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</si>
  <si>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</si>
  <si>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</si>
  <si>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</si>
  <si>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</si>
  <si>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</si>
  <si>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</si>
  <si>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</si>
  <si>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</si>
  <si>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</si>
  <si>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</si>
  <si>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</si>
  <si>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</si>
  <si>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</si>
  <si>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</si>
  <si>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</si>
  <si>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</si>
  <si>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</si>
  <si>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</si>
  <si>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</si>
  <si>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</si>
  <si>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</si>
  <si>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</si>
  <si>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</si>
  <si>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</si>
  <si>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</si>
  <si>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</si>
  <si>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</si>
  <si>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</si>
  <si>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</si>
  <si>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</si>
  <si>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</si>
  <si>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</si>
  <si>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</si>
  <si>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</si>
  <si>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</si>
  <si>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</si>
  <si>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</si>
  <si>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</si>
  <si>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</si>
  <si>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</si>
  <si>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</si>
  <si>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</si>
  <si>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</si>
  <si>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</si>
  <si>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</si>
  <si>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</si>
  <si>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</si>
  <si>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</si>
  <si>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</si>
  <si>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</si>
  <si>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</si>
  <si>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</si>
  <si>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</si>
  <si>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</si>
  <si>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</si>
  <si>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</si>
  <si>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</si>
  <si>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</si>
  <si>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</si>
  <si>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</si>
  <si>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</si>
  <si>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</si>
  <si>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</si>
  <si>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</si>
  <si>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</si>
  <si>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</si>
  <si>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</si>
  <si>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</si>
  <si>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</si>
  <si>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</si>
  <si>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</si>
  <si>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</si>
  <si>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</si>
  <si>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</si>
  <si>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</si>
  <si>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</si>
  <si>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</si>
  <si>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</si>
  <si>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</si>
  <si>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</si>
  <si>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</si>
  <si>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</si>
  <si>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</si>
  <si>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</si>
  <si>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</si>
  <si>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</si>
  <si>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</si>
  <si>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</si>
  <si>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</si>
  <si>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</si>
  <si>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</si>
  <si>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</si>
  <si>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</si>
  <si>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</si>
  <si>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</si>
  <si>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</si>
  <si>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</si>
  <si>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</si>
  <si>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</si>
  <si>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</si>
  <si>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</si>
  <si>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</si>
  <si>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</si>
  <si>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</si>
  <si>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</si>
  <si>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</si>
  <si>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</si>
  <si>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</si>
  <si>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</si>
  <si>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</si>
  <si>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</si>
  <si>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</si>
  <si>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</si>
  <si>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</si>
  <si>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</si>
  <si>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</si>
  <si>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</si>
  <si>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</si>
  <si>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</si>
  <si>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</si>
  <si>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</si>
  <si>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</si>
  <si>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</si>
  <si>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</si>
  <si>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</si>
  <si>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</si>
  <si>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</si>
  <si>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</si>
  <si>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</si>
  <si>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</si>
  <si>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</si>
  <si>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</si>
  <si>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</si>
  <si>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</si>
  <si>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</si>
  <si>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</si>
  <si>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</si>
  <si>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</si>
  <si>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</si>
  <si>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</si>
  <si>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</si>
  <si>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</si>
  <si>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</si>
  <si>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</si>
  <si>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</si>
  <si>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</si>
  <si>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</si>
  <si>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</si>
  <si>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</si>
  <si>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</si>
  <si>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</si>
  <si>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</si>
  <si>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</si>
  <si>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</si>
  <si>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</si>
  <si>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</si>
  <si>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</si>
  <si>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</si>
  <si>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</si>
  <si>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</si>
  <si>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</si>
  <si>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</si>
  <si>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</si>
  <si>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</si>
  <si>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</si>
  <si>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</si>
  <si>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</si>
  <si>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</si>
  <si>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</si>
  <si>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</si>
  <si>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</si>
  <si>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</si>
  <si>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</si>
  <si>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</si>
  <si>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</si>
  <si>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</si>
  <si>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</si>
  <si>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</si>
  <si>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</si>
  <si>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</si>
  <si>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</si>
  <si>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</si>
  <si>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</si>
  <si>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</si>
  <si>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</si>
  <si>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</si>
  <si>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</si>
  <si>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</si>
  <si>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</si>
  <si>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</si>
  <si>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</si>
  <si>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</si>
  <si>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</si>
  <si>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</si>
  <si>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</si>
  <si>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</si>
  <si>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</si>
  <si>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</si>
  <si>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</si>
  <si>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</si>
  <si>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</si>
  <si>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</si>
  <si>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</si>
  <si>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</si>
  <si>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</si>
  <si>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</si>
  <si>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</si>
  <si>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</si>
  <si>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</si>
  <si>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</si>
  <si>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</si>
  <si>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</si>
  <si>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</si>
  <si>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</si>
  <si>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</si>
  <si>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</si>
  <si>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</si>
  <si>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</si>
  <si>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</si>
  <si>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</si>
  <si>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</si>
  <si>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</si>
  <si>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</si>
  <si>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</si>
  <si>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</si>
  <si>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</si>
  <si>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</si>
  <si>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</si>
  <si>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</si>
  <si>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</si>
  <si>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</si>
  <si>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</si>
  <si>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</si>
  <si>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</si>
  <si>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</si>
  <si>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</si>
  <si>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</si>
  <si>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</si>
  <si>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</si>
  <si>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</si>
  <si>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</si>
  <si>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</si>
  <si>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</si>
  <si>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</si>
  <si>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</si>
  <si>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</si>
  <si>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</si>
  <si>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</si>
  <si>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</si>
  <si>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</si>
  <si>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</si>
  <si>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</si>
  <si>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</si>
  <si>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</si>
  <si>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</si>
  <si>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</si>
  <si>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</si>
  <si>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</si>
  <si>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</si>
  <si>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</si>
  <si>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</si>
  <si>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</si>
  <si>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</si>
  <si>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</si>
  <si>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</si>
  <si>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</si>
  <si>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</si>
  <si>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</si>
  <si>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</si>
  <si>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</si>
  <si>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</si>
  <si>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</si>
  <si>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</si>
  <si>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</si>
  <si>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</si>
  <si>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</si>
  <si>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</si>
  <si>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</si>
  <si>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</si>
  <si>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</si>
  <si>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</si>
  <si>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</si>
  <si>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</si>
  <si>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</si>
  <si>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</si>
  <si>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</si>
  <si>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</si>
  <si>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</si>
  <si>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</si>
  <si>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</si>
  <si>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</si>
  <si>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</si>
  <si>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</si>
  <si>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</si>
  <si>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</si>
  <si>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</si>
  <si>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</si>
  <si>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</si>
  <si>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</si>
  <si>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</si>
  <si>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</si>
  <si>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</si>
  <si>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</si>
  <si>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</si>
  <si>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</si>
  <si>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</si>
  <si>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</si>
  <si>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</si>
  <si>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</si>
  <si>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</si>
  <si>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</si>
  <si>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</si>
  <si>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</si>
  <si>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</si>
  <si>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</si>
  <si>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</si>
  <si>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</si>
  <si>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</si>
  <si>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</si>
  <si>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</si>
  <si>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</si>
  <si>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</si>
  <si>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</si>
  <si>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</si>
  <si>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</si>
  <si>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</si>
  <si>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</si>
  <si>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</si>
  <si>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</si>
  <si>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</si>
  <si>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</si>
  <si>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</si>
  <si>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</si>
  <si>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</si>
  <si>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</si>
  <si>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</si>
  <si>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</si>
  <si>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</si>
  <si>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</si>
  <si>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</si>
  <si>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</si>
  <si>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</si>
  <si>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</si>
  <si>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</si>
  <si>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</si>
  <si>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</si>
  <si>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</si>
  <si>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</si>
  <si>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</si>
  <si>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</si>
  <si>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</si>
  <si>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</si>
  <si>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</si>
  <si>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</si>
  <si>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</si>
  <si>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</si>
  <si>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</si>
  <si>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</si>
  <si>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</si>
  <si>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</si>
  <si>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</si>
  <si>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</si>
  <si>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</si>
  <si>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</si>
  <si>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</si>
  <si>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</si>
  <si>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</si>
  <si>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</si>
  <si>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</si>
  <si>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</si>
  <si>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</si>
  <si>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</si>
  <si>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</si>
  <si>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</si>
  <si>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</si>
  <si>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</si>
  <si>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</si>
  <si>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</si>
  <si>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</si>
  <si>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</si>
  <si>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</si>
  <si>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</si>
  <si>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</si>
  <si>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</si>
  <si>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</si>
  <si>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</si>
  <si>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</si>
  <si>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</si>
  <si>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</si>
  <si>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</si>
  <si>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</si>
  <si>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</si>
  <si>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</si>
  <si>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</si>
  <si>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</si>
  <si>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</si>
  <si>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</si>
  <si>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</si>
  <si>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</si>
  <si>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</si>
  <si>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</si>
  <si>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</si>
  <si>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</si>
  <si>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</si>
  <si>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</si>
  <si>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</si>
  <si>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</si>
  <si>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</si>
  <si>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</si>
  <si>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</si>
  <si>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</si>
  <si>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</si>
  <si>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</si>
  <si>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</si>
  <si>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</si>
  <si>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</si>
  <si>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</si>
  <si>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</si>
  <si>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</si>
  <si>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</si>
  <si>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</si>
  <si>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</si>
  <si>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</si>
  <si>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</si>
  <si>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</si>
  <si>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</si>
  <si>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</si>
  <si>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</si>
  <si>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</si>
  <si>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</si>
  <si>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</si>
  <si>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</si>
  <si>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</si>
  <si>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</si>
  <si>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</si>
  <si>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</si>
  <si>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</si>
  <si>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</si>
  <si>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</si>
  <si>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</si>
  <si>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</si>
  <si>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</si>
  <si>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</si>
  <si>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</si>
  <si>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</si>
  <si>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</si>
  <si>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</si>
  <si>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</si>
  <si>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</si>
  <si>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</si>
  <si>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</si>
  <si>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</si>
  <si>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</si>
  <si>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</si>
  <si>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</si>
  <si>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</si>
  <si>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</si>
  <si>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</si>
  <si>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</si>
  <si>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</si>
  <si>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</si>
  <si>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</si>
  <si>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</si>
  <si>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</si>
  <si>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</si>
  <si>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</si>
  <si>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</si>
  <si>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</si>
  <si>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</si>
  <si>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</si>
  <si>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</si>
  <si>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</si>
  <si>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</si>
  <si>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</si>
  <si>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</si>
  <si>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</si>
  <si>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</si>
  <si>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</si>
  <si>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</si>
  <si>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</si>
  <si>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</si>
  <si>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</si>
  <si>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</si>
  <si>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</si>
  <si>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</si>
  <si>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</si>
  <si>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</si>
  <si>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</si>
  <si>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</si>
  <si>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</si>
  <si>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</si>
  <si>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</si>
  <si>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</si>
  <si>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</si>
  <si>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</si>
  <si>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</si>
  <si>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</si>
  <si>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</si>
  <si>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</si>
  <si>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</si>
  <si>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</si>
  <si>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</si>
  <si>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</si>
  <si>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</si>
  <si>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</si>
  <si>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</si>
  <si>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</si>
  <si>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</si>
  <si>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</si>
  <si>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</si>
  <si>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</si>
  <si>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</si>
  <si>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</si>
  <si>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</si>
  <si>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</si>
  <si>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</si>
  <si>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</si>
  <si>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</si>
  <si>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</si>
  <si>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</si>
  <si>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</si>
  <si>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</si>
  <si>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</si>
  <si>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</si>
  <si>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</si>
  <si>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</si>
  <si>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</si>
  <si>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</si>
  <si>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</si>
  <si>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</si>
  <si>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</si>
  <si>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</si>
  <si>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</si>
  <si>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</si>
  <si>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</si>
  <si>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</si>
  <si>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</si>
  <si>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</si>
  <si>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</si>
  <si>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</si>
  <si>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</si>
  <si>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</si>
  <si>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</si>
  <si>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</si>
  <si>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</si>
  <si>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</si>
  <si>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</si>
  <si>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</si>
  <si>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</si>
  <si>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</si>
  <si>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</si>
  <si>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</si>
  <si>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</si>
  <si>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</si>
  <si>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</si>
  <si>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</si>
  <si>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</si>
  <si>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</si>
  <si>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</si>
  <si>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</si>
  <si>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</si>
  <si>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</si>
  <si>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</si>
  <si>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</si>
  <si>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</si>
  <si>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</si>
  <si>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</si>
  <si>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</si>
  <si>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</si>
  <si>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</si>
  <si>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</si>
  <si>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</si>
  <si>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</si>
  <si>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</si>
  <si>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</si>
  <si>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</si>
  <si>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</si>
  <si>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</si>
  <si>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</si>
  <si>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</si>
  <si>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</si>
  <si>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</si>
  <si>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</si>
  <si>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</si>
  <si>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</si>
  <si>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</si>
  <si>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</si>
  <si>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</si>
  <si>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</si>
  <si>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</si>
  <si>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</si>
  <si>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</si>
  <si>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</si>
  <si>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</si>
  <si>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</si>
  <si>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</si>
  <si>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</si>
  <si>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</si>
  <si>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</si>
  <si>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</si>
  <si>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</si>
  <si>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</si>
  <si>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</si>
  <si>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</si>
  <si>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</si>
  <si>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</si>
  <si>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</si>
  <si>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</si>
  <si>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</si>
  <si>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</si>
  <si>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</si>
  <si>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</si>
  <si>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</si>
  <si>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</si>
  <si>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</si>
  <si>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</si>
  <si>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</si>
  <si>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</si>
  <si>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</si>
  <si>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</si>
  <si>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</si>
  <si>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</si>
  <si>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</si>
  <si>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</si>
  <si>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</si>
  <si>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</si>
  <si>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</si>
  <si>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</si>
  <si>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</si>
  <si>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</si>
  <si>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</si>
  <si>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</si>
  <si>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</si>
  <si>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</si>
  <si>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</si>
  <si>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</si>
  <si>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</si>
  <si>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</si>
  <si>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</si>
  <si>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</si>
  <si>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</si>
  <si>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</si>
  <si>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</si>
  <si>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</si>
  <si>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</si>
  <si>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</si>
  <si>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</si>
  <si>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</si>
  <si>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</si>
  <si>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</si>
  <si>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</si>
  <si>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</si>
  <si>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</si>
  <si>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</si>
  <si>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</si>
  <si>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</si>
  <si>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</si>
  <si>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</si>
  <si>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</si>
  <si>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</si>
  <si>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</si>
  <si>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</si>
  <si>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</si>
  <si>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</si>
  <si>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</si>
  <si>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</si>
  <si>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</si>
  <si>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</si>
  <si>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</si>
  <si>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</si>
  <si>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</si>
  <si>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</si>
  <si>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</si>
  <si>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</si>
  <si>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</si>
  <si>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</si>
  <si>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</si>
  <si>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</si>
  <si>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</si>
  <si>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</si>
  <si>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</si>
  <si>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</si>
  <si>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</si>
  <si>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</si>
  <si>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</si>
  <si>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</si>
  <si>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</si>
  <si>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</si>
  <si>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</si>
  <si>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</si>
  <si>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</si>
  <si>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</si>
  <si>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</si>
  <si>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</si>
  <si>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</si>
  <si>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</si>
  <si>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</si>
  <si>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</si>
  <si>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</si>
  <si>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</si>
  <si>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</si>
  <si>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</si>
  <si>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</si>
  <si>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</si>
  <si>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</si>
  <si>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</si>
  <si>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</si>
  <si>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</si>
  <si>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</si>
  <si>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</si>
  <si>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</si>
  <si>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</si>
  <si>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</si>
  <si>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</si>
  <si>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</si>
  <si>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</si>
  <si>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</si>
  <si>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</si>
  <si>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</si>
  <si>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</si>
  <si>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</si>
  <si>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</si>
  <si>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</si>
  <si>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</si>
  <si>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</si>
  <si>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</si>
  <si>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</si>
  <si>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</si>
  <si>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</si>
  <si>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</si>
  <si>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</si>
  <si>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</si>
  <si>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</si>
  <si>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</si>
  <si>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</si>
  <si>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</si>
  <si>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</si>
  <si>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</si>
  <si>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</si>
  <si>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</si>
  <si>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</si>
  <si>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</si>
  <si>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</si>
  <si>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</si>
  <si>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</si>
  <si>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</si>
  <si>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</si>
  <si>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</si>
  <si>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</si>
  <si>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</si>
  <si>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</si>
  <si>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</si>
  <si>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</si>
  <si>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</si>
  <si>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</si>
  <si>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</si>
  <si>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</si>
  <si>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</si>
  <si>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</si>
  <si>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</si>
  <si>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</si>
  <si>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</si>
  <si>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</si>
  <si>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</si>
  <si>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</si>
  <si>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</si>
  <si>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</si>
  <si>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</si>
  <si>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</si>
  <si>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</si>
  <si>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</si>
  <si>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</si>
  <si>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</si>
  <si>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</si>
  <si>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</si>
  <si>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</si>
  <si>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</si>
  <si>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</si>
  <si>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</si>
  <si>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</si>
  <si>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</si>
  <si>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</si>
  <si>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</si>
  <si>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</si>
  <si>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</si>
  <si>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</si>
  <si>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</si>
  <si>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</si>
  <si>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</si>
  <si>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</si>
  <si>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</si>
  <si>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</si>
  <si>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</si>
  <si>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</si>
  <si>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</si>
  <si>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</si>
  <si>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</si>
  <si>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</si>
  <si>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</si>
  <si>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</si>
  <si>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</si>
  <si>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</si>
  <si>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</si>
  <si>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</si>
  <si>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</si>
  <si>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</si>
  <si>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</si>
  <si>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</si>
  <si>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</si>
  <si>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</si>
  <si>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</si>
  <si>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</si>
  <si>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</si>
  <si>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</si>
  <si>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</si>
  <si>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</si>
  <si>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</si>
  <si>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</si>
  <si>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</si>
  <si>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</si>
  <si>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</si>
  <si>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</si>
  <si>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</si>
  <si>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</si>
  <si>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</si>
  <si>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</si>
  <si>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</si>
  <si>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</si>
  <si>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</si>
  <si>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</si>
  <si>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</si>
  <si>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</si>
  <si>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</si>
  <si>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</si>
  <si>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</si>
  <si>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</si>
  <si>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</si>
  <si>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</si>
  <si>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</si>
  <si>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</si>
  <si>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</si>
  <si>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</si>
  <si>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</si>
  <si>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</si>
  <si>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</si>
  <si>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</si>
  <si>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</si>
  <si>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</si>
  <si>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</si>
  <si>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</si>
  <si>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</si>
  <si>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</si>
  <si>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</si>
  <si>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</si>
  <si>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</si>
  <si>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</si>
  <si>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</si>
  <si>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</si>
  <si>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</si>
  <si>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</si>
  <si>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</si>
  <si>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</si>
  <si>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</si>
  <si>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</si>
  <si>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</si>
  <si>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</si>
  <si>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</si>
  <si>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</si>
  <si>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</si>
  <si>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</si>
  <si>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</si>
  <si>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</si>
  <si>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</si>
  <si>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</si>
  <si>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</si>
  <si>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</si>
  <si>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</si>
  <si>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</si>
  <si>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</si>
  <si>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</si>
  <si>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</si>
  <si>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</si>
  <si>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</si>
  <si>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</si>
  <si>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</si>
  <si>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</si>
  <si>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</si>
  <si>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</si>
  <si>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</si>
  <si>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</si>
  <si>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</si>
  <si>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</si>
  <si>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</si>
  <si>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</si>
  <si>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</si>
  <si>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</si>
  <si>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</si>
  <si>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</si>
  <si>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</si>
  <si>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</si>
  <si>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</si>
  <si>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</si>
  <si>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</si>
  <si>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</si>
  <si>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</si>
  <si>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</si>
  <si>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</si>
  <si>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</si>
  <si>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</si>
  <si>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</si>
  <si>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</si>
  <si>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</si>
  <si>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</si>
  <si>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</si>
  <si>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</si>
  <si>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</si>
  <si>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</si>
  <si>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</si>
  <si>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</si>
  <si>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</si>
  <si>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</si>
  <si>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</si>
  <si>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</si>
  <si>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</si>
  <si>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</si>
  <si>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</si>
  <si>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</si>
  <si>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</si>
  <si>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</si>
  <si>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</si>
  <si>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</si>
  <si>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</si>
  <si>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</si>
  <si>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</si>
  <si>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</si>
  <si>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</si>
  <si>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</si>
  <si>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</si>
  <si>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</si>
  <si>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</si>
  <si>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</si>
  <si>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</si>
  <si>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</si>
  <si>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</si>
  <si>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</si>
  <si>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</si>
  <si>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</si>
  <si>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</si>
  <si>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</si>
  <si>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</si>
  <si>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</si>
  <si>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</si>
  <si>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</si>
  <si>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</si>
  <si>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</si>
  <si>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</si>
  <si>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</si>
  <si>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</si>
  <si>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</si>
  <si>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</si>
  <si>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</si>
  <si>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</si>
  <si>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</si>
  <si>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</si>
  <si>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</si>
  <si>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</si>
  <si>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</si>
  <si>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</si>
  <si>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</si>
  <si>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</si>
  <si>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</si>
  <si>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</si>
  <si>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</si>
  <si>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</si>
  <si>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</si>
  <si>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</si>
  <si>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</si>
  <si>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</si>
  <si>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</si>
  <si>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</si>
  <si>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</si>
  <si>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</si>
  <si>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</si>
  <si>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</si>
  <si>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</si>
  <si>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</si>
  <si>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</si>
  <si>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</si>
  <si>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</si>
  <si>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</si>
  <si>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</si>
  <si>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</si>
  <si>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</si>
  <si>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</si>
  <si>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</si>
  <si>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</si>
  <si>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</si>
  <si>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</si>
  <si>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</si>
  <si>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</si>
  <si>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</si>
  <si>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</si>
  <si>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</si>
  <si>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</si>
  <si>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</si>
  <si>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</si>
  <si>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</si>
  <si>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</si>
  <si>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</si>
  <si>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</si>
  <si>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</si>
  <si>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</si>
  <si>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</si>
  <si>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</si>
  <si>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</si>
  <si>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</si>
  <si>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</si>
  <si>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</si>
  <si>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</si>
  <si>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</si>
  <si>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</si>
  <si>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</si>
  <si>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</si>
  <si>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</si>
  <si>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</si>
  <si>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</si>
  <si>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</si>
  <si>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</si>
  <si>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</si>
  <si>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</si>
  <si>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</si>
  <si>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</si>
  <si>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</si>
  <si>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</si>
  <si>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</si>
  <si>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</si>
  <si>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</si>
  <si>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</si>
  <si>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</si>
  <si>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</si>
  <si>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</si>
  <si>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</si>
  <si>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</si>
  <si>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</si>
  <si>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</si>
  <si>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</si>
  <si>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</si>
  <si>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</si>
  <si>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</si>
  <si>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</si>
  <si>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</si>
  <si>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</si>
  <si>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</si>
  <si>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</si>
  <si>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</si>
  <si>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</si>
  <si>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</si>
  <si>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</si>
  <si>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</si>
  <si>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</si>
  <si>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</si>
  <si>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</si>
  <si>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</si>
  <si>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</si>
  <si>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</si>
  <si>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</si>
  <si>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</si>
  <si>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</si>
  <si>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</si>
  <si>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</si>
  <si>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</si>
  <si>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</si>
  <si>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</si>
  <si>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</si>
  <si>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</si>
  <si>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</si>
  <si>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</si>
  <si>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</si>
  <si>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</si>
  <si>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</si>
  <si>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</si>
  <si>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</si>
  <si>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</si>
  <si>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</si>
  <si>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</si>
  <si>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</si>
  <si>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</si>
  <si>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</si>
  <si>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</si>
  <si>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</si>
  <si>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</si>
  <si>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</si>
  <si>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</si>
  <si>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</si>
  <si>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</si>
  <si>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</si>
  <si>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</si>
  <si>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</si>
  <si>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</si>
  <si>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</si>
  <si>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</si>
  <si>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</si>
  <si>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</si>
  <si>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</si>
  <si>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</si>
  <si>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</si>
  <si>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</si>
  <si>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</si>
  <si>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</si>
  <si>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</si>
  <si>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</si>
  <si>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</si>
  <si>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</si>
  <si>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</si>
  <si>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</si>
  <si>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</si>
  <si>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</si>
  <si>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</si>
  <si>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</si>
  <si>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</si>
  <si>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</si>
  <si>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</si>
  <si>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</si>
  <si>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</si>
  <si>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</si>
  <si>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</si>
  <si>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</si>
  <si>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</si>
  <si>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</si>
  <si>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</si>
  <si>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</si>
  <si>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</si>
  <si>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</si>
  <si>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</si>
  <si>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</si>
  <si>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</si>
  <si>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</si>
  <si>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</si>
  <si>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</si>
  <si>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</si>
  <si>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</si>
  <si>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</si>
  <si>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</si>
  <si>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</si>
  <si>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</si>
  <si>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</si>
  <si>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</si>
  <si>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</si>
  <si>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</si>
  <si>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</si>
  <si>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</si>
  <si>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</si>
  <si>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</si>
  <si>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</si>
  <si>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</si>
  <si>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</si>
  <si>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</si>
  <si>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</si>
  <si>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</si>
  <si>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</si>
  <si>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</si>
  <si>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</si>
  <si>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</si>
  <si>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</si>
  <si>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</si>
  <si>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</si>
  <si>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</si>
  <si>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</si>
  <si>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</si>
  <si>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</si>
  <si>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</si>
  <si>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</si>
  <si>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</si>
  <si>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</si>
  <si>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</si>
  <si>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</si>
  <si>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</si>
  <si>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</si>
  <si>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</si>
  <si>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</si>
  <si>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</si>
  <si>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</si>
  <si>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</si>
  <si>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</si>
  <si>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</si>
  <si>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</si>
  <si>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</si>
  <si>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</si>
  <si>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</si>
  <si>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</si>
  <si>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</si>
  <si>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</si>
  <si>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</si>
  <si>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</si>
  <si>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</si>
  <si>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</si>
  <si>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</si>
  <si>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</si>
  <si>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</si>
  <si>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</si>
  <si>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</si>
  <si>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</si>
  <si>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</si>
  <si>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</si>
  <si>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</si>
  <si>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</si>
  <si>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</si>
  <si>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</si>
  <si>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</si>
  <si>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</si>
  <si>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</si>
  <si>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</si>
  <si>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</si>
  <si>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</si>
  <si>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</si>
  <si>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</si>
  <si>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</si>
  <si>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</si>
  <si>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</si>
  <si>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</si>
  <si>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</si>
  <si>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</si>
  <si>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</si>
  <si>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</si>
  <si>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</si>
  <si>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</si>
  <si>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</si>
  <si>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</si>
  <si>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</si>
  <si>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</si>
  <si>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</si>
  <si>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</si>
  <si>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</si>
  <si>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</si>
  <si>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</si>
  <si>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</si>
  <si>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</si>
  <si>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</si>
  <si>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</si>
  <si>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</si>
  <si>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</si>
  <si>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</si>
  <si>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</si>
  <si>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</si>
  <si>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</si>
  <si>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</si>
  <si>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</si>
  <si>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</si>
  <si>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</si>
  <si>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</si>
  <si>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</si>
  <si>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</si>
  <si>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</si>
  <si>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</si>
  <si>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</si>
  <si>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</si>
  <si>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</si>
  <si>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</si>
  <si>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</si>
  <si>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</si>
  <si>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</si>
  <si>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</si>
  <si>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</si>
  <si>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</si>
  <si>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</si>
  <si>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</si>
  <si>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</si>
  <si>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</si>
  <si>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</si>
  <si>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</si>
  <si>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</si>
  <si>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</si>
  <si>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</si>
  <si>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</si>
  <si>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</si>
  <si>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</si>
  <si>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</si>
  <si>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</si>
  <si>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</si>
  <si>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</si>
  <si>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</si>
  <si>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</si>
  <si>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</si>
  <si>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</si>
  <si>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</si>
  <si>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</si>
  <si>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</si>
  <si>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</si>
  <si>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</si>
  <si>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</si>
  <si>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</si>
  <si>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</si>
  <si>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</si>
  <si>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</si>
  <si>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</si>
  <si>
    <t>4层</t>
  </si>
  <si>
    <t>5层</t>
  </si>
  <si>
    <t>6层</t>
  </si>
  <si>
    <t>7层</t>
  </si>
  <si>
    <t>8层</t>
  </si>
  <si>
    <t>9层</t>
  </si>
  <si>
    <t>10层</t>
  </si>
  <si>
    <t>11层</t>
  </si>
  <si>
    <t>地下车库</t>
    <phoneticPr fontId="140" type="noConversion"/>
  </si>
  <si>
    <r>
      <t>8</t>
    </r>
    <r>
      <rPr>
        <sz val="11"/>
        <color theme="1"/>
        <rFont val="宋体"/>
        <family val="3"/>
        <charset val="134"/>
        <scheme val="minor"/>
      </rPr>
      <t>0个</t>
    </r>
    <phoneticPr fontId="140" type="noConversion"/>
  </si>
  <si>
    <t>商业</t>
    <phoneticPr fontId="140" type="noConversion"/>
  </si>
  <si>
    <t>办公</t>
    <phoneticPr fontId="140" type="noConversion"/>
  </si>
  <si>
    <t>抵押</t>
  </si>
  <si>
    <t>房地产抵押价值</t>
  </si>
  <si>
    <t>北京市</t>
  </si>
  <si>
    <t>企业</t>
  </si>
  <si>
    <t>出让</t>
  </si>
  <si>
    <t>是</t>
  </si>
  <si>
    <t>地上</t>
  </si>
  <si>
    <t>地下</t>
  </si>
  <si>
    <t>车库</t>
  </si>
  <si>
    <t>利息：取LPR加浮动点数</t>
  </si>
  <si>
    <t>办公</t>
    <phoneticPr fontId="3" type="noConversion"/>
  </si>
  <si>
    <t>商业</t>
    <phoneticPr fontId="3" type="noConversion"/>
  </si>
  <si>
    <t>车库</t>
    <phoneticPr fontId="3" type="noConversion"/>
  </si>
  <si>
    <t>面积</t>
    <phoneticPr fontId="3" type="noConversion"/>
  </si>
  <si>
    <t>占比</t>
    <phoneticPr fontId="3" type="noConversion"/>
  </si>
  <si>
    <t>建安</t>
    <phoneticPr fontId="3" type="noConversion"/>
  </si>
  <si>
    <t>成新度</t>
  </si>
  <si>
    <t>利润</t>
    <phoneticPr fontId="3" type="noConversion"/>
  </si>
  <si>
    <t>租金单价</t>
    <phoneticPr fontId="3" type="noConversion"/>
  </si>
  <si>
    <t>年租金</t>
    <phoneticPr fontId="3" type="noConversion"/>
  </si>
  <si>
    <t>收益法</t>
  </si>
  <si>
    <t>押一</t>
  </si>
  <si>
    <t>按租金收入计税</t>
  </si>
  <si>
    <t>钢混</t>
  </si>
  <si>
    <t>非生产用房</t>
  </si>
  <si>
    <t>否</t>
  </si>
  <si>
    <t>商务金融用地（办公类）</t>
  </si>
  <si>
    <t>通路</t>
  </si>
  <si>
    <t>通电</t>
  </si>
  <si>
    <t>通讯</t>
  </si>
  <si>
    <t>通上水</t>
  </si>
  <si>
    <t>通下水</t>
  </si>
  <si>
    <t>平整</t>
  </si>
  <si>
    <t>与级别开发程度不一致</t>
  </si>
  <si>
    <t>按公示增长率计算</t>
  </si>
  <si>
    <t>容积率修正</t>
  </si>
  <si>
    <t>估价对象容积率</t>
  </si>
  <si>
    <t>较好</t>
  </si>
  <si>
    <t>一般</t>
    <phoneticPr fontId="78" type="noConversion"/>
  </si>
  <si>
    <t>较好</t>
    <phoneticPr fontId="78" type="noConversion"/>
  </si>
  <si>
    <t>较差</t>
    <phoneticPr fontId="78" type="noConversion"/>
  </si>
  <si>
    <t>好</t>
    <phoneticPr fontId="78" type="noConversion"/>
  </si>
  <si>
    <t>一般</t>
    <phoneticPr fontId="78" type="noConversion"/>
  </si>
  <si>
    <t>未包含在土地购买价格中</t>
  </si>
  <si>
    <t>全部缴纳</t>
  </si>
  <si>
    <t>已包含在土地取得成本中</t>
  </si>
  <si>
    <t>成本法</t>
  </si>
  <si>
    <t>总价</t>
  </si>
  <si>
    <t>成本比率</t>
  </si>
  <si>
    <t>楼层修正</t>
  </si>
  <si>
    <t>不临58条商业街</t>
  </si>
  <si>
    <t>办公</t>
    <phoneticPr fontId="7" type="noConversion"/>
  </si>
  <si>
    <t>商业</t>
    <phoneticPr fontId="7" type="noConversion"/>
  </si>
  <si>
    <t>车库</t>
    <phoneticPr fontId="7" type="noConversion"/>
  </si>
  <si>
    <t>好</t>
  </si>
  <si>
    <t>一般</t>
  </si>
  <si>
    <t>较差</t>
  </si>
  <si>
    <t>收益法-商业</t>
  </si>
  <si>
    <t>收益法-商业</t>
    <phoneticPr fontId="16" type="noConversion"/>
  </si>
  <si>
    <t>收益法-车库</t>
  </si>
  <si>
    <t>收益法-车库</t>
    <phoneticPr fontId="16" type="noConversion"/>
  </si>
  <si>
    <t>自定义</t>
  </si>
  <si>
    <t>收益法（汇总）</t>
  </si>
  <si>
    <t>崔锴</t>
  </si>
  <si>
    <t>郑燚</t>
  </si>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</sst>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28" fillId="5" borderId="1" xfId="0" applyFont="1" applyFill="1" applyBorder="1" applyAlignment="1" applyProtection="1">
      <alignment horizontal="center" vertical="center" wrapText="1"/>
      <protection locked="0"/>
    </xf>
    <xf numFmtId="181" fontId="103" fillId="20" borderId="1" xfId="0" applyNumberFormat="1" applyFont="1" applyFill="1" applyBorder="1" applyAlignment="1" applyProtection="1">
      <alignment horizontal="center" vertical="center"/>
      <protection locked="0"/>
    </xf>
    <xf numFmtId="181" fontId="49" fillId="20" borderId="1" xfId="0" applyNumberFormat="1"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1" fontId="54" fillId="20" borderId="24" xfId="0" applyNumberFormat="1" applyFont="1" applyFill="1" applyBorder="1" applyAlignment="1" applyProtection="1">
      <alignment horizontal="center" vertical="center"/>
    </xf>
    <xf numFmtId="0" fontId="52" fillId="20" borderId="75" xfId="0" applyFont="1" applyFill="1" applyBorder="1" applyAlignment="1" applyProtection="1">
      <alignment horizontal="center" vertical="center" wrapText="1"/>
    </xf>
    <xf numFmtId="0" fontId="55" fillId="20" borderId="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0" xfId="0" applyFont="1" applyAlignment="1">
      <alignment horizontal="left" vertical="center"/>
    </xf>
    <xf numFmtId="0" fontId="0" fillId="0" borderId="0" xfId="0"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估价对象为北京市房地产，为所有。根据《国有土地使用证》[]，估价对象（分摊）出让国有建设用地使用权面积为7552.72平方米，建筑面积为27069.54平方米。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估价对象为北京市房地产,属开发建设的，该项目尚在开发建设中。根据《国有土地使用证》[]，估价对象（分摊）出让国有建设用地使用权面积为7552.72平方米，规划建筑面积为27069.54平方米。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2022年2月23日</v>
      </c>
    </row>
    <row r="13" spans="1:2" s="1336" customFormat="1">
      <c r="A13" s="1334" t="s">
        <v>1135</v>
      </c>
      <c r="B13" s="1335"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67365</v>
      </c>
    </row>
    <row r="21" spans="1:2" s="1336" customFormat="1">
      <c r="A21" s="1334" t="s">
        <v>1143</v>
      </c>
      <c r="B21" s="1335">
        <f ca="1">'预评函-2'!D7</f>
        <v>24886</v>
      </c>
    </row>
    <row r="22" spans="1:2" s="1336" customFormat="1">
      <c r="A22" s="1334" t="s">
        <v>1144</v>
      </c>
      <c r="B22" s="1335" t="str">
        <f ca="1">'预评函-2'!D6</f>
        <v>陆亿柒仟叁佰陆拾伍万元整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67365</v>
      </c>
    </row>
    <row r="31" spans="1:2" s="1336" customFormat="1">
      <c r="A31" s="1334" t="s">
        <v>1182</v>
      </c>
      <c r="B31" s="1335">
        <f ca="1">'预评函-2'!D15</f>
        <v>24886</v>
      </c>
    </row>
    <row r="32" spans="1:2" s="1336" customFormat="1">
      <c r="A32" s="1334" t="s">
        <v>1149</v>
      </c>
      <c r="B32" s="1335" t="str">
        <f ca="1">'预评函-2'!D14</f>
        <v>陆亿柒仟叁佰陆拾伍万元整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27069.539999999997</v>
      </c>
    </row>
    <row r="44" spans="1:2" s="1336" customFormat="1">
      <c r="A44" s="1334" t="s">
        <v>1181</v>
      </c>
      <c r="B44" s="1335" t="str">
        <f>'预评函-3'!C2</f>
        <v>(分摊)土地面积</v>
      </c>
    </row>
    <row r="45" spans="1:2" s="1336" customFormat="1">
      <c r="A45" s="1334" t="s">
        <v>1153</v>
      </c>
      <c r="B45" s="1335">
        <f>'预评函-3'!C4</f>
        <v>7552.72</v>
      </c>
    </row>
    <row r="46" spans="1:2" s="1336" customFormat="1">
      <c r="A46" s="1334" t="s">
        <v>1179</v>
      </c>
      <c r="B46" s="1335" t="str">
        <f>'预评函-3'!D2</f>
        <v>出让国有建设用地使用权价值</v>
      </c>
    </row>
    <row r="47" spans="1:2" s="1336" customFormat="1">
      <c r="A47" s="1334" t="s">
        <v>1154</v>
      </c>
      <c r="B47" s="1335">
        <f ca="1">'预评函-3'!D4</f>
        <v>51130</v>
      </c>
    </row>
    <row r="48" spans="1:2" s="1336" customFormat="1">
      <c r="A48" s="1334" t="s">
        <v>1155</v>
      </c>
      <c r="B48" s="1335">
        <f ca="1">'预评函-3'!E4</f>
        <v>18888</v>
      </c>
    </row>
    <row r="49" spans="1:2" s="1336" customFormat="1">
      <c r="A49" s="1334" t="s">
        <v>1156</v>
      </c>
      <c r="B49" s="1335" t="str">
        <f ca="1">'预评函-3'!D5</f>
        <v>伍亿壹仟壹佰叁拾万元整</v>
      </c>
    </row>
    <row r="50" spans="1:2" s="1336" customFormat="1">
      <c r="A50" s="1334" t="s">
        <v>1180</v>
      </c>
      <c r="B50" s="1335" t="str">
        <f>'预评函-3'!F2</f>
        <v>在建建筑物价值</v>
      </c>
    </row>
    <row r="51" spans="1:2" s="1336" customFormat="1">
      <c r="A51" s="1334" t="s">
        <v>1157</v>
      </c>
      <c r="B51" s="1335">
        <f ca="1">'预评函-3'!F4</f>
        <v>16235</v>
      </c>
    </row>
    <row r="52" spans="1:2" s="1336" customFormat="1">
      <c r="A52" s="1334" t="s">
        <v>1158</v>
      </c>
      <c r="B52" s="1335">
        <f ca="1">'预评函-3'!G4</f>
        <v>5998</v>
      </c>
    </row>
    <row r="53" spans="1:2" s="1336" customFormat="1">
      <c r="A53" s="1334" t="s">
        <v>1186</v>
      </c>
      <c r="B53" s="1335" t="str">
        <f ca="1">'预评函-3'!F5</f>
        <v>壹亿陆仟贰佰叁拾伍万元整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3201</v>
      </c>
      <c r="C19" s="1701"/>
    </row>
    <row r="20" spans="1:3">
      <c r="A20" s="1700" t="s">
        <v>1674</v>
      </c>
      <c r="B20" s="1700" t="s">
        <v>3203</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708" t="s">
        <v>832</v>
      </c>
      <c r="C54" s="1705" t="s">
        <v>1189</v>
      </c>
    </row>
    <row r="55" spans="1:4">
      <c r="A55" s="3281"/>
      <c r="B55" s="1708" t="s">
        <v>833</v>
      </c>
      <c r="C55" s="1705" t="s">
        <v>1190</v>
      </c>
    </row>
    <row r="56" spans="1:4">
      <c r="A56" s="3281"/>
      <c r="B56" s="1708" t="s">
        <v>834</v>
      </c>
      <c r="C56" s="1705" t="s">
        <v>1194</v>
      </c>
    </row>
    <row r="57" spans="1:4">
      <c r="A57" s="328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5"/>
      <c r="C3" s="2566" t="s">
        <v>2856</v>
      </c>
      <c r="D3" s="2565">
        <v>44615</v>
      </c>
      <c r="E3" s="2858"/>
      <c r="F3" s="2858"/>
      <c r="G3" s="2858"/>
      <c r="H3" s="2858"/>
      <c r="I3" s="2858"/>
      <c r="J3" s="2665"/>
      <c r="K3" s="2560"/>
      <c r="L3" s="2561"/>
      <c r="M3" s="2561"/>
      <c r="N3" s="2562"/>
      <c r="O3" s="1730"/>
      <c r="P3" s="2562"/>
      <c r="Q3" s="2562"/>
      <c r="R3" s="2562"/>
      <c r="S3" s="1836"/>
      <c r="T3" s="1899"/>
      <c r="U3" s="1899"/>
      <c r="V3" s="1899"/>
      <c r="W3" s="1899"/>
      <c r="X3" s="1899"/>
      <c r="Y3" s="1899"/>
      <c r="Z3" s="1899"/>
      <c r="AA3" s="1899"/>
      <c r="AB3" s="1899"/>
    </row>
    <row r="4" spans="1:28" ht="13.5" thickBot="1">
      <c r="A4" s="1221" t="s">
        <v>2857</v>
      </c>
      <c r="B4" s="2567" t="s">
        <v>3206</v>
      </c>
      <c r="C4" s="2568">
        <f ca="1">SUMIF(注册房地产估价师,B4,估价师及机构信息!B3:B24)</f>
        <v>1120100036</v>
      </c>
      <c r="D4" s="2567" t="s">
        <v>3207</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3143</v>
      </c>
      <c r="C8" s="2582"/>
      <c r="D8" s="3293" t="s">
        <v>2862</v>
      </c>
      <c r="E8" s="2583" t="s">
        <v>3144</v>
      </c>
      <c r="F8" s="2584"/>
      <c r="G8" s="2858"/>
      <c r="H8" s="2858"/>
      <c r="I8" s="2858"/>
      <c r="J8" s="2633"/>
      <c r="K8" s="2808"/>
      <c r="L8" s="2807"/>
      <c r="M8" s="2807"/>
      <c r="N8" s="2633"/>
      <c r="O8" s="2644"/>
      <c r="P8" s="2633"/>
      <c r="Q8" s="2633"/>
      <c r="R8" s="2633"/>
    </row>
    <row r="9" spans="1:28" ht="13.5" thickBot="1">
      <c r="A9" s="2585" t="s">
        <v>2863</v>
      </c>
      <c r="B9" s="2586" t="s">
        <v>3144</v>
      </c>
      <c r="C9" s="2587"/>
      <c r="D9" s="3294"/>
      <c r="E9" s="2586"/>
      <c r="F9" s="2588"/>
      <c r="G9" s="2860"/>
      <c r="H9" s="2860"/>
      <c r="I9" s="2860"/>
      <c r="J9" s="2633"/>
      <c r="K9" s="2810"/>
      <c r="L9" s="2807"/>
      <c r="M9" s="2807"/>
      <c r="N9" s="2633"/>
      <c r="O9" s="2644"/>
      <c r="P9" s="2633"/>
      <c r="Q9" s="2633"/>
      <c r="R9" s="2633"/>
    </row>
    <row r="10" spans="1:28" ht="13.5" thickTop="1">
      <c r="A10" s="2589" t="s">
        <v>2864</v>
      </c>
      <c r="B10" s="2590" t="s">
        <v>3145</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3146</v>
      </c>
      <c r="C11" s="2595"/>
      <c r="D11" s="2596"/>
      <c r="E11" s="2562"/>
      <c r="F11" s="2562"/>
      <c r="G11" s="2562"/>
      <c r="H11" s="2562"/>
      <c r="I11" s="2562"/>
      <c r="J11" s="2633"/>
      <c r="K11" s="2810"/>
      <c r="L11" s="2807"/>
      <c r="M11" s="2807"/>
      <c r="N11" s="2633"/>
      <c r="O11" s="2644"/>
      <c r="P11" s="2633"/>
      <c r="Q11" s="2633"/>
      <c r="R11" s="2633"/>
    </row>
    <row r="12" spans="1:28">
      <c r="A12" s="2597" t="s">
        <v>2867</v>
      </c>
      <c r="B12" s="2594" t="s">
        <v>3147</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4"/>
      <c r="E13" s="964">
        <v>56240</v>
      </c>
      <c r="F13" s="964">
        <v>59892</v>
      </c>
      <c r="G13" s="964">
        <v>59892</v>
      </c>
      <c r="H13" s="964"/>
      <c r="I13" s="964"/>
      <c r="J13" s="2633"/>
      <c r="K13" s="2810"/>
      <c r="L13" s="2807"/>
      <c r="M13" s="2807"/>
      <c r="N13" s="2633"/>
      <c r="O13" s="2644"/>
      <c r="P13" s="2633"/>
      <c r="Q13" s="2633"/>
      <c r="R13" s="2633"/>
    </row>
    <row r="14" spans="1:28">
      <c r="A14" s="1212"/>
      <c r="B14" s="2599"/>
      <c r="C14" s="2600" t="s">
        <v>2876</v>
      </c>
      <c r="D14" s="2601"/>
      <c r="E14" s="2601">
        <v>40</v>
      </c>
      <c r="F14" s="2601">
        <v>50</v>
      </c>
      <c r="G14" s="2601">
        <v>50</v>
      </c>
      <c r="H14" s="2601"/>
      <c r="I14" s="2601"/>
      <c r="J14" s="2633"/>
      <c r="K14" s="2811"/>
      <c r="L14" s="2807"/>
      <c r="M14" s="2807"/>
      <c r="N14" s="2633"/>
      <c r="O14" s="2644"/>
      <c r="P14" s="2633"/>
      <c r="Q14" s="2633"/>
      <c r="R14" s="2633"/>
    </row>
    <row r="15" spans="1:28">
      <c r="A15" s="326"/>
      <c r="B15" s="2602"/>
      <c r="C15" s="2603" t="s">
        <v>2877</v>
      </c>
      <c r="D15" s="2604" t="str">
        <f>IF(B12="出让",IF(D13="","",ROUNDDOWN(MIN((D13-$D$3)/365,D14),2)),D14)</f>
        <v/>
      </c>
      <c r="E15" s="2604">
        <f>IF(B12="出让",IF(E13="","",ROUNDDOWN(MIN((E13-$D$3)/365,E14),2)),E14)</f>
        <v>31.84</v>
      </c>
      <c r="F15" s="2604">
        <f>IF(B12="出让",IF(F13="","",ROUNDDOWN(MIN((F13-$D$3)/365,F14),2)),F14)</f>
        <v>41.85</v>
      </c>
      <c r="G15" s="2604">
        <f>IF(B12="出让",IF(G13="","",ROUNDDOWN(MIN((G13-$D$3)/365,G14),2)),G14)</f>
        <v>41.85</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0"/>
      <c r="C16" s="3301"/>
      <c r="D16" s="3302"/>
      <c r="E16" s="2607" t="s">
        <v>2879</v>
      </c>
      <c r="F16" s="3303"/>
      <c r="G16" s="3304"/>
      <c r="H16" s="3304"/>
      <c r="I16" s="3305"/>
      <c r="J16" s="2633"/>
      <c r="K16" s="2812"/>
      <c r="L16" s="2645"/>
      <c r="M16" s="2645"/>
      <c r="N16" s="2703"/>
      <c r="O16" s="2645"/>
      <c r="P16" s="2703"/>
      <c r="Q16" s="2633"/>
      <c r="R16" s="2633"/>
    </row>
    <row r="17" spans="1:28">
      <c r="A17" s="319" t="s">
        <v>2880</v>
      </c>
      <c r="B17" s="308" t="s">
        <v>2881</v>
      </c>
      <c r="C17" s="11">
        <f>'数据-汇总表'!E3</f>
        <v>27069.539999999997</v>
      </c>
      <c r="D17" s="2513" t="s">
        <v>2882</v>
      </c>
      <c r="E17" s="3306" t="s">
        <v>2883</v>
      </c>
      <c r="F17" s="3307"/>
      <c r="G17" s="3307"/>
      <c r="H17" s="3307"/>
      <c r="I17" s="3308"/>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7552.72</v>
      </c>
      <c r="D18" s="1223" t="s">
        <v>2886</v>
      </c>
      <c r="E18" s="3309" t="s">
        <v>2887</v>
      </c>
      <c r="F18" s="3310"/>
      <c r="G18" s="3310"/>
      <c r="H18" s="3310"/>
      <c r="I18" s="3311"/>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296" t="s">
        <v>2891</v>
      </c>
      <c r="C20" s="3297"/>
      <c r="D20" s="3298" t="s">
        <v>2892</v>
      </c>
      <c r="E20" s="3299"/>
      <c r="F20" s="2842" t="s">
        <v>1682</v>
      </c>
      <c r="G20" s="2859"/>
      <c r="H20" s="2859"/>
      <c r="I20" s="2859"/>
      <c r="J20" s="2633"/>
      <c r="K20" s="329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2" t="s">
        <v>2895</v>
      </c>
      <c r="E21" s="2830" t="s">
        <v>1683</v>
      </c>
      <c r="F21" s="2843"/>
      <c r="G21" s="2859"/>
      <c r="H21" s="2859"/>
      <c r="I21" s="2859"/>
      <c r="J21" s="2633"/>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83"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83"/>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83"/>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84"/>
      <c r="B30" s="308" t="s">
        <v>2903</v>
      </c>
      <c r="C30" s="3285"/>
      <c r="D30" s="3286"/>
      <c r="E30" s="2859"/>
      <c r="F30" s="2859"/>
      <c r="G30" s="2859"/>
      <c r="H30" s="2859"/>
      <c r="I30" s="2859"/>
      <c r="J30" s="2633"/>
      <c r="K30" s="2810"/>
      <c r="L30" s="2807"/>
      <c r="M30" s="2807"/>
      <c r="N30" s="2633"/>
      <c r="O30" s="2644"/>
      <c r="P30" s="2633"/>
      <c r="Q30" s="2633"/>
      <c r="R30" s="2633"/>
      <c r="S30" s="2633"/>
      <c r="T30" s="2633"/>
      <c r="U30" s="2633"/>
      <c r="V30" s="2633"/>
    </row>
    <row r="31" spans="1:28">
      <c r="A31" s="3287"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288"/>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288"/>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82" t="s">
        <v>2913</v>
      </c>
      <c r="T34" s="2622" t="str">
        <f>NUMBERSTRING(7-K34,1)&amp;"通"</f>
        <v>七通</v>
      </c>
      <c r="U34" s="2633"/>
      <c r="V34" s="2633"/>
    </row>
    <row r="35" spans="1:30">
      <c r="A35" s="2623"/>
      <c r="B35" s="3289" t="s">
        <v>2914</v>
      </c>
      <c r="C35" s="3289"/>
      <c r="D35" s="3289"/>
      <c r="E35" s="3289"/>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t="s">
        <v>56</v>
      </c>
      <c r="C37" s="2625" t="s">
        <v>56</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t="s">
        <v>464</v>
      </c>
      <c r="C38" s="2626" t="s">
        <v>464</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1"/>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4"/>
      <c r="B51" s="1724"/>
      <c r="C51" s="1181"/>
      <c r="D51" s="1181"/>
      <c r="E51" s="1181"/>
      <c r="F51" s="1181"/>
      <c r="G51" s="1181"/>
      <c r="H51" s="1181"/>
      <c r="I51" s="1181"/>
      <c r="J51" s="2631"/>
      <c r="K51" s="2632"/>
      <c r="L51" s="2632"/>
      <c r="M51" s="1181"/>
      <c r="N51" s="1181"/>
      <c r="O51" s="1181"/>
      <c r="P51" s="1181"/>
      <c r="Q51" s="1181"/>
      <c r="R51" s="1181"/>
    </row>
    <row r="52" spans="1:22" s="1897" customFormat="1">
      <c r="A52" s="1724"/>
      <c r="B52" s="1724"/>
      <c r="C52" s="1724"/>
      <c r="D52" s="1724"/>
      <c r="E52" s="1724"/>
      <c r="F52" s="1181"/>
      <c r="G52" s="1724"/>
      <c r="H52" s="1724"/>
      <c r="I52" s="1724"/>
      <c r="J52" s="2634"/>
      <c r="K52" s="2632"/>
      <c r="L52" s="2632"/>
      <c r="M52" s="2632"/>
      <c r="N52" s="1724"/>
      <c r="O52" s="1724"/>
      <c r="P52" s="1724"/>
      <c r="Q52" s="1724"/>
      <c r="R52" s="1724"/>
    </row>
    <row r="53" spans="1:22" s="1897" customFormat="1">
      <c r="A53" s="1724"/>
      <c r="B53" s="1724"/>
      <c r="C53" s="1724"/>
      <c r="D53" s="1724"/>
      <c r="E53" s="1724"/>
      <c r="F53" s="1181"/>
      <c r="G53" s="1724"/>
      <c r="H53" s="1724"/>
      <c r="I53" s="1724"/>
      <c r="J53" s="2634"/>
      <c r="K53" s="2632"/>
      <c r="L53" s="2632"/>
      <c r="M53" s="2632"/>
      <c r="N53" s="1724"/>
      <c r="O53" s="1724"/>
      <c r="P53" s="1724"/>
      <c r="Q53" s="1724"/>
      <c r="R53" s="1724"/>
    </row>
    <row r="54" spans="1:22" s="1897" customFormat="1">
      <c r="A54" s="1724"/>
      <c r="B54" s="1724"/>
      <c r="C54" s="1724"/>
      <c r="D54" s="1724"/>
      <c r="E54" s="1724"/>
      <c r="F54" s="1181"/>
      <c r="G54" s="1724"/>
      <c r="H54" s="1724"/>
      <c r="I54" s="1724"/>
      <c r="J54" s="2634"/>
      <c r="K54" s="2632"/>
      <c r="L54" s="2632"/>
      <c r="M54" s="2632"/>
      <c r="N54" s="1724"/>
      <c r="O54" s="1724"/>
      <c r="P54" s="1724"/>
      <c r="Q54" s="1724"/>
      <c r="R54" s="1724"/>
    </row>
    <row r="55" spans="1:22" s="1897" customFormat="1">
      <c r="A55" s="1724"/>
      <c r="B55" s="1724"/>
      <c r="C55" s="1724"/>
      <c r="D55" s="1724"/>
      <c r="E55" s="1724"/>
      <c r="F55" s="1181"/>
      <c r="G55" s="1724"/>
      <c r="H55" s="1724"/>
      <c r="I55" s="1724"/>
      <c r="J55" s="2634"/>
      <c r="K55" s="2632"/>
      <c r="L55" s="2632"/>
      <c r="M55" s="2632"/>
      <c r="N55" s="1724"/>
      <c r="O55" s="1724"/>
      <c r="P55" s="1724"/>
      <c r="Q55" s="1724"/>
      <c r="R55" s="1724"/>
    </row>
    <row r="56" spans="1:22" s="1897"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7552.72</v>
      </c>
      <c r="B3" s="14">
        <f>IF(C3="否",G5-AT5,G5)</f>
        <v>27069.539999999997</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27069.539999999997</v>
      </c>
      <c r="H5" s="16">
        <f t="shared" ref="H5:AT5" si="0">SUM(H13:H656)</f>
        <v>27069.539999999997</v>
      </c>
      <c r="I5" s="16">
        <f t="shared" si="0"/>
        <v>20973.46</v>
      </c>
      <c r="J5" s="16">
        <f t="shared" si="0"/>
        <v>0</v>
      </c>
      <c r="K5" s="16">
        <f t="shared" si="0"/>
        <v>2421.0500000000002</v>
      </c>
      <c r="L5" s="16">
        <f t="shared" si="0"/>
        <v>0</v>
      </c>
      <c r="M5" s="16">
        <f t="shared" si="0"/>
        <v>3675.03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27069.539999999997</v>
      </c>
      <c r="BA5" s="18">
        <f t="shared" si="1"/>
        <v>27069.539999999997</v>
      </c>
      <c r="BB5" s="18">
        <f t="shared" si="1"/>
        <v>20973.46</v>
      </c>
      <c r="BC5" s="18">
        <f t="shared" si="1"/>
        <v>2421.0500000000002</v>
      </c>
      <c r="BD5" s="18">
        <f t="shared" si="1"/>
        <v>3675.03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7552.72</v>
      </c>
      <c r="F6" s="16" t="s">
        <v>1</v>
      </c>
      <c r="G6" s="16" t="s">
        <v>2</v>
      </c>
      <c r="H6" s="20">
        <f>SUMIF(I$12:AB$12,"总值",I6:AB6)</f>
        <v>7552.72</v>
      </c>
      <c r="I6" s="16">
        <f t="shared" ref="I6:AB6" si="2">ROUND($A$3*I5/$B$3,2)</f>
        <v>5851.84</v>
      </c>
      <c r="J6" s="16">
        <f t="shared" si="2"/>
        <v>0</v>
      </c>
      <c r="K6" s="16">
        <f t="shared" si="2"/>
        <v>675.5</v>
      </c>
      <c r="L6" s="16">
        <f t="shared" si="2"/>
        <v>0</v>
      </c>
      <c r="M6" s="16">
        <f t="shared" si="2"/>
        <v>1025.3800000000001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7552.72</v>
      </c>
      <c r="AZ6" s="16" t="s">
        <v>3</v>
      </c>
      <c r="BA6" s="16">
        <f>ROUND($AY$6*BA5/$AZ$5,2)</f>
        <v>7552.72</v>
      </c>
      <c r="BB6" s="16">
        <f>ROUND($AY$6*BB5/$AZ$5,2)</f>
        <v>5851.84</v>
      </c>
      <c r="BC6" s="16">
        <f t="shared" ref="BC6:BH6" si="4">ROUND($AY$6*BC5/$AZ$5,2)</f>
        <v>675.5</v>
      </c>
      <c r="BD6" s="16">
        <f t="shared" si="4"/>
        <v>1025.3800000000001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3149</v>
      </c>
      <c r="J9" s="917"/>
      <c r="K9" s="1757" t="s">
        <v>3149</v>
      </c>
      <c r="L9" s="917"/>
      <c r="M9" s="1757" t="s">
        <v>3150</v>
      </c>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27</v>
      </c>
      <c r="J10" s="917"/>
      <c r="K10" s="1763" t="s">
        <v>1283</v>
      </c>
      <c r="L10" s="917"/>
      <c r="M10" s="1763" t="s">
        <v>3151</v>
      </c>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办公</v>
      </c>
      <c r="BC11" s="1753" t="str">
        <f>K10</f>
        <v>商业</v>
      </c>
      <c r="BD11" s="1753" t="str">
        <f>M10</f>
        <v>车库</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3148</v>
      </c>
      <c r="E13" s="16">
        <f>IF($C$3="是",ROUND($A$3*G13/$B$3,2),ROUND($A$3*(G13-AT13)/$B$3,2))</f>
        <v>7552.72</v>
      </c>
      <c r="F13" s="32"/>
      <c r="G13" s="33">
        <f>H13+AC13+AT13</f>
        <v>27069.539999999997</v>
      </c>
      <c r="H13" s="20">
        <f>SUMIF(I$12:AB$12,"总值",I13:AB13)</f>
        <v>27069.539999999997</v>
      </c>
      <c r="I13" s="1780">
        <f>SUM(Sheet1!C5:C14)</f>
        <v>20973.46</v>
      </c>
      <c r="J13" s="1780"/>
      <c r="K13" s="1780">
        <f>Sheet1!C4</f>
        <v>2421.0500000000002</v>
      </c>
      <c r="L13" s="1780"/>
      <c r="M13" s="1780">
        <f>Sheet1!C3</f>
        <v>3675.03</v>
      </c>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7552.72</v>
      </c>
      <c r="AZ13" s="16">
        <f>BA13+BL13</f>
        <v>27069.539999999997</v>
      </c>
      <c r="BA13" s="16">
        <f>SUM(BB13:BK13)</f>
        <v>27069.539999999997</v>
      </c>
      <c r="BB13" s="16">
        <f>IF($D13="是",I13-J13,0)</f>
        <v>20973.46</v>
      </c>
      <c r="BC13" s="16">
        <f>IF($D13="是",K13-L13,0)</f>
        <v>2421.0500000000002</v>
      </c>
      <c r="BD13" s="16">
        <f>IF($D13="是",M13-N13,0)</f>
        <v>3675.03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
  <sheetViews>
    <sheetView workbookViewId="0">
      <selection activeCell="D24" sqref="D24"/>
    </sheetView>
  </sheetViews>
  <sheetFormatPr defaultRowHeight="13.5"/>
  <sheetData>
    <row r="3" spans="2:5">
      <c r="B3" s="3205" t="s">
        <v>3127</v>
      </c>
      <c r="C3">
        <f>2869.02+105.58*3+109.12*3+161.91</f>
        <v>3675.03</v>
      </c>
      <c r="D3" s="3205" t="s">
        <v>3139</v>
      </c>
      <c r="E3" s="3205" t="s">
        <v>3140</v>
      </c>
    </row>
    <row r="4" spans="2:5">
      <c r="B4" s="3205" t="s">
        <v>3128</v>
      </c>
      <c r="C4">
        <f>761.1+794.61+865.34</f>
        <v>2421.0500000000002</v>
      </c>
      <c r="D4" s="3205" t="s">
        <v>3141</v>
      </c>
    </row>
    <row r="5" spans="2:5">
      <c r="B5" s="3205" t="s">
        <v>3129</v>
      </c>
      <c r="C5">
        <f>4050.41</f>
        <v>4050.41</v>
      </c>
      <c r="D5" s="3314" t="s">
        <v>3142</v>
      </c>
    </row>
    <row r="6" spans="2:5">
      <c r="B6" s="3205" t="s">
        <v>3130</v>
      </c>
      <c r="C6">
        <f>1062.91+966.42+667.57+807.23</f>
        <v>3504.13</v>
      </c>
      <c r="D6" s="3315"/>
    </row>
    <row r="7" spans="2:5">
      <c r="B7" s="3205" t="s">
        <v>3131</v>
      </c>
      <c r="C7">
        <f>865.14+682.6+667.57+807.23</f>
        <v>3022.54</v>
      </c>
      <c r="D7" s="3315"/>
    </row>
    <row r="8" spans="2:5">
      <c r="B8" s="3205" t="s">
        <v>3132</v>
      </c>
      <c r="C8">
        <f>1182.17+667.57+807.23</f>
        <v>2656.9700000000003</v>
      </c>
      <c r="D8" s="3315"/>
    </row>
    <row r="9" spans="2:5">
      <c r="B9" s="3205" t="s">
        <v>3133</v>
      </c>
      <c r="C9">
        <f>809.96+671.81</f>
        <v>1481.77</v>
      </c>
      <c r="D9" s="3315"/>
    </row>
    <row r="10" spans="2:5">
      <c r="B10" s="3205" t="s">
        <v>3134</v>
      </c>
      <c r="C10">
        <f>809.63+671.81</f>
        <v>1481.44</v>
      </c>
      <c r="D10" s="3315"/>
    </row>
    <row r="11" spans="2:5">
      <c r="B11" s="3205" t="s">
        <v>3135</v>
      </c>
      <c r="C11">
        <f>809.63+671.81</f>
        <v>1481.44</v>
      </c>
      <c r="D11" s="3315"/>
    </row>
    <row r="12" spans="2:5">
      <c r="B12" s="3205" t="s">
        <v>3136</v>
      </c>
      <c r="C12">
        <f>809.63+671.81</f>
        <v>1481.44</v>
      </c>
      <c r="D12" s="3315"/>
    </row>
    <row r="13" spans="2:5">
      <c r="B13" s="3205" t="s">
        <v>3137</v>
      </c>
      <c r="C13">
        <f>906.66</f>
        <v>906.66</v>
      </c>
      <c r="D13" s="3315"/>
    </row>
    <row r="14" spans="2:5">
      <c r="B14" s="3205" t="s">
        <v>3138</v>
      </c>
      <c r="C14">
        <f>906.66</f>
        <v>906.66</v>
      </c>
      <c r="D14" s="3315"/>
    </row>
    <row r="15" spans="2:5">
      <c r="C15">
        <f>SUM(C3:C14)</f>
        <v>27069.539999999997</v>
      </c>
    </row>
  </sheetData>
  <mergeCells count="1">
    <mergeCell ref="D5:D14"/>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3" sqref="L1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25" t="s">
        <v>1757</v>
      </c>
      <c r="B2" s="3325"/>
      <c r="C2" s="3325"/>
      <c r="D2" s="903" t="s">
        <v>1733</v>
      </c>
      <c r="E2" s="1793" t="s">
        <v>1734</v>
      </c>
      <c r="F2" s="2854"/>
      <c r="G2" s="2845"/>
      <c r="H2" s="2846"/>
      <c r="I2" s="2516" t="s">
        <v>1758</v>
      </c>
      <c r="J2" s="2854"/>
      <c r="K2" s="2854"/>
      <c r="L2" s="2854"/>
      <c r="M2" s="2854"/>
      <c r="N2" s="2856"/>
      <c r="O2" s="2854"/>
      <c r="P2" s="2854"/>
    </row>
    <row r="3" spans="1:16" ht="15.75" thickBot="1">
      <c r="A3" s="3326" t="s">
        <v>1731</v>
      </c>
      <c r="B3" s="3326"/>
      <c r="C3" s="3326"/>
      <c r="D3" s="46">
        <f>'数据-基础表'!AY6</f>
        <v>7552.72</v>
      </c>
      <c r="E3" s="46">
        <f>'数据-基础表'!AZ5</f>
        <v>27069.539999999997</v>
      </c>
      <c r="F3" s="2854"/>
      <c r="G3" s="1278"/>
      <c r="H3" s="1156" t="s">
        <v>1732</v>
      </c>
      <c r="I3" s="963">
        <f>ROUND('数据-基础表'!B3/'数据-基础表'!A3,2)</f>
        <v>3.58</v>
      </c>
      <c r="J3" s="2854"/>
      <c r="K3" s="2854"/>
      <c r="L3" s="2854"/>
      <c r="M3" s="2854"/>
      <c r="N3" s="2856"/>
      <c r="O3" s="2854"/>
      <c r="P3" s="2854"/>
    </row>
    <row r="4" spans="1:16" ht="15">
      <c r="A4" s="3327"/>
      <c r="B4" s="3328"/>
      <c r="C4" s="3329"/>
      <c r="D4" s="1795" t="s">
        <v>1733</v>
      </c>
      <c r="E4" s="1796" t="s">
        <v>1734</v>
      </c>
      <c r="F4" s="2854"/>
      <c r="G4" s="2847" t="s">
        <v>1759</v>
      </c>
      <c r="H4" s="1156" t="s">
        <v>1739</v>
      </c>
      <c r="I4" s="963">
        <f>ROUND(SUMIF('数据-基础表'!I9:AS9,"地上",'数据-基础表'!I5:AS5)/'数据-基础表'!A3,2)</f>
        <v>3.1</v>
      </c>
      <c r="J4" s="2854"/>
      <c r="K4" s="2854"/>
      <c r="L4" s="2854"/>
      <c r="M4" s="2854"/>
      <c r="N4" s="2856"/>
      <c r="O4" s="2854"/>
      <c r="P4" s="2854"/>
    </row>
    <row r="5" spans="1:16">
      <c r="A5" s="47" t="s">
        <v>1735</v>
      </c>
      <c r="B5" s="3330" t="s">
        <v>1736</v>
      </c>
      <c r="C5" s="3330"/>
      <c r="D5" s="48">
        <f>ROUND($D$3*E5/$E$3,2)</f>
        <v>0</v>
      </c>
      <c r="E5" s="49">
        <f>SUMIF('数据-基础表'!$11:$11,"住宅",'数据-基础表'!$5:$5)</f>
        <v>0</v>
      </c>
      <c r="F5" s="2854"/>
      <c r="G5" s="1278"/>
      <c r="H5" s="1156" t="s">
        <v>1732</v>
      </c>
      <c r="I5" s="963">
        <f>ROUND(E31/D31,2)</f>
        <v>3.58</v>
      </c>
      <c r="J5" s="2854"/>
      <c r="K5" s="2854"/>
      <c r="L5" s="2854"/>
      <c r="M5" s="2854"/>
      <c r="N5" s="2854"/>
      <c r="O5" s="2854"/>
      <c r="P5" s="2854"/>
    </row>
    <row r="6" spans="1:16" ht="15" thickBot="1">
      <c r="A6" s="1798"/>
      <c r="B6" s="3330" t="s">
        <v>1737</v>
      </c>
      <c r="C6" s="3330"/>
      <c r="D6" s="48">
        <f>ROUND($D$3*E6/$E$3,2)</f>
        <v>7552.72</v>
      </c>
      <c r="E6" s="49">
        <f>E3-E5</f>
        <v>27069.539999999997</v>
      </c>
      <c r="F6" s="2854"/>
      <c r="G6" s="2848" t="s">
        <v>1738</v>
      </c>
      <c r="H6" s="1279" t="s">
        <v>1739</v>
      </c>
      <c r="I6" s="2849">
        <f>ROUND(F31/D31,2)</f>
        <v>3.1</v>
      </c>
      <c r="J6" s="2854"/>
      <c r="K6" s="2854"/>
      <c r="L6" s="2854"/>
      <c r="M6" s="2854"/>
      <c r="N6" s="2854"/>
      <c r="O6" s="2854"/>
      <c r="P6" s="2854"/>
    </row>
    <row r="7" spans="1:16" ht="15.75" thickBot="1">
      <c r="A7" s="3322"/>
      <c r="B7" s="3323"/>
      <c r="C7" s="3324"/>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6527.34</v>
      </c>
      <c r="E8" s="51">
        <f>SUMIF('数据-基础表'!BB10:BK10,"地上",'数据-基础表'!BB5:BK5)</f>
        <v>23394.51</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1025.3800000000001</v>
      </c>
      <c r="E13" s="51">
        <f>SUMPRODUCT(('数据-基础表'!BB10:BK10="地下")*('数据-基础表'!BB11:BK11="车库")*('数据-基础表'!BB5:BK5))</f>
        <v>3675.03</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7552.72</v>
      </c>
      <c r="E16" s="53">
        <f>SUM(E8:E15)</f>
        <v>27069.539999999997</v>
      </c>
      <c r="F16" s="2854"/>
      <c r="G16" s="2855"/>
      <c r="H16" s="1802" t="s">
        <v>1761</v>
      </c>
      <c r="I16" s="1803"/>
      <c r="J16" s="1272"/>
      <c r="K16" s="3319" t="s">
        <v>1761</v>
      </c>
      <c r="L16" s="3320"/>
      <c r="M16" s="3320"/>
      <c r="N16" s="3320"/>
      <c r="O16" s="3320"/>
      <c r="P16" s="3321"/>
    </row>
    <row r="17" spans="1:19" ht="15">
      <c r="A17" s="1804" t="s">
        <v>1762</v>
      </c>
      <c r="B17" s="1805" t="s">
        <v>1763</v>
      </c>
      <c r="C17" s="1806" t="s">
        <v>1764</v>
      </c>
      <c r="D17" s="1807" t="s">
        <v>1752</v>
      </c>
      <c r="E17" s="1808" t="s">
        <v>1753</v>
      </c>
      <c r="F17" s="1809"/>
      <c r="G17" s="1810"/>
      <c r="H17" s="1811" t="s">
        <v>1765</v>
      </c>
      <c r="I17" s="1812" t="s">
        <v>1750</v>
      </c>
      <c r="J17" s="1272"/>
      <c r="K17" s="3316" t="s">
        <v>1766</v>
      </c>
      <c r="L17" s="3317"/>
      <c r="M17" s="3318"/>
      <c r="N17" s="3316" t="s">
        <v>1767</v>
      </c>
      <c r="O17" s="3317"/>
      <c r="P17" s="331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06" t="s">
        <v>3194</v>
      </c>
      <c r="D19" s="48">
        <f>ROUND($D$3*E19/$E$3,2)</f>
        <v>5851.84</v>
      </c>
      <c r="E19" s="56">
        <f t="shared" ref="E19:E26" si="1">SUM(F19:G19)</f>
        <v>20973.46</v>
      </c>
      <c r="F19" s="2994">
        <f>'数据-基础表'!I13</f>
        <v>20973.46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5851.84</v>
      </c>
      <c r="S19" s="1157">
        <f t="shared" si="5"/>
        <v>20973.46</v>
      </c>
    </row>
    <row r="20" spans="1:19">
      <c r="A20" s="1824"/>
      <c r="B20" s="50" t="s">
        <v>1779</v>
      </c>
      <c r="C20" s="3206" t="s">
        <v>3195</v>
      </c>
      <c r="D20" s="48">
        <f t="shared" ref="D20:D26" si="6">ROUND($D$3*E20/$E$3,2)</f>
        <v>675.5</v>
      </c>
      <c r="E20" s="56">
        <f t="shared" si="1"/>
        <v>2421.0500000000002</v>
      </c>
      <c r="F20" s="2994">
        <f>'数据-基础表'!K13</f>
        <v>2421.0500000000002</v>
      </c>
      <c r="G20" s="2995"/>
      <c r="H20" s="679">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675.5</v>
      </c>
      <c r="S20" s="1157">
        <f t="shared" si="5"/>
        <v>2421.0500000000002</v>
      </c>
    </row>
    <row r="21" spans="1:19">
      <c r="A21" s="1824"/>
      <c r="B21" s="50" t="s">
        <v>1779</v>
      </c>
      <c r="C21" s="3206" t="s">
        <v>3196</v>
      </c>
      <c r="D21" s="48">
        <f t="shared" si="6"/>
        <v>1025.3800000000001</v>
      </c>
      <c r="E21" s="56">
        <f t="shared" si="1"/>
        <v>3675.03</v>
      </c>
      <c r="F21" s="2994"/>
      <c r="G21" s="2995">
        <f>'数据-基础表'!M13</f>
        <v>3675.03</v>
      </c>
      <c r="H21" s="679">
        <f t="shared" si="7"/>
        <v>0</v>
      </c>
      <c r="I21" s="51">
        <f t="shared" si="2"/>
        <v>0</v>
      </c>
      <c r="J21" s="1272"/>
      <c r="K21" s="1271">
        <f t="shared" si="3"/>
        <v>0</v>
      </c>
      <c r="L21" s="1156">
        <f t="shared" si="4"/>
        <v>0</v>
      </c>
      <c r="M21" s="1283">
        <f t="shared" si="8"/>
        <v>0</v>
      </c>
      <c r="N21" s="1822"/>
      <c r="O21" s="1823"/>
      <c r="P21" s="1283">
        <f t="shared" si="9"/>
        <v>0</v>
      </c>
      <c r="R21" s="1156">
        <f t="shared" si="5"/>
        <v>1025.3800000000001</v>
      </c>
      <c r="S21" s="1157">
        <f t="shared" si="5"/>
        <v>3675.03</v>
      </c>
    </row>
    <row r="22" spans="1:19">
      <c r="A22" s="1824"/>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7552.72</v>
      </c>
      <c r="E27" s="1274">
        <f>IF(SUM(E19:E26)='数据-基础表'!BA5,SUM(E19:E26),IF(F27="地上面积有误","面积有误","地下面积有误"))</f>
        <v>27069.539999999997</v>
      </c>
      <c r="F27" s="1273">
        <f>IF(SUM(F19:F26)=E8,SUM(F19:F26),"地上面积有误")</f>
        <v>23394.51</v>
      </c>
      <c r="G27" s="1275">
        <f>SUM(G19:G26)</f>
        <v>3675.03</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7552.72</v>
      </c>
      <c r="S27" s="1156">
        <f>IF(SUM(S19:S26)=$E$3,SUM(S19:S26),SUM(S19:S26)&amp;"误差"&amp;ROUND(SUM(S19:S26)-E3,2))</f>
        <v>27069.539999999997</v>
      </c>
    </row>
    <row r="28" spans="1:19">
      <c r="A28" s="1824"/>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5">
        <f>D27+D30</f>
        <v>7552.72</v>
      </c>
      <c r="E31" s="685">
        <f>E27+E30</f>
        <v>27069.539999999997</v>
      </c>
      <c r="F31" s="686">
        <f>F27+F30</f>
        <v>23394.51</v>
      </c>
      <c r="G31" s="687">
        <f>G27+G30</f>
        <v>3675.03</v>
      </c>
      <c r="H31" s="2854"/>
      <c r="I31" s="2854"/>
      <c r="J31" s="2854"/>
      <c r="K31" s="2854"/>
      <c r="L31" s="2854"/>
      <c r="M31" s="2854"/>
      <c r="N31" s="2854"/>
      <c r="O31" s="2854"/>
      <c r="P31" s="2854"/>
    </row>
    <row r="32" spans="1:19">
      <c r="A32" s="1797"/>
      <c r="B32" s="1797" t="s">
        <v>1785</v>
      </c>
      <c r="C32" s="1797"/>
      <c r="D32" s="1797"/>
      <c r="E32" s="1183">
        <f>SUMIF(C19:C26,"*住宅*",E19:E26)</f>
        <v>0</v>
      </c>
      <c r="F32" s="1797"/>
      <c r="G32" s="1797"/>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6" width="10.875" style="1836" customWidth="1"/>
    <col min="17" max="17" width="13.62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7" t="s">
        <v>1787</v>
      </c>
      <c r="B2" s="1175">
        <f>项目基本情况!D3</f>
        <v>44615</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6" t="s">
        <v>1792</v>
      </c>
      <c r="AA4" s="1806"/>
      <c r="AB4" s="1806"/>
      <c r="AC4" s="1806"/>
      <c r="AD4" s="1806"/>
      <c r="AE4" s="1804" t="s">
        <v>1793</v>
      </c>
      <c r="AF4" s="1806"/>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3159</v>
      </c>
      <c r="O5" s="1856" t="s">
        <v>1807</v>
      </c>
      <c r="P5" s="1859" t="s">
        <v>1808</v>
      </c>
      <c r="Q5" s="65" t="s">
        <v>1809</v>
      </c>
      <c r="R5" s="1860" t="s">
        <v>1810</v>
      </c>
      <c r="S5" s="1861" t="s">
        <v>1811</v>
      </c>
      <c r="T5" s="1862" t="s">
        <v>1812</v>
      </c>
      <c r="U5" s="1176" t="s">
        <v>1813</v>
      </c>
      <c r="V5" s="1177" t="s">
        <v>1814</v>
      </c>
      <c r="W5" s="1177" t="s">
        <v>1815</v>
      </c>
      <c r="X5" s="67"/>
      <c r="Y5" s="66" t="s">
        <v>1816</v>
      </c>
      <c r="Z5" s="1863" t="s">
        <v>1813</v>
      </c>
      <c r="AA5" s="1177" t="s">
        <v>1814</v>
      </c>
      <c r="AB5" s="1177" t="s">
        <v>1815</v>
      </c>
      <c r="AC5" s="67"/>
      <c r="AD5" s="67" t="s">
        <v>1816</v>
      </c>
      <c r="AE5" s="1176" t="s">
        <v>1817</v>
      </c>
      <c r="AF5" s="1177" t="s">
        <v>1818</v>
      </c>
      <c r="AG5" s="66" t="s">
        <v>1819</v>
      </c>
      <c r="AH5" s="1176" t="s">
        <v>1820</v>
      </c>
      <c r="AI5" s="1863" t="s">
        <v>1821</v>
      </c>
      <c r="AJ5" s="1863" t="s">
        <v>1822</v>
      </c>
      <c r="AK5" s="1177" t="s">
        <v>1823</v>
      </c>
      <c r="AL5" s="1177" t="s">
        <v>1824</v>
      </c>
      <c r="AM5" s="66" t="s">
        <v>1825</v>
      </c>
      <c r="AN5" s="1864" t="s">
        <v>1826</v>
      </c>
      <c r="AO5" s="1716" t="s">
        <v>1827</v>
      </c>
      <c r="AP5" s="1158" t="s">
        <v>1828</v>
      </c>
      <c r="AQ5" s="1865" t="s">
        <v>1829</v>
      </c>
      <c r="AR5" s="1865"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办公</v>
      </c>
      <c r="B6" s="1867" t="str">
        <f>IF(A6=0,"","经营性")</f>
        <v>经营性</v>
      </c>
      <c r="C6" s="1868" t="s">
        <v>27</v>
      </c>
      <c r="D6" s="966">
        <f>SUMIF(项目基本情况!D$12:I$12,C6,项目基本情况!D$14:I$14)</f>
        <v>50</v>
      </c>
      <c r="E6" s="965">
        <f>IF(B6="","",SUMIF(项目基本情况!D$12:I$12,C6,项目基本情况!D$13:I$13))</f>
        <v>59892</v>
      </c>
      <c r="F6" s="68">
        <f>SUMIF(项目基本情况!D$12:I$12,C6,项目基本情况!D$15:I$15)</f>
        <v>41.85</v>
      </c>
      <c r="G6" s="69">
        <f>IF(ISERROR(ROUND(POWER(1+H6,D6-F6)*(POWER(1+H6,F6)-1)/(POWER(1+H6,D6)-1),3)),0,ROUND(POWER(1+H6,D6-F6)*(POWER(1+H6,F6)-1)/(POWER(1+H6,D6)-1),3))</f>
        <v>0.95299999999999996</v>
      </c>
      <c r="H6" s="741">
        <v>0.05</v>
      </c>
      <c r="I6" s="741">
        <v>5.5E-2</v>
      </c>
      <c r="J6" s="70">
        <v>7.0000000000000007E-2</v>
      </c>
      <c r="K6" s="1160">
        <f>SUMIF('数据-汇总表'!C$19:C$33,A6,'数据-汇总表'!E$19:E$33)</f>
        <v>20973.46</v>
      </c>
      <c r="L6" s="742">
        <v>4000</v>
      </c>
      <c r="M6" s="71">
        <f t="shared" ref="M6:M14" si="0">ROUND(K6*L6/10000,0)</f>
        <v>8389</v>
      </c>
      <c r="N6" s="740">
        <f>ROUND(1-(2022-2021)/60,2)</f>
        <v>0.98</v>
      </c>
      <c r="O6" s="71" t="str">
        <f>IF($N$5="成新度","——",ROUND(M6*N6,0))</f>
        <v>——</v>
      </c>
      <c r="P6" s="72" t="str">
        <f>IF($N$5="成新度","——",M6-O6)</f>
        <v>——</v>
      </c>
      <c r="Q6" s="743">
        <f>O23</f>
        <v>0.15</v>
      </c>
      <c r="R6" s="73">
        <f ca="1">SUMIF('数据-汇总表'!C$19:C$33,A6,'数据-汇总表'!R$19:R$27)</f>
        <v>5851.84</v>
      </c>
      <c r="S6" s="54">
        <f>IF('数据-汇总表'!$I$17="按面积比例",SUMIF('数据-汇总表'!C$19:C$33,A6,'数据-汇总表'!K$19:K$33),SUMIF('数据-汇总表'!C$19:C$33,A6,'数据-汇总表'!N$19:N$33))</f>
        <v>0</v>
      </c>
      <c r="T6" s="1305">
        <f>ROUND($L$14*S6/10000,0)</f>
        <v>0</v>
      </c>
      <c r="U6" s="74">
        <v>5</v>
      </c>
      <c r="V6" s="75">
        <v>2.5000000000000001E-2</v>
      </c>
      <c r="W6" s="75">
        <v>0.1</v>
      </c>
      <c r="X6" s="1170"/>
      <c r="Y6" s="76">
        <f>N6</f>
        <v>0.98</v>
      </c>
      <c r="Z6" s="77"/>
      <c r="AA6" s="70"/>
      <c r="AB6" s="70"/>
      <c r="AC6" s="1170"/>
      <c r="AD6" s="78"/>
      <c r="AE6" s="1171">
        <f ca="1">IF(AN6="",0,SUMIF(INDIRECT("'"&amp;AN6&amp;"'"&amp;"!E:E"),$AE$5,INDIRECT("'"&amp;AN6&amp;"'"&amp;"!F:F")))</f>
        <v>41.85</v>
      </c>
      <c r="AF6" s="1501"/>
      <c r="AG6" s="143">
        <f>IF(AF6="",0,AE6-AF6)</f>
        <v>0</v>
      </c>
      <c r="AH6" s="79"/>
      <c r="AI6" s="81">
        <v>365</v>
      </c>
      <c r="AJ6" s="82"/>
      <c r="AK6" s="3234">
        <v>0.01</v>
      </c>
      <c r="AL6" s="84">
        <v>1E-3</v>
      </c>
      <c r="AM6" s="85">
        <v>0.03</v>
      </c>
      <c r="AN6" s="1869" t="s">
        <v>3163</v>
      </c>
      <c r="AO6" s="55">
        <f ca="1">SUMIF(INDIRECT("'"&amp;AN6&amp;"'"&amp;"!A:A"),"总价",INDIRECT("'"&amp;AN6&amp;"'"&amp;"!B:B"))</f>
        <v>61875</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56240</v>
      </c>
      <c r="F7" s="68">
        <f>SUMIF(项目基本情况!D$12:I$12,C7,项目基本情况!D$15:I$15)</f>
        <v>31.84</v>
      </c>
      <c r="G7" s="69">
        <f t="shared" ref="G7:G11" si="2">IF(ISERROR(ROUND(POWER(1+H7,D7-F7)*(POWER(1+H7,F7)-1)/(POWER(1+H7,D7)-1),3)),0,ROUND(POWER(1+H7,D7-F7)*(POWER(1+H7,F7)-1)/(POWER(1+H7,D7)-1),3))</f>
        <v>0.91900000000000004</v>
      </c>
      <c r="H7" s="741">
        <f>H6</f>
        <v>0.05</v>
      </c>
      <c r="I7" s="741">
        <f>I6</f>
        <v>5.5E-2</v>
      </c>
      <c r="J7" s="70">
        <f>J6</f>
        <v>7.0000000000000007E-2</v>
      </c>
      <c r="K7" s="1160">
        <f>SUMIF('数据-汇总表'!C$19:C$33,A7,'数据-汇总表'!E$19:E$33)</f>
        <v>2421.0500000000002</v>
      </c>
      <c r="L7" s="742">
        <v>4000</v>
      </c>
      <c r="M7" s="71">
        <f t="shared" si="0"/>
        <v>968</v>
      </c>
      <c r="N7" s="740">
        <f>N6</f>
        <v>0.98</v>
      </c>
      <c r="O7" s="71" t="str">
        <f t="shared" ref="O7:O14" si="3">IF($N$5="成新度","——",ROUND(M7*N7,0))</f>
        <v>——</v>
      </c>
      <c r="P7" s="72" t="str">
        <f t="shared" ref="P7:P14" si="4">IF($N$5="成新度","——",M7-O7)</f>
        <v>——</v>
      </c>
      <c r="Q7" s="743">
        <v>0.15</v>
      </c>
      <c r="R7" s="73">
        <f ca="1">SUMIF('数据-汇总表'!C$19:C$33,A7,'数据-汇总表'!R$19:R$27)</f>
        <v>675.5</v>
      </c>
      <c r="S7" s="54">
        <f>IF('数据-汇总表'!$I$17="按面积比例",SUMIF('数据-汇总表'!C$19:C$33,A7,'数据-汇总表'!K$19:K$33),SUMIF('数据-汇总表'!C$19:C$33,A7,'数据-汇总表'!N$19:N$33))</f>
        <v>0</v>
      </c>
      <c r="T7" s="1305">
        <f t="shared" ref="T7:T13" si="5">ROUND($L$14*S7/10000,0)</f>
        <v>0</v>
      </c>
      <c r="U7" s="74">
        <v>9</v>
      </c>
      <c r="V7" s="75">
        <v>2.5000000000000001E-2</v>
      </c>
      <c r="W7" s="75">
        <v>0.1</v>
      </c>
      <c r="X7" s="1170"/>
      <c r="Y7" s="76">
        <f>Y6</f>
        <v>0.98</v>
      </c>
      <c r="Z7" s="77"/>
      <c r="AA7" s="70"/>
      <c r="AB7" s="70"/>
      <c r="AC7" s="1170"/>
      <c r="AD7" s="78"/>
      <c r="AE7" s="1171">
        <f t="shared" ref="AE7:AE13" ca="1" si="6">IF(AN7="",0,SUMIF(INDIRECT("'"&amp;AN7&amp;"'"&amp;"!E:E"),$AE$5,INDIRECT("'"&amp;AN7&amp;"'"&amp;"!F:F")))</f>
        <v>31.84</v>
      </c>
      <c r="AF7" s="1501"/>
      <c r="AG7" s="143">
        <f t="shared" ref="AG7:AG13" si="7">IF(AF7="",0,AE7-AF7)</f>
        <v>0</v>
      </c>
      <c r="AH7" s="79"/>
      <c r="AI7" s="81">
        <v>365</v>
      </c>
      <c r="AJ7" s="82"/>
      <c r="AK7" s="3234">
        <v>0.01</v>
      </c>
      <c r="AL7" s="84">
        <v>1E-3</v>
      </c>
      <c r="AM7" s="85">
        <v>0.03</v>
      </c>
      <c r="AN7" s="1869" t="s">
        <v>3200</v>
      </c>
      <c r="AO7" s="55">
        <f t="shared" ref="AO7:AO13" ca="1" si="8">SUMIF(INDIRECT("'"&amp;AN7&amp;"'"&amp;"!A:A"),"总价",INDIRECT("'"&amp;AN7&amp;"'"&amp;"!B:B"))</f>
        <v>11300</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车库</v>
      </c>
      <c r="B8" s="1867" t="str">
        <f t="shared" si="1"/>
        <v>经营性</v>
      </c>
      <c r="C8" s="1868" t="s">
        <v>3151</v>
      </c>
      <c r="D8" s="966">
        <f>SUMIF(项目基本情况!D$12:I$12,C8,项目基本情况!D$14:I$14)</f>
        <v>50</v>
      </c>
      <c r="E8" s="965">
        <f>IF(B8="","",SUMIF(项目基本情况!D$12:I$12,C8,项目基本情况!D$13:I$13))</f>
        <v>59892</v>
      </c>
      <c r="F8" s="68">
        <f>SUMIF(项目基本情况!D$12:I$12,C8,项目基本情况!D$15:I$15)</f>
        <v>41.85</v>
      </c>
      <c r="G8" s="69">
        <f t="shared" si="2"/>
        <v>0.95299999999999996</v>
      </c>
      <c r="H8" s="3232">
        <v>0.05</v>
      </c>
      <c r="I8" s="3232">
        <v>5.5E-2</v>
      </c>
      <c r="J8" s="70">
        <v>7.0000000000000007E-2</v>
      </c>
      <c r="K8" s="1160">
        <f>SUMIF('数据-汇总表'!C$19:C$33,A8,'数据-汇总表'!E$19:E$33)</f>
        <v>3675.03</v>
      </c>
      <c r="L8" s="742">
        <v>3000</v>
      </c>
      <c r="M8" s="71">
        <f>ROUND(K8*L8/10000,0)</f>
        <v>1103</v>
      </c>
      <c r="N8" s="740">
        <f>N7</f>
        <v>0.98</v>
      </c>
      <c r="O8" s="71" t="str">
        <f t="shared" si="3"/>
        <v>——</v>
      </c>
      <c r="P8" s="72" t="str">
        <f t="shared" si="4"/>
        <v>——</v>
      </c>
      <c r="Q8" s="743">
        <v>0.05</v>
      </c>
      <c r="R8" s="73">
        <f ca="1">SUMIF('数据-汇总表'!C$19:C$33,A8,'数据-汇总表'!R$19:R$27)</f>
        <v>1025.3800000000001</v>
      </c>
      <c r="S8" s="54">
        <f>IF('数据-汇总表'!$I$17="按面积比例",SUMIF('数据-汇总表'!C$19:C$33,A8,'数据-汇总表'!K$19:K$33),SUMIF('数据-汇总表'!C$19:C$33,A8,'数据-汇总表'!N$19:N$33))</f>
        <v>0</v>
      </c>
      <c r="T8" s="1305">
        <f t="shared" si="5"/>
        <v>0</v>
      </c>
      <c r="U8" s="744">
        <v>500</v>
      </c>
      <c r="V8" s="745">
        <v>0.02</v>
      </c>
      <c r="W8" s="3233">
        <v>0.1</v>
      </c>
      <c r="X8" s="1170"/>
      <c r="Y8" s="746">
        <f>Y6</f>
        <v>0.98</v>
      </c>
      <c r="Z8" s="77"/>
      <c r="AA8" s="70"/>
      <c r="AB8" s="70"/>
      <c r="AC8" s="1170"/>
      <c r="AD8" s="78"/>
      <c r="AE8" s="1171">
        <f t="shared" ca="1" si="6"/>
        <v>41.85</v>
      </c>
      <c r="AF8" s="1501"/>
      <c r="AG8" s="143">
        <f t="shared" si="7"/>
        <v>0</v>
      </c>
      <c r="AH8" s="747">
        <v>80</v>
      </c>
      <c r="AI8" s="81">
        <v>12</v>
      </c>
      <c r="AJ8" s="82"/>
      <c r="AK8" s="3235">
        <v>5.0000000000000001E-3</v>
      </c>
      <c r="AL8" s="748">
        <v>1E-3</v>
      </c>
      <c r="AM8" s="749">
        <v>0.03</v>
      </c>
      <c r="AN8" s="1869" t="s">
        <v>3202</v>
      </c>
      <c r="AO8" s="55">
        <f t="shared" ca="1" si="8"/>
        <v>591</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1831</v>
      </c>
      <c r="B14" s="1867" t="s">
        <v>1832</v>
      </c>
      <c r="C14" s="1872"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1833</v>
      </c>
      <c r="B15" s="1867" t="s">
        <v>1832</v>
      </c>
      <c r="C15" s="1872"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1835</v>
      </c>
      <c r="B16" s="93"/>
      <c r="C16" s="941"/>
      <c r="D16" s="1874"/>
      <c r="E16" s="93"/>
      <c r="F16" s="93"/>
      <c r="G16" s="94">
        <f>ROUND(SUMPRODUCT(G6:G13,K6:K13)/SUMPRODUCT((G6:G13&gt;0)*(K6:K13)),3)</f>
        <v>0.95</v>
      </c>
      <c r="H16" s="95">
        <f>ROUND(SUMPRODUCT(H6:H13,K6:K13)/SUMPRODUCT((H6:H13&gt;0)*(K6:K13)),3)</f>
        <v>0.05</v>
      </c>
      <c r="I16" s="96"/>
      <c r="J16" s="96"/>
      <c r="K16" s="97">
        <f>SUM(K6:K15)</f>
        <v>27069.539999999997</v>
      </c>
      <c r="L16" s="98">
        <f>ROUND(M16*10000/SUM(K6:K14),0)</f>
        <v>3864</v>
      </c>
      <c r="M16" s="98">
        <f>SUM(M6:M14)</f>
        <v>10460</v>
      </c>
      <c r="N16" s="99">
        <f>ROUND(SUMPRODUCT(M6:M14,N6:N14)/M16,3)</f>
        <v>0.98</v>
      </c>
      <c r="O16" s="98">
        <f>SUM(O6:O14)</f>
        <v>0</v>
      </c>
      <c r="P16" s="98">
        <f>SUM(P6:P14)</f>
        <v>0</v>
      </c>
      <c r="Q16" s="100">
        <f>ROUND(SUMPRODUCT(Q6:Q13,K6:K13)/SUMPRODUCT((Q6:Q13&gt;0)*(K6:K13)),2)</f>
        <v>0.14000000000000001</v>
      </c>
      <c r="R16" s="1164">
        <f ca="1">SUM(R6:R13)</f>
        <v>7552.72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3207" t="s">
        <v>3156</v>
      </c>
      <c r="M19" s="3208" t="s">
        <v>3157</v>
      </c>
      <c r="N19" s="3208" t="s">
        <v>3158</v>
      </c>
      <c r="O19" s="3208" t="s">
        <v>3160</v>
      </c>
      <c r="P19" s="3208" t="s">
        <v>3161</v>
      </c>
      <c r="Q19" s="3208" t="s">
        <v>3162</v>
      </c>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2</v>
      </c>
      <c r="C20" s="2999" t="s">
        <v>2988</v>
      </c>
      <c r="D20" s="2873"/>
      <c r="E20" s="2870"/>
      <c r="F20" s="2870"/>
      <c r="G20" s="2870"/>
      <c r="H20" s="2870"/>
      <c r="I20" s="2870"/>
      <c r="J20" s="2870"/>
      <c r="K20" s="3207" t="s">
        <v>3153</v>
      </c>
      <c r="L20" s="2869">
        <f>'数据-基础表'!I13</f>
        <v>20973.46</v>
      </c>
      <c r="M20" s="2868">
        <f>ROUND(L20/$L$23,2)</f>
        <v>0.77</v>
      </c>
      <c r="N20" s="2868">
        <v>4000</v>
      </c>
      <c r="O20" s="2868">
        <v>0.15</v>
      </c>
      <c r="P20" s="2868">
        <v>5</v>
      </c>
      <c r="Q20" s="2868">
        <f>P20*L20*365</f>
        <v>38276564.499999993</v>
      </c>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v>2</v>
      </c>
      <c r="C21" s="2870"/>
      <c r="D21" s="2873"/>
      <c r="E21" s="2870"/>
      <c r="F21" s="2870"/>
      <c r="G21" s="2870"/>
      <c r="H21" s="2870"/>
      <c r="I21" s="2870"/>
      <c r="J21" s="2870"/>
      <c r="K21" s="3207" t="s">
        <v>3154</v>
      </c>
      <c r="L21" s="2869">
        <f>'数据-基础表'!K13</f>
        <v>2421.0500000000002</v>
      </c>
      <c r="M21" s="2868">
        <f t="shared" ref="M21:M22" si="12">ROUND(L21/$L$23,2)</f>
        <v>0.09</v>
      </c>
      <c r="N21" s="2868">
        <v>4000</v>
      </c>
      <c r="O21" s="2868">
        <v>0.2</v>
      </c>
      <c r="P21" s="2868">
        <v>9</v>
      </c>
      <c r="Q21" s="2868">
        <f t="shared" ref="Q21" si="13">P21*L21*365</f>
        <v>7953149.25</v>
      </c>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2</v>
      </c>
      <c r="C22" s="2870"/>
      <c r="D22" s="2873"/>
      <c r="E22" s="2870"/>
      <c r="F22" s="2870"/>
      <c r="G22" s="2870"/>
      <c r="H22" s="2870"/>
      <c r="I22" s="2870"/>
      <c r="J22" s="2870"/>
      <c r="K22" s="3207" t="s">
        <v>3155</v>
      </c>
      <c r="L22" s="2869">
        <f>'数据-基础表'!M13</f>
        <v>3675.03</v>
      </c>
      <c r="M22" s="2868">
        <f t="shared" si="12"/>
        <v>0.14000000000000001</v>
      </c>
      <c r="N22" s="2868">
        <v>3000</v>
      </c>
      <c r="O22" s="2868">
        <v>0.1</v>
      </c>
      <c r="P22" s="2868">
        <v>500</v>
      </c>
      <c r="Q22" s="2868">
        <f>P22*80*12</f>
        <v>480000</v>
      </c>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2</v>
      </c>
      <c r="C23" s="2870"/>
      <c r="D23" s="2873"/>
      <c r="E23" s="2870"/>
      <c r="F23" s="2870"/>
      <c r="G23" s="2870"/>
      <c r="H23" s="2870"/>
      <c r="I23" s="2870"/>
      <c r="J23" s="2870"/>
      <c r="K23" s="2869"/>
      <c r="L23" s="2869">
        <f>L20+L21+L22</f>
        <v>27069.539999999997</v>
      </c>
      <c r="M23" s="2868"/>
      <c r="N23" s="2868">
        <f>ROUND(N20*M20+N21*M21+N22*M22,0)</f>
        <v>3860</v>
      </c>
      <c r="O23" s="2868">
        <f>ROUND(O20*M20+O21*M21+O22*M22,2)</f>
        <v>0.15</v>
      </c>
      <c r="P23" s="2868">
        <f>ROUND(Q23/L23/365,2)</f>
        <v>4.7300000000000004</v>
      </c>
      <c r="Q23" s="2868">
        <f>Q20+Q21+Q22</f>
        <v>46709713.749999993</v>
      </c>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7">
        <f ca="1">成本法!C10</f>
        <v>541</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3152</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4">
        <v>0.05</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56</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7"/>
      <c r="L69" s="737"/>
    </row>
    <row r="70" spans="1:44" s="900" customFormat="1">
      <c r="A70" s="1895"/>
      <c r="D70" s="1896"/>
      <c r="K70" s="737"/>
      <c r="L70" s="737"/>
    </row>
    <row r="71" spans="1:44" s="900" customFormat="1">
      <c r="A71" s="1895"/>
      <c r="D71" s="1896"/>
      <c r="K71" s="737"/>
      <c r="L71" s="737"/>
    </row>
    <row r="72" spans="1:44" s="900" customFormat="1">
      <c r="A72" s="1895"/>
      <c r="D72" s="1896"/>
      <c r="K72" s="737"/>
      <c r="L72" s="737"/>
    </row>
    <row r="73" spans="1:44" s="900" customFormat="1">
      <c r="A73" s="1895"/>
      <c r="D73" s="1896"/>
      <c r="K73" s="737"/>
      <c r="L73" s="737"/>
    </row>
    <row r="74" spans="1:44" s="900" customFormat="1">
      <c r="A74" s="1895"/>
      <c r="D74" s="1896"/>
      <c r="K74" s="737"/>
      <c r="L74" s="737"/>
    </row>
    <row r="75" spans="1:44" s="900" customFormat="1">
      <c r="A75" s="1895"/>
      <c r="D75" s="1896"/>
      <c r="K75" s="737"/>
      <c r="L75" s="737"/>
    </row>
    <row r="76" spans="1:44" s="900" customFormat="1">
      <c r="A76" s="1895"/>
      <c r="D76" s="1896"/>
      <c r="K76" s="737"/>
      <c r="L76" s="737"/>
    </row>
    <row r="77" spans="1:44" s="900" customFormat="1">
      <c r="A77" s="1895"/>
      <c r="D77" s="1896"/>
      <c r="K77" s="737"/>
      <c r="L77" s="737"/>
    </row>
    <row r="78" spans="1:44" s="900" customFormat="1">
      <c r="A78" s="1895"/>
      <c r="D78" s="1896"/>
      <c r="K78" s="737"/>
      <c r="L78" s="737"/>
    </row>
    <row r="79" spans="1:44" s="900" customFormat="1">
      <c r="A79" s="1895"/>
      <c r="D79" s="1896"/>
      <c r="K79" s="737"/>
      <c r="L79" s="737"/>
    </row>
    <row r="80" spans="1:44" s="900" customFormat="1">
      <c r="A80" s="1895"/>
      <c r="D80" s="1896"/>
      <c r="K80" s="737"/>
      <c r="L80" s="737"/>
    </row>
    <row r="81" spans="1:12" s="900" customFormat="1">
      <c r="A81" s="1895"/>
      <c r="D81" s="1896"/>
      <c r="K81" s="737"/>
      <c r="L81" s="737"/>
    </row>
    <row r="82" spans="1:12" s="900" customFormat="1">
      <c r="A82" s="1895"/>
      <c r="D82" s="1896"/>
      <c r="K82" s="737"/>
      <c r="L82" s="737"/>
    </row>
    <row r="83" spans="1:12" s="900" customFormat="1">
      <c r="A83" s="1895"/>
      <c r="D83" s="1896"/>
      <c r="K83" s="737"/>
      <c r="L83" s="737"/>
    </row>
    <row r="84" spans="1:12" s="900" customFormat="1">
      <c r="A84" s="1895"/>
      <c r="D84" s="1896"/>
      <c r="K84" s="737"/>
      <c r="L84" s="737"/>
    </row>
    <row r="85" spans="1:12" s="900" customFormat="1">
      <c r="A85" s="1895"/>
      <c r="D85" s="1896"/>
      <c r="K85" s="737"/>
      <c r="L85" s="737"/>
    </row>
    <row r="86" spans="1:12" s="900" customFormat="1">
      <c r="A86" s="1895"/>
      <c r="D86" s="1896"/>
      <c r="K86" s="737"/>
      <c r="L86" s="737"/>
    </row>
    <row r="87" spans="1:12" s="900" customFormat="1">
      <c r="A87" s="1895"/>
      <c r="D87" s="1896"/>
      <c r="K87" s="737"/>
      <c r="L87" s="737"/>
    </row>
    <row r="88" spans="1:12" s="900" customFormat="1">
      <c r="A88" s="1895"/>
      <c r="D88" s="1896"/>
      <c r="K88" s="737"/>
      <c r="L88" s="737"/>
    </row>
    <row r="89" spans="1:12" s="900" customFormat="1">
      <c r="A89" s="1895"/>
      <c r="D89" s="1896"/>
      <c r="K89" s="737"/>
      <c r="L89" s="737"/>
    </row>
    <row r="90" spans="1:12" s="900" customFormat="1">
      <c r="A90" s="1895"/>
      <c r="D90" s="1896"/>
      <c r="K90" s="737"/>
      <c r="L90" s="737"/>
    </row>
    <row r="91" spans="1:12" s="900" customFormat="1">
      <c r="A91" s="1895"/>
      <c r="D91" s="1896"/>
      <c r="K91" s="737"/>
      <c r="L91" s="737"/>
    </row>
    <row r="92" spans="1:12" s="900" customFormat="1">
      <c r="A92" s="1895"/>
      <c r="D92" s="1896"/>
      <c r="K92" s="737"/>
      <c r="L92" s="737"/>
    </row>
    <row r="93" spans="1:12" s="900" customFormat="1">
      <c r="A93" s="1895"/>
      <c r="D93" s="1896"/>
      <c r="K93" s="737"/>
      <c r="L93" s="737"/>
    </row>
    <row r="94" spans="1:12" s="900" customFormat="1">
      <c r="A94" s="1895"/>
      <c r="D94" s="1896"/>
      <c r="K94" s="737"/>
      <c r="L94" s="737"/>
    </row>
    <row r="95" spans="1:12" s="900" customFormat="1">
      <c r="A95" s="1895"/>
      <c r="D95" s="1896"/>
      <c r="K95" s="737"/>
      <c r="L95" s="737"/>
    </row>
    <row r="96" spans="1:12" s="900" customFormat="1">
      <c r="A96" s="1895"/>
      <c r="D96" s="1896"/>
      <c r="K96" s="737"/>
      <c r="L96" s="737"/>
    </row>
    <row r="97" spans="1:12" s="900" customFormat="1">
      <c r="A97" s="1895"/>
      <c r="D97" s="1896"/>
      <c r="K97" s="737"/>
      <c r="L97" s="737"/>
    </row>
    <row r="98" spans="1:12" s="900" customFormat="1">
      <c r="A98" s="1895"/>
      <c r="D98" s="1896"/>
      <c r="K98" s="737"/>
      <c r="L98" s="737"/>
    </row>
    <row r="99" spans="1:12" s="900" customFormat="1">
      <c r="A99" s="1895"/>
      <c r="D99" s="1896"/>
      <c r="K99" s="737"/>
      <c r="L99" s="737"/>
    </row>
    <row r="100" spans="1:12" s="900" customFormat="1">
      <c r="A100" s="1895"/>
      <c r="D100" s="1896"/>
      <c r="K100" s="737"/>
      <c r="L100" s="737"/>
    </row>
    <row r="101" spans="1:12" s="900" customFormat="1">
      <c r="A101" s="1895"/>
      <c r="D101" s="1896"/>
      <c r="K101" s="737"/>
      <c r="L101" s="737"/>
    </row>
    <row r="102" spans="1:12" s="900" customFormat="1">
      <c r="A102" s="1895"/>
      <c r="D102" s="1896"/>
      <c r="K102" s="737"/>
      <c r="L102" s="737"/>
    </row>
    <row r="103" spans="1:12" s="900" customFormat="1">
      <c r="A103" s="1895"/>
      <c r="D103" s="1896"/>
      <c r="K103" s="737"/>
      <c r="L103" s="737"/>
    </row>
    <row r="104" spans="1:12" s="900" customFormat="1">
      <c r="A104" s="1895"/>
      <c r="D104" s="1896"/>
      <c r="K104" s="737"/>
      <c r="L104" s="737"/>
    </row>
    <row r="105" spans="1:12" s="900" customFormat="1">
      <c r="A105" s="1895"/>
      <c r="D105" s="1896"/>
      <c r="K105" s="737"/>
      <c r="L105" s="737"/>
    </row>
    <row r="106" spans="1:12" s="900" customFormat="1">
      <c r="A106" s="1895"/>
      <c r="D106" s="1896"/>
      <c r="K106" s="737"/>
      <c r="L106" s="737"/>
    </row>
    <row r="107" spans="1:12" s="900" customFormat="1">
      <c r="A107" s="1895"/>
      <c r="D107" s="1896"/>
      <c r="K107" s="737"/>
      <c r="L107" s="737"/>
    </row>
    <row r="108" spans="1:12" s="900" customFormat="1">
      <c r="A108" s="1895"/>
      <c r="D108" s="1896"/>
      <c r="K108" s="737"/>
      <c r="L108" s="737"/>
    </row>
    <row r="109" spans="1:12" s="900" customFormat="1">
      <c r="A109" s="1895"/>
      <c r="D109" s="1896"/>
      <c r="K109" s="737"/>
      <c r="L109" s="737"/>
    </row>
    <row r="110" spans="1:12" s="900" customFormat="1">
      <c r="A110" s="1895"/>
      <c r="D110" s="1896"/>
      <c r="K110" s="737"/>
      <c r="L110" s="737"/>
    </row>
    <row r="111" spans="1:12" s="900" customFormat="1">
      <c r="A111" s="1895"/>
      <c r="D111" s="1896"/>
      <c r="K111" s="737"/>
      <c r="L111" s="737"/>
    </row>
    <row r="112" spans="1:12" s="900" customFormat="1">
      <c r="A112" s="1895"/>
      <c r="D112" s="1896"/>
      <c r="K112" s="737"/>
      <c r="L112" s="737"/>
    </row>
    <row r="113" spans="1:12" s="900" customFormat="1">
      <c r="A113" s="1895"/>
      <c r="D113" s="1896"/>
      <c r="K113" s="737"/>
      <c r="L113" s="737"/>
    </row>
    <row r="114" spans="1:12" s="900" customFormat="1">
      <c r="A114" s="1895"/>
      <c r="D114" s="1896"/>
      <c r="K114" s="737"/>
      <c r="L114" s="737"/>
    </row>
    <row r="115" spans="1:12" s="900" customFormat="1">
      <c r="A115" s="1895"/>
      <c r="D115" s="1896"/>
      <c r="K115" s="737"/>
      <c r="L115" s="737"/>
    </row>
    <row r="116" spans="1:12" s="900" customFormat="1">
      <c r="A116" s="1895"/>
      <c r="D116" s="1896"/>
      <c r="K116" s="737"/>
      <c r="L116" s="737"/>
    </row>
    <row r="117" spans="1:12" s="900" customFormat="1">
      <c r="A117" s="1895"/>
      <c r="D117" s="1896"/>
      <c r="K117" s="737"/>
      <c r="L117" s="737"/>
    </row>
    <row r="118" spans="1:12" s="900" customFormat="1">
      <c r="A118" s="1895"/>
      <c r="D118" s="1896"/>
      <c r="K118" s="737"/>
      <c r="L118" s="737"/>
    </row>
    <row r="119" spans="1:12" s="900" customFormat="1">
      <c r="A119" s="1895"/>
      <c r="D119" s="1896"/>
      <c r="K119" s="737"/>
      <c r="L119" s="737"/>
    </row>
    <row r="120" spans="1:12" s="900" customFormat="1">
      <c r="A120" s="1895"/>
      <c r="D120" s="1896"/>
      <c r="K120" s="737"/>
      <c r="L120" s="737"/>
    </row>
    <row r="121" spans="1:12" s="900" customFormat="1">
      <c r="A121" s="1895"/>
      <c r="D121" s="1896"/>
      <c r="K121" s="737"/>
      <c r="L121" s="737"/>
    </row>
    <row r="122" spans="1:12" s="900" customFormat="1">
      <c r="A122" s="1895"/>
      <c r="D122" s="1896"/>
      <c r="K122" s="737"/>
      <c r="L122" s="737"/>
    </row>
    <row r="123" spans="1:12" s="900" customFormat="1">
      <c r="A123" s="1895"/>
      <c r="D123" s="1896"/>
      <c r="K123" s="737"/>
      <c r="L123" s="737"/>
    </row>
    <row r="124" spans="1:12" s="900" customFormat="1">
      <c r="A124" s="1895"/>
      <c r="D124" s="1896"/>
      <c r="K124" s="737"/>
      <c r="L124" s="737"/>
    </row>
    <row r="125" spans="1:12" s="900" customFormat="1">
      <c r="A125" s="1895"/>
      <c r="D125" s="1896"/>
      <c r="K125" s="737"/>
      <c r="L125" s="737"/>
    </row>
    <row r="126" spans="1:12" s="900" customFormat="1">
      <c r="A126" s="1895"/>
      <c r="D126" s="1896"/>
      <c r="K126" s="737"/>
      <c r="L126" s="737"/>
    </row>
    <row r="127" spans="1:12" s="900" customFormat="1">
      <c r="A127" s="1895"/>
      <c r="D127" s="1896"/>
      <c r="K127" s="737"/>
      <c r="L127" s="737"/>
    </row>
    <row r="128" spans="1:12" s="900" customFormat="1">
      <c r="A128" s="1895"/>
      <c r="D128" s="1896"/>
      <c r="K128" s="737"/>
      <c r="L128" s="737"/>
    </row>
    <row r="129" spans="1:12" s="900" customFormat="1">
      <c r="A129" s="1895"/>
      <c r="D129" s="1896"/>
      <c r="K129" s="737"/>
      <c r="L129" s="737"/>
    </row>
    <row r="130" spans="1:12" s="900" customFormat="1">
      <c r="A130" s="1895"/>
      <c r="D130" s="1896"/>
      <c r="K130" s="737"/>
      <c r="L130" s="737"/>
    </row>
    <row r="131" spans="1:12" s="900" customFormat="1">
      <c r="A131" s="1895"/>
      <c r="D131" s="1896"/>
      <c r="K131" s="737"/>
      <c r="L131" s="737"/>
    </row>
    <row r="132" spans="1:12" s="900" customFormat="1">
      <c r="A132" s="1895"/>
      <c r="D132" s="1896"/>
      <c r="K132" s="737"/>
      <c r="L132" s="737"/>
    </row>
    <row r="133" spans="1:12" s="900"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31" t="s">
        <v>2971</v>
      </c>
      <c r="B1" s="3332"/>
      <c r="C1" s="3332"/>
      <c r="D1" s="3332"/>
      <c r="E1" s="3332"/>
      <c r="F1" s="3332"/>
      <c r="G1" s="333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9" t="s">
        <v>2939</v>
      </c>
      <c r="C4" s="2662" t="s">
        <v>2940</v>
      </c>
      <c r="D4" s="2659"/>
      <c r="E4" s="2663"/>
      <c r="F4" s="1526" t="s">
        <v>2941</v>
      </c>
      <c r="G4" s="2664" t="s">
        <v>2942</v>
      </c>
      <c r="H4" s="906"/>
      <c r="I4" s="906"/>
      <c r="J4" s="906"/>
      <c r="K4" s="906"/>
      <c r="L4" s="906"/>
      <c r="M4" s="906"/>
      <c r="N4" s="906"/>
      <c r="O4" s="906"/>
      <c r="P4" s="906"/>
      <c r="Q4" s="906"/>
      <c r="R4" s="906"/>
    </row>
    <row r="5" spans="1:29" ht="36.75">
      <c r="A5" s="2636"/>
      <c r="B5" s="329" t="s">
        <v>2943</v>
      </c>
      <c r="C5" s="2662" t="s">
        <v>2944</v>
      </c>
      <c r="D5" s="2659"/>
      <c r="E5" s="2663"/>
      <c r="F5" s="329" t="s">
        <v>2945</v>
      </c>
      <c r="G5" s="2664" t="s">
        <v>2946</v>
      </c>
      <c r="H5" s="906"/>
      <c r="I5" s="906"/>
      <c r="J5" s="906"/>
      <c r="K5" s="906"/>
      <c r="L5" s="906"/>
      <c r="M5" s="906"/>
      <c r="N5" s="906"/>
      <c r="O5" s="906"/>
      <c r="P5" s="906"/>
      <c r="Q5" s="906"/>
      <c r="R5" s="906"/>
    </row>
    <row r="6" spans="1:29" ht="36">
      <c r="A6" s="2636"/>
      <c r="B6" s="329" t="s">
        <v>2947</v>
      </c>
      <c r="C6" s="2664" t="s">
        <v>2942</v>
      </c>
      <c r="D6" s="2659"/>
      <c r="E6" s="2663"/>
      <c r="F6" s="329" t="s">
        <v>2948</v>
      </c>
      <c r="G6" s="2664" t="s">
        <v>2949</v>
      </c>
      <c r="H6" s="906"/>
      <c r="I6" s="906"/>
      <c r="J6" s="906"/>
      <c r="K6" s="906"/>
      <c r="L6" s="906"/>
      <c r="M6" s="906"/>
      <c r="N6" s="906"/>
      <c r="O6" s="906"/>
      <c r="P6" s="906"/>
      <c r="Q6" s="906"/>
      <c r="R6" s="906"/>
    </row>
    <row r="7" spans="1:29" ht="24.75" thickBot="1">
      <c r="A7" s="2636"/>
      <c r="B7" s="329" t="s">
        <v>2945</v>
      </c>
      <c r="C7" s="2664" t="s">
        <v>2946</v>
      </c>
      <c r="D7" s="2665"/>
      <c r="E7" s="2666"/>
      <c r="F7" s="2667" t="s">
        <v>2950</v>
      </c>
      <c r="G7" s="2668" t="s">
        <v>2951</v>
      </c>
      <c r="H7" s="906"/>
      <c r="I7" s="906"/>
      <c r="J7" s="906"/>
      <c r="K7" s="906"/>
      <c r="L7" s="906"/>
      <c r="M7" s="906"/>
      <c r="N7" s="906"/>
      <c r="O7" s="906"/>
      <c r="P7" s="906"/>
      <c r="Q7" s="906"/>
      <c r="R7" s="906"/>
    </row>
    <row r="8" spans="1:29">
      <c r="A8" s="2636"/>
      <c r="B8" s="329" t="s">
        <v>2948</v>
      </c>
      <c r="C8" s="2664" t="s">
        <v>2949</v>
      </c>
      <c r="D8" s="2665"/>
      <c r="E8" s="2665"/>
      <c r="F8" s="2669"/>
      <c r="G8" s="2669"/>
      <c r="H8" s="906"/>
      <c r="I8" s="906"/>
      <c r="J8" s="906"/>
      <c r="K8" s="906"/>
      <c r="L8" s="906"/>
      <c r="M8" s="906"/>
      <c r="N8" s="906"/>
      <c r="O8" s="906"/>
      <c r="P8" s="906"/>
      <c r="Q8" s="906"/>
      <c r="R8" s="906"/>
    </row>
    <row r="9" spans="1:29" ht="24">
      <c r="A9" s="2636"/>
      <c r="B9" s="329"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27069.539999999997</v>
      </c>
      <c r="C1" s="2883"/>
      <c r="D1" s="2883"/>
      <c r="E1" s="2883"/>
      <c r="F1" s="2883"/>
      <c r="G1" s="2884"/>
      <c r="H1" s="2885"/>
      <c r="I1" s="2885"/>
      <c r="J1" s="2885"/>
      <c r="K1" s="2885"/>
    </row>
    <row r="2" spans="1:11" ht="16.5">
      <c r="A2" s="2706" t="s">
        <v>1259</v>
      </c>
      <c r="B2" s="2706">
        <f>SUM(C14:C23)</f>
        <v>7552.72</v>
      </c>
      <c r="C2" s="2883"/>
      <c r="D2" s="2883"/>
      <c r="E2" s="2883"/>
      <c r="F2" s="2883"/>
      <c r="G2" s="2884"/>
      <c r="H2" s="2885"/>
      <c r="I2" s="2885"/>
      <c r="J2" s="2885"/>
      <c r="K2" s="2885"/>
    </row>
    <row r="3" spans="1:11" ht="16.5">
      <c r="A3" s="2706" t="s">
        <v>1268</v>
      </c>
      <c r="B3" s="2708">
        <f>项目基本情况!D3</f>
        <v>44615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67365</v>
      </c>
      <c r="C5" s="2706">
        <f ca="1">ROUND(B5*10000/$B$1,0)</f>
        <v>24886</v>
      </c>
      <c r="D5" s="2706">
        <f ca="1">ROUND(B5*10000/$B$2,0)</f>
        <v>89193</v>
      </c>
      <c r="E5" s="2883"/>
      <c r="F5" s="2884"/>
      <c r="G5" s="2884"/>
      <c r="H5" s="2885"/>
      <c r="I5" s="2885"/>
      <c r="J5" s="2885"/>
      <c r="K5" s="2885"/>
    </row>
    <row r="6" spans="1:11" ht="16.5">
      <c r="A6" s="2706" t="s">
        <v>1262</v>
      </c>
      <c r="B6" s="2706">
        <f ca="1">SUM(G14:G23)</f>
        <v>67365</v>
      </c>
      <c r="C6" s="2706">
        <f ca="1">ROUND(B6*10000/$B$1,0)</f>
        <v>24886</v>
      </c>
      <c r="D6" s="2706">
        <f ca="1">ROUND(B6*10000/$B$2,0)</f>
        <v>89193</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27069.539999999997</v>
      </c>
      <c r="C14" s="2712">
        <f>结果表!C118</f>
        <v>7552.72</v>
      </c>
      <c r="D14" s="2712">
        <f ca="1">结果表!H118</f>
        <v>67365</v>
      </c>
      <c r="E14" s="2712">
        <f ca="1">ROUND(D14*10000/B14,0)</f>
        <v>24886</v>
      </c>
      <c r="F14" s="2712">
        <f ca="1">ROUND(D14*10000/C14,0)</f>
        <v>89193</v>
      </c>
      <c r="G14" s="2712">
        <f ca="1">结果表!D122</f>
        <v>67365</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4" zoomScale="90" zoomScaleNormal="100" zoomScaleSheetLayoutView="90" zoomScalePageLayoutView="80" workbookViewId="0">
      <selection activeCell="G26" sqref="G26"/>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1888</v>
      </c>
      <c r="B1" s="1901"/>
      <c r="C1" s="1902"/>
      <c r="D1" s="1901"/>
      <c r="E1" s="1901"/>
      <c r="F1" s="1903" t="s">
        <v>1889</v>
      </c>
      <c r="G1" s="1715"/>
      <c r="H1" s="1904" t="str">
        <f>IF(G1="现房","——","估价对象范围")</f>
        <v>估价对象范围</v>
      </c>
      <c r="I1" s="1905"/>
    </row>
    <row r="2" spans="1:12" ht="21.75" customHeight="1" thickBot="1">
      <c r="A2" s="3367" t="str">
        <f>项目基本情况!S2</f>
        <v>北京市房地产</v>
      </c>
      <c r="B2" s="3368"/>
      <c r="C2" s="3368"/>
      <c r="D2" s="3368"/>
      <c r="E2" s="3368"/>
      <c r="F2" s="3368"/>
      <c r="G2" s="3368"/>
      <c r="H2" s="3368"/>
      <c r="I2" s="3369"/>
    </row>
    <row r="3" spans="1:12" ht="12.75">
      <c r="A3" s="3371" t="s">
        <v>1890</v>
      </c>
      <c r="B3" s="3372"/>
      <c r="C3" s="3372"/>
      <c r="D3" s="3372"/>
      <c r="E3" s="3372"/>
      <c r="F3" s="3372"/>
      <c r="G3" s="3372"/>
      <c r="H3" s="3372"/>
      <c r="I3" s="3372"/>
    </row>
    <row r="4" spans="1:12" ht="14.25">
      <c r="A4" s="1908" t="s">
        <v>1891</v>
      </c>
      <c r="B4" s="1909" t="s">
        <v>1892</v>
      </c>
      <c r="C4" s="1910" t="s">
        <v>3189</v>
      </c>
      <c r="D4" s="1910" t="s">
        <v>3205</v>
      </c>
      <c r="E4" s="3373" t="s">
        <v>1893</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1894</v>
      </c>
      <c r="B5" s="3334">
        <v>25</v>
      </c>
      <c r="C5" s="3350"/>
      <c r="D5" s="3370"/>
      <c r="E5" s="136" t="s">
        <v>1895</v>
      </c>
      <c r="F5" s="1911"/>
      <c r="G5" s="1911"/>
      <c r="H5" s="1911"/>
      <c r="I5" s="1526"/>
    </row>
    <row r="6" spans="1:12" ht="12.75">
      <c r="A6" s="3347"/>
      <c r="B6" s="3334"/>
      <c r="C6" s="3351"/>
      <c r="D6" s="3370"/>
      <c r="E6" s="136" t="s">
        <v>1896</v>
      </c>
      <c r="F6" s="1911"/>
      <c r="G6" s="1911"/>
      <c r="H6" s="1911"/>
      <c r="I6" s="1526"/>
    </row>
    <row r="7" spans="1:12" ht="12.75">
      <c r="A7" s="3347"/>
      <c r="B7" s="3334"/>
      <c r="C7" s="3352"/>
      <c r="D7" s="3370"/>
      <c r="E7" s="136" t="s">
        <v>1897</v>
      </c>
      <c r="F7" s="1911"/>
      <c r="G7" s="1911"/>
      <c r="H7" s="1911"/>
      <c r="I7" s="1526"/>
    </row>
    <row r="8" spans="1:12" ht="12.75">
      <c r="A8" s="3347" t="s">
        <v>1898</v>
      </c>
      <c r="B8" s="3334">
        <v>15</v>
      </c>
      <c r="C8" s="3350"/>
      <c r="D8" s="3370"/>
      <c r="E8" s="136" t="s">
        <v>1899</v>
      </c>
      <c r="F8" s="1911"/>
      <c r="G8" s="1911"/>
      <c r="H8" s="1911"/>
      <c r="I8" s="1526"/>
    </row>
    <row r="9" spans="1:12" ht="12.75">
      <c r="A9" s="3347"/>
      <c r="B9" s="3334"/>
      <c r="C9" s="3352"/>
      <c r="D9" s="3370"/>
      <c r="E9" s="136" t="s">
        <v>1900</v>
      </c>
      <c r="F9" s="1911"/>
      <c r="G9" s="1911"/>
      <c r="H9" s="1911"/>
      <c r="I9" s="1526"/>
    </row>
    <row r="10" spans="1:12" ht="12.75">
      <c r="A10" s="3347" t="s">
        <v>1901</v>
      </c>
      <c r="B10" s="3334">
        <v>15</v>
      </c>
      <c r="C10" s="3350"/>
      <c r="D10" s="3370"/>
      <c r="E10" s="136" t="s">
        <v>1902</v>
      </c>
      <c r="F10" s="1911"/>
      <c r="G10" s="1911"/>
      <c r="H10" s="1911"/>
      <c r="I10" s="1526"/>
    </row>
    <row r="11" spans="1:12" ht="12.75">
      <c r="A11" s="3347"/>
      <c r="B11" s="3334"/>
      <c r="C11" s="3352"/>
      <c r="D11" s="3370"/>
      <c r="E11" s="136" t="s">
        <v>1903</v>
      </c>
      <c r="F11" s="1911"/>
      <c r="G11" s="1911"/>
      <c r="H11" s="1911"/>
      <c r="I11" s="1526"/>
    </row>
    <row r="12" spans="1:12" ht="12.75">
      <c r="A12" s="3347" t="s">
        <v>1904</v>
      </c>
      <c r="B12" s="3334">
        <v>15</v>
      </c>
      <c r="C12" s="3350"/>
      <c r="D12" s="3370"/>
      <c r="E12" s="136" t="s">
        <v>1905</v>
      </c>
      <c r="F12" s="1911"/>
      <c r="G12" s="1911"/>
      <c r="H12" s="1911"/>
      <c r="I12" s="1526"/>
    </row>
    <row r="13" spans="1:12" ht="12.75">
      <c r="A13" s="3347"/>
      <c r="B13" s="3334"/>
      <c r="C13" s="3352"/>
      <c r="D13" s="3370"/>
      <c r="E13" s="136" t="s">
        <v>1906</v>
      </c>
      <c r="F13" s="1911"/>
      <c r="G13" s="1911"/>
      <c r="H13" s="1911"/>
      <c r="I13" s="1526"/>
    </row>
    <row r="14" spans="1:12" ht="12.75">
      <c r="A14" s="3347" t="s">
        <v>1907</v>
      </c>
      <c r="B14" s="3334">
        <v>30</v>
      </c>
      <c r="C14" s="3350">
        <v>5</v>
      </c>
      <c r="D14" s="3370">
        <v>5</v>
      </c>
      <c r="E14" s="136" t="s">
        <v>1908</v>
      </c>
      <c r="F14" s="1911"/>
      <c r="G14" s="1911"/>
      <c r="H14" s="1911"/>
      <c r="I14" s="1526"/>
    </row>
    <row r="15" spans="1:12" ht="12.75">
      <c r="A15" s="3347"/>
      <c r="B15" s="3334"/>
      <c r="C15" s="3351"/>
      <c r="D15" s="3370"/>
      <c r="E15" s="136" t="s">
        <v>1909</v>
      </c>
      <c r="F15" s="1911"/>
      <c r="G15" s="1911"/>
      <c r="H15" s="1911"/>
      <c r="I15" s="1526"/>
    </row>
    <row r="16" spans="1:12" ht="12.75">
      <c r="A16" s="3347"/>
      <c r="B16" s="3334"/>
      <c r="C16" s="3352"/>
      <c r="D16" s="3370"/>
      <c r="E16" s="136" t="s">
        <v>1910</v>
      </c>
      <c r="F16" s="1911"/>
      <c r="G16" s="1911"/>
      <c r="H16" s="1911"/>
      <c r="I16" s="1526"/>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357" t="s">
        <v>2812</v>
      </c>
      <c r="F18" s="3358"/>
      <c r="G18" s="3358"/>
      <c r="H18" s="3358"/>
      <c r="I18" s="3358"/>
      <c r="K18" s="308" t="s">
        <v>1915</v>
      </c>
      <c r="L18" s="308">
        <f>IF(C1="",'数据-汇总表'!E3,SUMIF(项目类型,C1,'数据-汇总表'!E17:E26)+SUMIF(项目类型,C1,'数据-汇总表'!I17:I26))</f>
        <v>27069.539999999997</v>
      </c>
      <c r="M18" s="308">
        <f>IF(C1="",'数据-汇总表'!E3,SUMIF(项目类型,C1,'数据-汇总表'!E17:E26))</f>
        <v>27069.539999999997</v>
      </c>
    </row>
    <row r="19" spans="1:36" ht="15">
      <c r="A19" s="1915" t="s">
        <v>1916</v>
      </c>
      <c r="B19" s="1916" t="s">
        <v>1917</v>
      </c>
      <c r="C19" s="139">
        <f ca="1">SUMIF(INDIRECT("'"&amp;C4&amp;"'"&amp;"!A:A"),结果表!B19,INDIRECT("'"&amp;C4&amp;"'"&amp;"!B:B"))</f>
        <v>60963</v>
      </c>
      <c r="D19" s="140">
        <f ca="1">SUMIF(INDIRECT("'"&amp;D4&amp;"'"&amp;"!A:A"),结果表!B19,INDIRECT("'"&amp;D4&amp;"'"&amp;"!B:B"))</f>
        <v>73766</v>
      </c>
      <c r="E19" s="1915" t="s">
        <v>1918</v>
      </c>
      <c r="F19" s="1916" t="s">
        <v>1917</v>
      </c>
      <c r="G19" s="141">
        <f ca="1">ROUND(C19*$C$18+D19*$D$18,0)</f>
        <v>67365</v>
      </c>
      <c r="H19" s="1917" t="s">
        <v>1919</v>
      </c>
      <c r="I19" s="134"/>
      <c r="K19" s="308" t="s">
        <v>1920</v>
      </c>
      <c r="L19" s="308">
        <f>IF(C1="",'数据-汇总表'!D3,SUMIF(项目类型,C1,'数据-汇总表'!D17:D26)+SUMIF(项目类型,C1,'数据-汇总表'!H17:H27))</f>
        <v>7552.72</v>
      </c>
      <c r="M19" s="308">
        <f>IF(C1="",'数据-汇总表'!D3,SUMIF(项目类型,C1,'数据-汇总表'!D17:D26))</f>
        <v>7552.72</v>
      </c>
    </row>
    <row r="20" spans="1:36" ht="15">
      <c r="A20" s="1918"/>
      <c r="B20" s="1156" t="s">
        <v>1921</v>
      </c>
      <c r="C20" s="142">
        <f ca="1">SUMIF(INDIRECT("'"&amp;C4&amp;"'"&amp;"!A:A"),结果表!B20,INDIRECT("'"&amp;C4&amp;"'"&amp;"!B:B"))</f>
        <v>22521</v>
      </c>
      <c r="D20" s="143">
        <f ca="1">SUMIF(INDIRECT("'"&amp;D4&amp;"'"&amp;"!A:A"),结果表!B20,INDIRECT("'"&amp;D4&amp;"'"&amp;"!B:B"))</f>
        <v>27251</v>
      </c>
      <c r="E20" s="1918"/>
      <c r="F20" s="1156" t="s">
        <v>1921</v>
      </c>
      <c r="G20" s="144">
        <f ca="1">ROUND(C20*$C$18+D20*$D$18,0)</f>
        <v>24886</v>
      </c>
      <c r="H20" s="916" t="s">
        <v>1922</v>
      </c>
      <c r="I20" s="134"/>
    </row>
    <row r="21" spans="1:36" ht="15" customHeight="1" thickBot="1">
      <c r="A21" s="936"/>
      <c r="B21" s="1919" t="s">
        <v>1923</v>
      </c>
      <c r="C21" s="728">
        <f ca="1">ROUND(C19*10000/L19,0)</f>
        <v>80717</v>
      </c>
      <c r="D21" s="729">
        <f ca="1">ROUND(D19*10000/L19,0)</f>
        <v>97668</v>
      </c>
      <c r="E21" s="936"/>
      <c r="F21" s="1919" t="s">
        <v>1923</v>
      </c>
      <c r="G21" s="145">
        <f ca="1">ROUND(G19*10000/L19,0)</f>
        <v>89193</v>
      </c>
      <c r="H21" s="1920" t="s">
        <v>1922</v>
      </c>
      <c r="I21" s="134"/>
    </row>
    <row r="22" spans="1:36" ht="15" thickBot="1">
      <c r="A22" s="1842" t="s">
        <v>1924</v>
      </c>
      <c r="B22" s="1921"/>
      <c r="C22" s="1922"/>
      <c r="D22" s="730">
        <f ca="1">IF(C19&lt;D19,D19/C19-1,C19/D19-1)</f>
        <v>0.21001263061201048</v>
      </c>
      <c r="E22" s="134"/>
      <c r="F22" s="134"/>
      <c r="G22" s="134"/>
      <c r="H22" s="134"/>
      <c r="I22" s="134"/>
    </row>
    <row r="23" spans="1:36" ht="13.5" thickBot="1">
      <c r="A23" s="1901"/>
      <c r="B23" s="1901"/>
      <c r="C23" s="1901"/>
      <c r="D23" s="1901"/>
      <c r="E23" s="134"/>
      <c r="F23" s="134"/>
      <c r="G23" s="134"/>
      <c r="H23" s="134"/>
      <c r="I23" s="134"/>
    </row>
    <row r="24" spans="1:36" ht="14.25">
      <c r="A24" s="3341" t="s">
        <v>1925</v>
      </c>
      <c r="B24" s="1916" t="s">
        <v>1917</v>
      </c>
      <c r="C24" s="141">
        <f>IF(B30=0,0,D30)</f>
        <v>0</v>
      </c>
      <c r="D24" s="1923"/>
      <c r="E24" s="134"/>
      <c r="F24" s="134"/>
      <c r="G24" s="134"/>
      <c r="H24" s="134"/>
      <c r="I24" s="134"/>
    </row>
    <row r="25" spans="1:36" ht="14.25">
      <c r="A25" s="3342"/>
      <c r="B25" s="1156"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67365</v>
      </c>
      <c r="D32" s="1929" t="s">
        <v>3190</v>
      </c>
      <c r="E32" s="134"/>
      <c r="F32" s="134"/>
      <c r="G32" s="134"/>
      <c r="H32" s="134"/>
      <c r="I32" s="134"/>
    </row>
    <row r="33" spans="1:15" ht="15">
      <c r="A33" s="893" t="s">
        <v>1932</v>
      </c>
      <c r="B33" s="1930"/>
      <c r="C33" s="1931" t="s">
        <v>3191</v>
      </c>
      <c r="D33" s="1932" t="s">
        <v>3189</v>
      </c>
      <c r="E33" s="1933" t="s">
        <v>1933</v>
      </c>
      <c r="F33" s="1934" t="str">
        <f>IF(D32="楼面单价","取值（单价）","取值（总价）")</f>
        <v>取值（总价）</v>
      </c>
      <c r="G33" s="134"/>
      <c r="H33" s="134"/>
      <c r="I33" s="134"/>
    </row>
    <row r="34" spans="1:15" ht="15">
      <c r="A34" s="1935"/>
      <c r="B34" s="1936" t="s">
        <v>1934</v>
      </c>
      <c r="C34" s="153">
        <f ca="1">IF(C33="自定义",F34,C32-C35)</f>
        <v>51130</v>
      </c>
      <c r="D34" s="969">
        <f ca="1">IF(C33="自定义",ROUND(C34/C32,3),IF(C33="收益比率",SUMIF(INDIRECT("'"&amp;D33&amp;"'"&amp;"!b:b"),"土地收益比率",INDIRECT("'"&amp;D33&amp;"'"&amp;"!c:c")),SUMIF(INDIRECT("'"&amp;D33&amp;"'"&amp;"!b:b"),"土地成本比率",INDIRECT("'"&amp;D33&amp;"'"&amp;"!c:c"))))</f>
        <v>0.75900000000000001</v>
      </c>
      <c r="E34" s="1937" t="s">
        <v>1935</v>
      </c>
      <c r="F34" s="1469"/>
      <c r="G34" s="134"/>
      <c r="H34" s="134"/>
      <c r="I34" s="134"/>
    </row>
    <row r="35" spans="1:15" ht="15.75" thickBot="1">
      <c r="A35" s="1938"/>
      <c r="B35" s="1939" t="s">
        <v>1936</v>
      </c>
      <c r="C35" s="1303">
        <f ca="1">IF(C33="自定义",F35,ROUND(C32*D35,0))</f>
        <v>16235</v>
      </c>
      <c r="D35" s="1304">
        <f ca="1">IF(C33="自定义",ROUND(C35/C32,3),IF(C33="收益比率",SUMIF(INDIRECT("'"&amp;D33&amp;"'"&amp;"!b:b"),"建筑物收益比率",INDIRECT("'"&amp;D33&amp;"'"&amp;"!c:c")),SUMIF(INDIRECT("'"&amp;D33&amp;"'"&amp;"!b:b"),"建筑物成本比率",INDIRECT("'"&amp;D33&amp;"'"&amp;"!c:c"))))</f>
        <v>0.24099999999999999</v>
      </c>
      <c r="E35" s="1940" t="s">
        <v>1937</v>
      </c>
      <c r="F35" s="159"/>
      <c r="G35" s="134"/>
      <c r="H35" s="134"/>
      <c r="I35" s="134"/>
    </row>
    <row r="36" spans="1:15" ht="15.75" thickBot="1">
      <c r="A36" s="3361" t="s">
        <v>1938</v>
      </c>
      <c r="B36" s="1941" t="s">
        <v>1939</v>
      </c>
      <c r="C36" s="150"/>
      <c r="D36" s="1942"/>
      <c r="E36" s="1943"/>
      <c r="F36" s="1944"/>
      <c r="G36" s="134"/>
      <c r="H36" s="134"/>
      <c r="I36" s="134"/>
    </row>
    <row r="37" spans="1:15" ht="15.75" thickBot="1">
      <c r="A37" s="3362"/>
      <c r="B37" s="1828" t="s">
        <v>1940</v>
      </c>
      <c r="C37" s="152"/>
      <c r="D37" s="1272"/>
      <c r="E37" s="1272"/>
      <c r="F37" s="1944"/>
      <c r="G37" s="134"/>
      <c r="H37" s="134"/>
      <c r="I37" s="134"/>
    </row>
    <row r="38" spans="1:15" ht="15.75" thickBot="1">
      <c r="A38" s="3363"/>
      <c r="B38" s="1945" t="s">
        <v>1941</v>
      </c>
      <c r="C38" s="683"/>
      <c r="D38" s="1946" t="s">
        <v>1942</v>
      </c>
      <c r="E38" s="1272"/>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38" t="s">
        <v>1952</v>
      </c>
      <c r="B45" s="3339"/>
      <c r="C45" s="3340"/>
      <c r="D45" s="160">
        <f ca="1">ROUND(H101*F45,0)</f>
        <v>67365</v>
      </c>
      <c r="E45" s="161" t="s">
        <v>1953</v>
      </c>
      <c r="F45" s="162">
        <v>1</v>
      </c>
      <c r="G45" s="163" t="s">
        <v>1954</v>
      </c>
      <c r="H45" s="134"/>
      <c r="I45" s="134"/>
      <c r="J45" s="3419" t="s">
        <v>1955</v>
      </c>
      <c r="K45" s="3419"/>
      <c r="L45" s="3419"/>
      <c r="M45" s="3419"/>
      <c r="N45" s="3419"/>
      <c r="O45" s="3419"/>
    </row>
    <row r="46" spans="1:15" ht="14.25" customHeight="1">
      <c r="A46" s="3335" t="s">
        <v>1956</v>
      </c>
      <c r="B46" s="3336"/>
      <c r="C46" s="3336"/>
      <c r="D46" s="3336"/>
      <c r="E46" s="3336"/>
      <c r="F46" s="3336"/>
      <c r="G46" s="3337"/>
      <c r="H46" s="1960"/>
      <c r="I46" s="164"/>
      <c r="J46" s="2717">
        <v>1</v>
      </c>
      <c r="K46" s="3400" t="s">
        <v>1957</v>
      </c>
      <c r="L46" s="3400"/>
      <c r="M46" s="3420"/>
      <c r="N46" s="3420"/>
      <c r="O46" s="3420"/>
    </row>
    <row r="47" spans="1:15" ht="12" customHeight="1">
      <c r="A47" s="165" t="s">
        <v>1958</v>
      </c>
      <c r="B47" s="166"/>
      <c r="C47" s="167"/>
      <c r="D47" s="1218" t="s">
        <v>1959</v>
      </c>
      <c r="E47" s="308" t="s">
        <v>1960</v>
      </c>
      <c r="F47" s="168" t="s">
        <v>1961</v>
      </c>
      <c r="G47" s="2740" t="s">
        <v>1962</v>
      </c>
      <c r="H47" s="2741"/>
      <c r="I47" s="164"/>
      <c r="J47" s="2717">
        <v>2</v>
      </c>
      <c r="K47" s="3400" t="s">
        <v>1963</v>
      </c>
      <c r="L47" s="3400"/>
      <c r="M47" s="3421">
        <f>'数据-取费表'!B2</f>
        <v>44615</v>
      </c>
      <c r="N47" s="3421"/>
      <c r="O47" s="3421"/>
    </row>
    <row r="48" spans="1:15" ht="25.5">
      <c r="A48" s="3366" t="s">
        <v>1964</v>
      </c>
      <c r="B48" s="3349"/>
      <c r="C48" s="3349"/>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400" t="s">
        <v>1966</v>
      </c>
      <c r="L48" s="3400"/>
      <c r="M48" s="3422">
        <f ca="1">H101</f>
        <v>67365</v>
      </c>
      <c r="N48" s="3422"/>
      <c r="O48" s="3422"/>
    </row>
    <row r="49" spans="1:35" ht="25.5" customHeight="1">
      <c r="A49" s="2524" t="s">
        <v>1967</v>
      </c>
      <c r="B49" s="3333" t="s">
        <v>1968</v>
      </c>
      <c r="C49" s="3333"/>
      <c r="D49" s="1744">
        <v>0</v>
      </c>
      <c r="E49" s="330" t="s">
        <v>1969</v>
      </c>
      <c r="F49" s="2618" t="s">
        <v>34</v>
      </c>
      <c r="G49" s="3406"/>
      <c r="H49" s="2496" t="s">
        <v>2815</v>
      </c>
      <c r="I49" s="2497"/>
      <c r="J49" s="2717">
        <v>4</v>
      </c>
      <c r="K49" s="3400" t="str">
        <f>IF(项目基本情况!E8="房地产抵押价值","房地产抵押价值","抵押担保权已注销时的房地产抵押价值")</f>
        <v>房地产抵押价值</v>
      </c>
      <c r="L49" s="3400"/>
      <c r="M49" s="3422">
        <f ca="1">IF(项目基本情况!E8="房地产抵押价值",H107,H109)</f>
        <v>67365</v>
      </c>
      <c r="N49" s="3422"/>
      <c r="O49" s="3422"/>
    </row>
    <row r="50" spans="1:35" ht="25.5" customHeight="1">
      <c r="A50" s="2745"/>
      <c r="B50" s="3333" t="s">
        <v>1970</v>
      </c>
      <c r="C50" s="3333"/>
      <c r="D50" s="2746"/>
      <c r="E50" s="338"/>
      <c r="F50" s="2618"/>
      <c r="G50" s="3407"/>
      <c r="H50" s="2498" t="s">
        <v>2816</v>
      </c>
      <c r="I50" s="2497"/>
      <c r="J50" s="3419" t="s">
        <v>1971</v>
      </c>
      <c r="K50" s="3419"/>
      <c r="L50" s="3419"/>
      <c r="M50" s="3419"/>
      <c r="N50" s="3419"/>
      <c r="O50" s="3419"/>
    </row>
    <row r="51" spans="1:35" ht="20.45" customHeight="1">
      <c r="A51" s="2747"/>
      <c r="B51" s="3333" t="s">
        <v>1972</v>
      </c>
      <c r="C51" s="3333"/>
      <c r="D51" s="1218"/>
      <c r="E51" s="333"/>
      <c r="F51" s="2618"/>
      <c r="G51" s="3408"/>
      <c r="H51" s="2498" t="s">
        <v>2817</v>
      </c>
      <c r="I51" s="2497"/>
      <c r="J51" s="2718" t="s">
        <v>1973</v>
      </c>
      <c r="K51" s="3400" t="s">
        <v>1974</v>
      </c>
      <c r="L51" s="3400"/>
      <c r="M51" s="2718" t="s">
        <v>1975</v>
      </c>
      <c r="N51" s="2718" t="s">
        <v>1976</v>
      </c>
      <c r="O51" s="2718" t="s">
        <v>1977</v>
      </c>
    </row>
    <row r="52" spans="1:35" ht="24" customHeight="1">
      <c r="A52" s="2526" t="s">
        <v>1978</v>
      </c>
      <c r="B52" s="3333" t="s">
        <v>1979</v>
      </c>
      <c r="C52" s="3333"/>
      <c r="D52" s="1218">
        <f ca="1">ROUND(D45*'数据-取费表'!B41/(1+'数据-取费表'!C42),0)</f>
        <v>3529</v>
      </c>
      <c r="E52" s="2525" t="s">
        <v>1980</v>
      </c>
      <c r="F52" s="2748">
        <f>'数据-取费表'!B41</f>
        <v>5.5000000000000007E-2</v>
      </c>
      <c r="G52" s="2749"/>
      <c r="H52" s="2738"/>
      <c r="I52" s="1961"/>
      <c r="J52" s="2717">
        <v>1</v>
      </c>
      <c r="K52" s="3401" t="s">
        <v>1981</v>
      </c>
      <c r="L52" s="3401"/>
      <c r="M52" s="2719" t="b">
        <f>D48</f>
        <v>0</v>
      </c>
      <c r="N52" s="2717" t="str">
        <f>E48</f>
        <v>销售额×税（费）率</v>
      </c>
      <c r="O52" s="2720">
        <f>F48</f>
        <v>5.5000000000000007E-2</v>
      </c>
    </row>
    <row r="53" spans="1:35" ht="12" customHeight="1">
      <c r="A53" s="2526" t="s">
        <v>1982</v>
      </c>
      <c r="B53" s="3359" t="s">
        <v>2976</v>
      </c>
      <c r="C53" s="3360"/>
      <c r="D53" s="1218">
        <f ca="1">ROUND(D45*'数据-取费表'!B41/(1+'数据-取费表'!C42),0)</f>
        <v>3529</v>
      </c>
      <c r="E53" s="2525" t="s">
        <v>1980</v>
      </c>
      <c r="F53" s="2748">
        <f>'数据-取费表'!B41</f>
        <v>5.5000000000000007E-2</v>
      </c>
      <c r="G53" s="2749"/>
      <c r="H53" s="2738"/>
      <c r="I53" s="1961"/>
      <c r="J53" s="2717">
        <v>2</v>
      </c>
      <c r="K53" s="3401" t="s">
        <v>1983</v>
      </c>
      <c r="L53" s="3401"/>
      <c r="M53" s="2719">
        <f t="shared" ref="M53:O54" ca="1" si="0">D55</f>
        <v>34</v>
      </c>
      <c r="N53" s="2717" t="str">
        <f t="shared" si="0"/>
        <v>销售额×税（费）率</v>
      </c>
      <c r="O53" s="2720" t="str">
        <f t="shared" si="0"/>
        <v>免征</v>
      </c>
    </row>
    <row r="54" spans="1:35" ht="12" customHeight="1">
      <c r="A54" s="2526" t="s">
        <v>1984</v>
      </c>
      <c r="B54" s="3359" t="s">
        <v>2977</v>
      </c>
      <c r="C54" s="3360"/>
      <c r="D54" s="1218">
        <f ca="1">C68</f>
        <v>3529</v>
      </c>
      <c r="E54" s="333" t="s">
        <v>1985</v>
      </c>
      <c r="F54" s="2748">
        <f>'数据-取费表'!B41</f>
        <v>5.5000000000000007E-2</v>
      </c>
      <c r="G54" s="2749"/>
      <c r="H54" s="2750"/>
      <c r="I54" s="1961"/>
      <c r="J54" s="2717">
        <v>3</v>
      </c>
      <c r="K54" s="3401" t="s">
        <v>1986</v>
      </c>
      <c r="L54" s="3401"/>
      <c r="M54" s="2719">
        <f t="shared" ca="1" si="0"/>
        <v>38189</v>
      </c>
      <c r="N54" s="2717" t="str">
        <f t="shared" si="0"/>
        <v>增值额×税（费）率</v>
      </c>
      <c r="O54" s="2721" t="str">
        <f t="shared" si="0"/>
        <v>免征</v>
      </c>
    </row>
    <row r="55" spans="1:35" ht="24" customHeight="1">
      <c r="A55" s="3348" t="s">
        <v>1987</v>
      </c>
      <c r="B55" s="3349"/>
      <c r="C55" s="3349"/>
      <c r="D55" s="2515">
        <f ca="1">IF(H55="个人住宅",0,ROUND(D45*I55,0))</f>
        <v>34</v>
      </c>
      <c r="E55" s="2525" t="s">
        <v>1988</v>
      </c>
      <c r="F55" s="2748" t="str">
        <f>IF(H55="正常",I55,"免征")</f>
        <v>免征</v>
      </c>
      <c r="G55" s="2749"/>
      <c r="H55" s="2744"/>
      <c r="I55" s="170">
        <f>'数据-取费表'!B49</f>
        <v>5.0000000000000001E-4</v>
      </c>
      <c r="J55" s="2717">
        <f>IF(H59="非个人房产","",4)</f>
        <v>4</v>
      </c>
      <c r="K55" s="3401" t="str">
        <f>IF(H59="非个人房产","——","个人所得税")</f>
        <v>个人所得税</v>
      </c>
      <c r="L55" s="3401"/>
      <c r="M55" s="2722">
        <f ca="1">D59</f>
        <v>642</v>
      </c>
      <c r="N55" s="2196" t="str">
        <f>E59</f>
        <v>差额计税</v>
      </c>
      <c r="O55" s="2723">
        <f>F59</f>
        <v>0.01</v>
      </c>
    </row>
    <row r="56" spans="1:35" ht="24.75">
      <c r="A56" s="3348" t="s">
        <v>1989</v>
      </c>
      <c r="B56" s="3349"/>
      <c r="C56" s="3349"/>
      <c r="D56" s="2515">
        <f ca="1">IF(H56="个人住宅",D57,D58)</f>
        <v>38189</v>
      </c>
      <c r="E56" s="2525" t="s">
        <v>1990</v>
      </c>
      <c r="F56" s="2748" t="str">
        <f>IF(H56="正常",F58,"免征")</f>
        <v>免征</v>
      </c>
      <c r="G56" s="2751" t="s">
        <v>1991</v>
      </c>
      <c r="H56" s="2752"/>
      <c r="I56" s="1962"/>
      <c r="J56" s="2717" t="str">
        <f>IF(项目基本情况!K6="上海银行",IF(J55="",4,J55+1),"")</f>
        <v/>
      </c>
      <c r="K56" s="3424" t="str">
        <f>IF(项目基本情况!K6="上海银行","其他处置费用","")</f>
        <v/>
      </c>
      <c r="L56" s="3425"/>
      <c r="M56" s="2719" t="str">
        <f>IF(项目基本情况!K6="上海银行",M69,"")</f>
        <v/>
      </c>
      <c r="N56" s="3424" t="str">
        <f>IF(项目基本情况!K6="上海银行","包含处置中涉及的律师、诉讼、拍卖、评估等费用","")</f>
        <v/>
      </c>
      <c r="O56" s="3427"/>
    </row>
    <row r="57" spans="1:35" ht="12.75">
      <c r="A57" s="2526" t="s">
        <v>1967</v>
      </c>
      <c r="B57" s="3359" t="s">
        <v>1992</v>
      </c>
      <c r="C57" s="3360"/>
      <c r="D57" s="1744">
        <v>0</v>
      </c>
      <c r="E57" s="330" t="s">
        <v>1969</v>
      </c>
      <c r="F57" s="308"/>
      <c r="G57" s="2749"/>
      <c r="H57" s="2753"/>
      <c r="I57" s="1962"/>
      <c r="J57" s="3401">
        <f>IF(AND(J55="",J56=""),4,IF(项目基本情况!K6="上海银行",结果表!J56+1,结果表!J55+1))</f>
        <v>5</v>
      </c>
      <c r="K57" s="3401" t="s">
        <v>1993</v>
      </c>
      <c r="L57" s="2724" t="s">
        <v>1994</v>
      </c>
      <c r="M57" s="2725"/>
      <c r="N57" s="2726">
        <f ca="1">SUMIF(M52:M56,"&lt;9e307")</f>
        <v>38865</v>
      </c>
      <c r="O57" s="2727"/>
      <c r="P57" s="2887">
        <f ca="1">N57/M49</f>
        <v>0.57693164105989758</v>
      </c>
    </row>
    <row r="58" spans="1:35" ht="24.75">
      <c r="A58" s="2526" t="s">
        <v>1978</v>
      </c>
      <c r="B58" s="3359" t="s">
        <v>1995</v>
      </c>
      <c r="C58" s="3333"/>
      <c r="D58" s="2515">
        <f ca="1">IF(H58="转让取得",C81,C97)</f>
        <v>38189</v>
      </c>
      <c r="E58" s="2525" t="s">
        <v>1990</v>
      </c>
      <c r="F58" s="308" t="s">
        <v>34</v>
      </c>
      <c r="G58" s="2749"/>
      <c r="H58" s="2752"/>
      <c r="I58" s="1962"/>
      <c r="J58" s="3401"/>
      <c r="K58" s="3401"/>
      <c r="L58" s="2724" t="s">
        <v>1996</v>
      </c>
      <c r="M58" s="2728"/>
      <c r="N58" s="2729" t="str">
        <f ca="1">NUMBERSTRING(INT(N57*10000),2)&amp;"元整"</f>
        <v>叁亿捌仟捌佰陆拾伍万元整</v>
      </c>
      <c r="O58" s="2730"/>
    </row>
    <row r="59" spans="1:35" ht="24.75" thickBot="1">
      <c r="A59" s="3404" t="s">
        <v>1997</v>
      </c>
      <c r="B59" s="3405"/>
      <c r="C59" s="3405"/>
      <c r="D59" s="2754">
        <f ca="1">IF(H59="非个人房产","——",IF(H59="个人住宅（满五唯一有凭证）",0,IF(H59="个人其他（无凭证）",ROUND(D45*F59,0),ROUND(C67*F59,0))))</f>
        <v>642</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02">
        <f>J57+1</f>
        <v>6</v>
      </c>
      <c r="K59" s="3401" t="s">
        <v>1998</v>
      </c>
      <c r="L59" s="2717" t="s">
        <v>1994</v>
      </c>
      <c r="M59" s="2731"/>
      <c r="N59" s="2732">
        <f ca="1">M49-N57</f>
        <v>28500</v>
      </c>
      <c r="O59" s="2733"/>
    </row>
    <row r="60" spans="1:35" ht="12" customHeight="1">
      <c r="A60" s="1963"/>
      <c r="B60" s="1901"/>
      <c r="C60" s="1901"/>
      <c r="D60" s="1901"/>
      <c r="E60" s="1732"/>
      <c r="F60" s="1962"/>
      <c r="G60" s="1962"/>
      <c r="H60" s="1964"/>
      <c r="I60" s="134"/>
      <c r="J60" s="3403"/>
      <c r="K60" s="3401"/>
      <c r="L60" s="2724" t="s">
        <v>1996</v>
      </c>
      <c r="M60" s="2728"/>
      <c r="N60" s="2729" t="str">
        <f ca="1">NUMBERSTRING(INT(N59*10000),2)&amp;"元整"</f>
        <v>贰亿捌仟伍佰万元整</v>
      </c>
      <c r="O60" s="2730"/>
    </row>
    <row r="61" spans="1:35" ht="13.5" thickBot="1">
      <c r="A61" s="3346" t="s">
        <v>1999</v>
      </c>
      <c r="B61" s="3346"/>
      <c r="C61" s="3346"/>
      <c r="D61" s="3346"/>
      <c r="E61" s="3346"/>
      <c r="F61" s="1962"/>
      <c r="G61" s="1962"/>
      <c r="H61" s="1964"/>
      <c r="I61" s="134"/>
      <c r="J61" s="2717">
        <f>J59+1</f>
        <v>7</v>
      </c>
      <c r="K61" s="3401" t="s">
        <v>2000</v>
      </c>
      <c r="L61" s="3401"/>
      <c r="M61" s="2734"/>
      <c r="N61" s="2735">
        <f ca="1">ROUND(N59*10000/'数据-汇总表'!E3,0)</f>
        <v>10528</v>
      </c>
      <c r="O61" s="2736"/>
    </row>
    <row r="62" spans="1:35" ht="12.75">
      <c r="A62" s="3364" t="s">
        <v>2001</v>
      </c>
      <c r="B62" s="3365"/>
      <c r="C62" s="2177"/>
      <c r="D62" s="2177" t="s">
        <v>2002</v>
      </c>
      <c r="E62" s="171" t="s">
        <v>2003</v>
      </c>
      <c r="F62" s="1962"/>
      <c r="G62" s="1962"/>
      <c r="H62" s="1964"/>
      <c r="I62" s="134"/>
    </row>
    <row r="63" spans="1:35" ht="12.75">
      <c r="A63" s="178" t="s">
        <v>775</v>
      </c>
      <c r="B63" s="172" t="s">
        <v>2004</v>
      </c>
      <c r="C63" s="2758">
        <f ca="1">ROUND((C64+C65)/(1+'数据-取费表'!C42),0)</f>
        <v>64157</v>
      </c>
      <c r="D63" s="172"/>
      <c r="E63" s="173"/>
      <c r="F63" s="1962"/>
      <c r="G63" s="1962"/>
      <c r="H63" s="1964"/>
      <c r="I63" s="134"/>
      <c r="J63" s="3426" t="s">
        <v>2005</v>
      </c>
      <c r="K63" s="1471" t="s">
        <v>2006</v>
      </c>
      <c r="L63" s="1471">
        <f ca="1">IF(M49&gt;10000,M49*0.5%,IF(AND(M49&gt;1000,M49&lt;=10000),M49*1%,IF(AND(M49&gt;100,M49&lt;=1000),M49*3%,IF(AND(M49&gt;10,M49&lt;=100),M49*5%,M49*8%))))</f>
        <v>336.82499999999999</v>
      </c>
      <c r="M63" s="308">
        <f ca="1">ROUND(L63,1)</f>
        <v>336.8</v>
      </c>
      <c r="N63" s="2737"/>
      <c r="Z63" s="1906"/>
      <c r="AI63" s="1907"/>
    </row>
    <row r="64" spans="1:35" ht="14.25" customHeight="1">
      <c r="A64" s="174" t="s">
        <v>770</v>
      </c>
      <c r="B64" s="175" t="s">
        <v>2007</v>
      </c>
      <c r="C64" s="2759">
        <f ca="1">D45</f>
        <v>67365</v>
      </c>
      <c r="D64" s="175" t="s">
        <v>32</v>
      </c>
      <c r="E64" s="177"/>
      <c r="F64" s="1962"/>
      <c r="G64" s="1962"/>
      <c r="H64" s="1964"/>
      <c r="I64" s="134"/>
      <c r="J64" s="3426"/>
      <c r="K64" s="1471" t="s">
        <v>2008</v>
      </c>
      <c r="L64" s="1471">
        <f ca="1">IF(M49&gt;2000,M49*0.5%,IF(AND(M49&gt;1000,M49&lt;=2000),M49*0.6%,IF(AND(M49&gt;500,M49&lt;=1000),M49*0.7%,IF(AND(M49&gt;200,M49&lt;=500),M49*0.8%,IF(AND(M49&gt;100,M49&lt;=200),M49*0.9%,IF(AND(M49&gt;50,M49&lt;=100),M49*1%,IF(AND(M49&gt;20,M49&lt;=50),M49*1.5%,IF(AND(M49&gt;10,M49&lt;=20),M49*2%,IF(AND(M49&gt;1,M49&lt;=10),M49*2.5%)))))))))</f>
        <v>336.82499999999999</v>
      </c>
      <c r="M64" s="308">
        <f t="shared" ref="M64:M65" ca="1" si="1">ROUND(L64,1)</f>
        <v>336.8</v>
      </c>
      <c r="N64" s="2738" t="s">
        <v>2009</v>
      </c>
      <c r="Z64" s="1906"/>
      <c r="AI64" s="1907"/>
    </row>
    <row r="65" spans="1:35" ht="14.25" customHeight="1">
      <c r="A65" s="174" t="s">
        <v>771</v>
      </c>
      <c r="B65" s="175" t="s">
        <v>2010</v>
      </c>
      <c r="C65" s="2760"/>
      <c r="D65" s="175"/>
      <c r="E65" s="177"/>
      <c r="F65" s="1962"/>
      <c r="G65" s="1962"/>
      <c r="H65" s="1964"/>
      <c r="I65" s="134"/>
      <c r="J65" s="3426"/>
      <c r="K65" s="1471" t="s">
        <v>2011</v>
      </c>
      <c r="L65" s="1471">
        <f ca="1">IF(M49&gt;1000,M49*0.1%,IF(AND(M49&gt;500,M49&lt;=1000),M49*0.5%,IF(AND(M49&gt;50,M49&lt;=500),M49*1%,IF(AND(M49&gt;1,M49&lt;=50),M49*1.5%))))</f>
        <v>67.364999999999995</v>
      </c>
      <c r="M65" s="308">
        <f t="shared" ca="1" si="1"/>
        <v>67.400000000000006</v>
      </c>
      <c r="N65" s="2738" t="s">
        <v>2009</v>
      </c>
      <c r="Z65" s="1906"/>
      <c r="AI65" s="1907"/>
    </row>
    <row r="66" spans="1:35" ht="14.25" customHeight="1">
      <c r="A66" s="178" t="s">
        <v>772</v>
      </c>
      <c r="B66" s="179" t="s">
        <v>2012</v>
      </c>
      <c r="C66" s="2761"/>
      <c r="D66" s="179" t="s">
        <v>32</v>
      </c>
      <c r="E66" s="1478" t="s">
        <v>1277</v>
      </c>
      <c r="F66" s="1962"/>
      <c r="G66" s="1962"/>
      <c r="H66" s="1964"/>
      <c r="I66" s="134"/>
      <c r="J66" s="3426"/>
      <c r="K66" s="1471" t="s">
        <v>2013</v>
      </c>
      <c r="L66" s="1471">
        <f ca="1">M49*0.5%</f>
        <v>336.82499999999999</v>
      </c>
      <c r="M66" s="308">
        <f ca="1">IF(L66&gt;0.5,0.5,ROUND(L66,0))</f>
        <v>0.5</v>
      </c>
      <c r="N66" s="2738" t="s">
        <v>2014</v>
      </c>
      <c r="Z66" s="1906"/>
      <c r="AI66" s="1907"/>
    </row>
    <row r="67" spans="1:35" ht="14.25" customHeight="1">
      <c r="A67" s="178" t="s">
        <v>773</v>
      </c>
      <c r="B67" s="179" t="s">
        <v>2015</v>
      </c>
      <c r="C67" s="2762">
        <f ca="1">C63-C66</f>
        <v>64157</v>
      </c>
      <c r="D67" s="175" t="s">
        <v>32</v>
      </c>
      <c r="E67" s="177"/>
      <c r="F67" s="1962"/>
      <c r="G67" s="1962"/>
      <c r="H67" s="1964"/>
      <c r="I67" s="134"/>
      <c r="J67" s="3426"/>
      <c r="K67" s="1471" t="s">
        <v>2016</v>
      </c>
      <c r="L67" s="1471">
        <f ca="1">IF(M49&gt;=10000,(8.25+(M49-10000)*0.01%),IF(AND(M49&gt;=8000,M49&lt;10000),(7.85+(M49-8000)*0.02%),IF(AND(M49&gt;=5000,M49&lt;8000),(6.65+(M49-5000)*0.04%),IF(AND(M49&gt;=2000,M49&lt;5000),(4.25+(PM49-2000)*0.08%),IF(AND(M49&gt;=1000,M49&lt;2000),(2.75+(M49-1000)*0.15%),IF(AND(M49&gt;=100,M49&lt;1000),(0.5+(M49-100)*0.25%),IF(AND(M49&gt;0,M49&lt;100),M49*0.5%)))))))</f>
        <v>13.986499999999999</v>
      </c>
      <c r="M67" s="308">
        <f ca="1">ROUND(L67*0.9,1)</f>
        <v>12.6</v>
      </c>
      <c r="N67" s="2737"/>
      <c r="Z67" s="1906"/>
      <c r="AI67" s="1907"/>
    </row>
    <row r="68" spans="1:35" ht="14.25" customHeight="1" thickBot="1">
      <c r="A68" s="181" t="s">
        <v>774</v>
      </c>
      <c r="B68" s="182" t="s">
        <v>2017</v>
      </c>
      <c r="C68" s="2763">
        <f ca="1">IF(C67&lt;=0,0,ROUND(C67*D68,0))</f>
        <v>3529</v>
      </c>
      <c r="D68" s="2764">
        <f>'数据-取费表'!B41</f>
        <v>5.5000000000000007E-2</v>
      </c>
      <c r="E68" s="184"/>
      <c r="F68" s="1962"/>
      <c r="G68" s="1962"/>
      <c r="H68" s="1964"/>
      <c r="I68" s="134"/>
      <c r="J68" s="3426"/>
      <c r="K68" s="1471" t="s">
        <v>2018</v>
      </c>
      <c r="L68" s="1471">
        <f ca="1">IF(M49&gt;10000,M49*0.5%,IF(AND(M49&gt;5000,M49&lt;=10000),M49*1%,IF(AND(M49&gt;1000,M49&lt;=5000),M49*2%,IF(AND(M49&gt;200,M49&lt;=1000),M49*3%,M49*5%))))</f>
        <v>336.82499999999999</v>
      </c>
      <c r="M68" s="308">
        <f ca="1">ROUND(L68,1)</f>
        <v>336.8</v>
      </c>
      <c r="N68" s="2737"/>
      <c r="Z68" s="1906"/>
      <c r="AI68" s="1907"/>
    </row>
    <row r="69" spans="1:35" s="1926" customFormat="1" ht="16.5" customHeight="1">
      <c r="A69" s="1965"/>
      <c r="B69" s="1966"/>
      <c r="C69" s="1967"/>
      <c r="D69" s="1968"/>
      <c r="E69" s="1969"/>
      <c r="F69" s="1732"/>
      <c r="G69" s="1732"/>
      <c r="H69" s="1731"/>
      <c r="I69" s="1901"/>
      <c r="J69" s="3426"/>
      <c r="K69" s="1471" t="s">
        <v>2019</v>
      </c>
      <c r="L69" s="1471"/>
      <c r="M69" s="308">
        <f ca="1">ROUND(SUM(M63:M68),0)</f>
        <v>1091</v>
      </c>
      <c r="N69" s="2739">
        <f ca="1">M69/M49</f>
        <v>1.6195353670303569E-2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85" t="s">
        <v>2020</v>
      </c>
      <c r="B70" s="3386"/>
      <c r="C70" s="3386"/>
      <c r="D70" s="3386"/>
      <c r="E70" s="3386"/>
      <c r="F70" s="3386"/>
      <c r="G70" s="3386"/>
      <c r="H70" s="338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64" t="s">
        <v>2001</v>
      </c>
      <c r="B71" s="3365"/>
      <c r="C71" s="2177"/>
      <c r="D71" s="2177"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64157</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321</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59" t="s">
        <v>2028</v>
      </c>
      <c r="F76" s="3333"/>
      <c r="G76" s="3333"/>
      <c r="H76" s="338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321</v>
      </c>
      <c r="D78" s="2771">
        <f>'数据-取费表'!B43</f>
        <v>5.000000000000001E-3</v>
      </c>
      <c r="E78" s="3343" t="s">
        <v>2032</v>
      </c>
      <c r="F78" s="3344"/>
      <c r="G78" s="3344"/>
      <c r="H78" s="3353"/>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2">
        <f ca="1">C72-C73</f>
        <v>63836</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198.86604361370718</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38189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85" t="s">
        <v>2036</v>
      </c>
      <c r="B83" s="3386"/>
      <c r="C83" s="3386"/>
      <c r="D83" s="3386"/>
      <c r="E83" s="3386"/>
      <c r="F83" s="3386"/>
      <c r="G83" s="3386"/>
      <c r="H83" s="338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64" t="s">
        <v>2001</v>
      </c>
      <c r="B84" s="3365"/>
      <c r="C84" s="2177"/>
      <c r="D84" s="2177"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64157</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321</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2518"/>
      <c r="G88" s="200"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2518"/>
      <c r="G90" s="3428" t="s">
        <v>2810</v>
      </c>
      <c r="H90" s="3429"/>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43" t="s">
        <v>2045</v>
      </c>
      <c r="F91" s="3344"/>
      <c r="G91" s="3344"/>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43" t="s">
        <v>2048</v>
      </c>
      <c r="F92" s="3344"/>
      <c r="G92" s="3344"/>
      <c r="H92" s="3353"/>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321</v>
      </c>
      <c r="D93" s="2771">
        <f>'数据-取费表'!B43</f>
        <v>5.000000000000001E-3</v>
      </c>
      <c r="E93" s="3343" t="s">
        <v>2032</v>
      </c>
      <c r="F93" s="3344"/>
      <c r="G93" s="3344"/>
      <c r="H93" s="3353"/>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54" t="s">
        <v>2052</v>
      </c>
      <c r="F94" s="3355"/>
      <c r="G94" s="3355"/>
      <c r="H94" s="3356"/>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2">
        <f ca="1">ROUND(C85-C86,0)</f>
        <v>63836</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198.86604361370718</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38189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2053</v>
      </c>
      <c r="B99" s="1901"/>
      <c r="C99" s="1901"/>
      <c r="D99" s="1901"/>
      <c r="E99" s="1732"/>
      <c r="F99" s="1732"/>
      <c r="G99" s="1732"/>
      <c r="H99" s="1731"/>
      <c r="I99" s="134"/>
    </row>
    <row r="100" spans="1:35" ht="18.75" customHeight="1">
      <c r="A100" s="3327" t="s">
        <v>2054</v>
      </c>
      <c r="B100" s="3328"/>
      <c r="C100" s="3328"/>
      <c r="D100" s="3345"/>
      <c r="E100" s="3328" t="s">
        <v>2055</v>
      </c>
      <c r="F100" s="3328"/>
      <c r="G100" s="3328"/>
      <c r="H100" s="3345"/>
      <c r="I100" s="134"/>
    </row>
    <row r="101" spans="1:35" ht="18.75" customHeight="1">
      <c r="A101" s="3409" t="s">
        <v>2056</v>
      </c>
      <c r="B101" s="3410"/>
      <c r="C101" s="2779" t="str">
        <f>C4</f>
        <v>成本法</v>
      </c>
      <c r="D101" s="2780" t="str">
        <f>D4</f>
        <v>收益法（汇总）</v>
      </c>
      <c r="E101" s="3423" t="s">
        <v>2057</v>
      </c>
      <c r="F101" s="3377"/>
      <c r="G101" s="1981" t="s">
        <v>2058</v>
      </c>
      <c r="H101" s="2789">
        <f ca="1">H118</f>
        <v>67365</v>
      </c>
      <c r="I101" s="134"/>
    </row>
    <row r="102" spans="1:35" ht="18.75" customHeight="1">
      <c r="A102" s="3379" t="s">
        <v>2059</v>
      </c>
      <c r="B102" s="2778" t="s">
        <v>2058</v>
      </c>
      <c r="C102" s="2779">
        <f ca="1">C19</f>
        <v>60963</v>
      </c>
      <c r="D102" s="2780">
        <f ca="1">D19</f>
        <v>73766</v>
      </c>
      <c r="E102" s="3423"/>
      <c r="F102" s="3377"/>
      <c r="G102" s="1981" t="s">
        <v>2060</v>
      </c>
      <c r="H102" s="2749">
        <f ca="1">I118</f>
        <v>24886</v>
      </c>
      <c r="I102" s="134"/>
    </row>
    <row r="103" spans="1:35" ht="42.75" customHeight="1">
      <c r="A103" s="3379"/>
      <c r="B103" s="2778" t="s">
        <v>2060</v>
      </c>
      <c r="C103" s="2781">
        <f ca="1">C20</f>
        <v>22521</v>
      </c>
      <c r="D103" s="2782">
        <f ca="1">D20</f>
        <v>27251</v>
      </c>
      <c r="E103" s="3417" t="s">
        <v>2061</v>
      </c>
      <c r="F103" s="3418"/>
      <c r="G103" s="1982" t="s">
        <v>2062</v>
      </c>
      <c r="H103" s="2789">
        <f>IF(D36="正常操作",H104+H105+H106,H105+H106)</f>
        <v>0</v>
      </c>
      <c r="I103" s="134"/>
    </row>
    <row r="104" spans="1:35" ht="18.75" customHeight="1">
      <c r="A104" s="3379" t="s">
        <v>2063</v>
      </c>
      <c r="B104" s="2783" t="s">
        <v>2058</v>
      </c>
      <c r="C104" s="2784">
        <f ca="1">H118</f>
        <v>67365</v>
      </c>
      <c r="D104" s="2785"/>
      <c r="E104" s="1828" t="s">
        <v>2064</v>
      </c>
      <c r="F104" s="1820"/>
      <c r="G104" s="1982" t="s">
        <v>2062</v>
      </c>
      <c r="H104" s="2790">
        <f>IF(D36="同一抵押权人同一抵押物续贷",C36&amp;"（续贷，未扣减，详见特别提示）",C36)</f>
        <v>0</v>
      </c>
      <c r="I104" s="134"/>
    </row>
    <row r="105" spans="1:35" ht="18.75" customHeight="1" thickBot="1">
      <c r="A105" s="3380"/>
      <c r="B105" s="2786" t="s">
        <v>2060</v>
      </c>
      <c r="C105" s="2787">
        <f ca="1">I118</f>
        <v>24886</v>
      </c>
      <c r="D105" s="2788"/>
      <c r="E105" s="1828" t="s">
        <v>2065</v>
      </c>
      <c r="F105" s="1820"/>
      <c r="G105" s="1982" t="s">
        <v>2062</v>
      </c>
      <c r="H105" s="2791">
        <f>C37</f>
        <v>0</v>
      </c>
      <c r="I105" s="134"/>
    </row>
    <row r="106" spans="1:35" ht="18.75" customHeight="1">
      <c r="A106" s="1901" t="s">
        <v>2066</v>
      </c>
      <c r="B106" s="1901"/>
      <c r="C106" s="1901"/>
      <c r="D106" s="1901"/>
      <c r="E106" s="1983" t="s">
        <v>2067</v>
      </c>
      <c r="F106" s="1820"/>
      <c r="G106" s="1982" t="s">
        <v>2062</v>
      </c>
      <c r="H106" s="2791">
        <f>C38</f>
        <v>0</v>
      </c>
      <c r="I106" s="134"/>
    </row>
    <row r="107" spans="1:35" ht="18.75" customHeight="1">
      <c r="A107" s="134"/>
      <c r="B107" s="134"/>
      <c r="C107" s="134"/>
      <c r="D107" s="134"/>
      <c r="E107" s="3376" t="str">
        <f>IF(项目基本情况!E8="已注销","——","3.房地产抵押价值")</f>
        <v>3.房地产抵押价值</v>
      </c>
      <c r="F107" s="3377"/>
      <c r="G107" s="1981" t="s">
        <v>2058</v>
      </c>
      <c r="H107" s="2789">
        <f ca="1">IF(E107="——","——",H101-H103)</f>
        <v>67365</v>
      </c>
      <c r="I107" s="134"/>
    </row>
    <row r="108" spans="1:35" ht="18.75" customHeight="1">
      <c r="A108" s="134"/>
      <c r="B108" s="134"/>
      <c r="C108" s="134"/>
      <c r="D108" s="134"/>
      <c r="E108" s="3376"/>
      <c r="F108" s="3377"/>
      <c r="G108" s="1981" t="s">
        <v>2060</v>
      </c>
      <c r="H108" s="2749">
        <f ca="1">ROUND(H107*10000/'数据-汇总表'!E3,0)</f>
        <v>24886</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81" t="s">
        <v>2058</v>
      </c>
      <c r="H109" s="2792" t="str">
        <f>IF(E109="——","——",H101-H105-H106)</f>
        <v>——</v>
      </c>
      <c r="I109" s="134"/>
    </row>
    <row r="110" spans="1:35" ht="18.75" customHeight="1">
      <c r="A110" s="134"/>
      <c r="B110" s="134"/>
      <c r="C110" s="134"/>
      <c r="D110" s="134"/>
      <c r="E110" s="3376"/>
      <c r="F110" s="3377"/>
      <c r="G110" s="1981" t="s">
        <v>2060</v>
      </c>
      <c r="H110" s="274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81" t="s">
        <v>2058</v>
      </c>
      <c r="H111" s="2789" t="str">
        <f>IF(E111="——","——",N59)</f>
        <v>——</v>
      </c>
      <c r="I111" s="134"/>
    </row>
    <row r="112" spans="1:35" ht="18.75" customHeight="1" thickBot="1">
      <c r="A112" s="134"/>
      <c r="B112" s="134"/>
      <c r="C112" s="134"/>
      <c r="D112" s="134"/>
      <c r="E112" s="3412"/>
      <c r="F112" s="3413"/>
      <c r="G112" s="1984" t="s">
        <v>2060</v>
      </c>
      <c r="H112" s="2793" t="str">
        <f>IF(E111="——","——",N61)</f>
        <v>——</v>
      </c>
      <c r="I112" s="134"/>
    </row>
    <row r="113" spans="1:27" ht="18.75" customHeight="1">
      <c r="A113" s="134"/>
      <c r="B113" s="134"/>
      <c r="C113" s="134"/>
      <c r="D113" s="134"/>
      <c r="E113" s="3381" t="s">
        <v>2066</v>
      </c>
      <c r="F113" s="3381"/>
      <c r="G113" s="3381"/>
      <c r="H113" s="3381"/>
      <c r="I113" s="134"/>
    </row>
    <row r="114" spans="1:27" ht="3.75" customHeight="1">
      <c r="A114" s="1901"/>
      <c r="B114" s="1901"/>
      <c r="C114" s="1901"/>
      <c r="D114" s="1901"/>
      <c r="E114" s="1963"/>
      <c r="F114" s="1963"/>
      <c r="G114" s="1963"/>
      <c r="H114" s="1963"/>
      <c r="I114" s="1901"/>
    </row>
    <row r="115" spans="1:27" ht="18.75" customHeight="1">
      <c r="A115" s="3394" t="s">
        <v>2068</v>
      </c>
      <c r="B115" s="3395"/>
      <c r="C115" s="3395"/>
      <c r="D115" s="3395"/>
      <c r="E115" s="3395"/>
      <c r="F115" s="3395"/>
      <c r="G115" s="3395"/>
      <c r="H115" s="3395"/>
      <c r="I115" s="3396"/>
    </row>
    <row r="116" spans="1:27" ht="27" customHeight="1">
      <c r="A116" s="3347" t="s">
        <v>2069</v>
      </c>
      <c r="B116" s="3382" t="s">
        <v>2070</v>
      </c>
      <c r="C116" s="3382" t="s">
        <v>2071</v>
      </c>
      <c r="D116" s="3398" t="s">
        <v>2072</v>
      </c>
      <c r="E116" s="3399"/>
      <c r="F116" s="3390" t="s">
        <v>2073</v>
      </c>
      <c r="G116" s="3390"/>
      <c r="H116" s="3347" t="s">
        <v>2074</v>
      </c>
      <c r="I116" s="3347"/>
    </row>
    <row r="117" spans="1:27" ht="18.75" customHeight="1">
      <c r="A117" s="3347"/>
      <c r="B117" s="3383"/>
      <c r="C117" s="3383"/>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27069.539999999997</v>
      </c>
      <c r="C118" s="2520">
        <f>M19</f>
        <v>7552.72</v>
      </c>
      <c r="D118" s="2520">
        <f ca="1">ROUND(IF(D32="总价",C34,E118*B118/10000),0)</f>
        <v>51130</v>
      </c>
      <c r="E118" s="2520">
        <f ca="1">ROUND(IF(C33="自定义",IF(D32="楼面单价",C34,D118*10000/B118),I118-G118),0)</f>
        <v>18888</v>
      </c>
      <c r="F118" s="2520">
        <f ca="1">ROUND(IF(D32="总价",C35,G118*B118/10000),0)</f>
        <v>16235</v>
      </c>
      <c r="G118" s="2520">
        <f ca="1">ROUND(IF(D32="楼面单价",C35,F118*10000/B118),0)</f>
        <v>5998</v>
      </c>
      <c r="H118" s="2520">
        <f ca="1">ROUND(IF(D32="总价",C32,I118*B118/10000),0)</f>
        <v>67365</v>
      </c>
      <c r="I118" s="2520">
        <f ca="1">ROUND(IF(D32="楼面单价",C32,H118*10000/B118),0)</f>
        <v>24886</v>
      </c>
    </row>
    <row r="119" spans="1:27" ht="18.75" customHeight="1">
      <c r="A119" s="3347" t="s">
        <v>2078</v>
      </c>
      <c r="B119" s="3347"/>
      <c r="C119" s="3347"/>
      <c r="D119" s="3387" t="str">
        <f ca="1">NUMBERSTRING(INT(D118*10000),2)&amp;"元整"</f>
        <v>伍亿壹仟壹佰叁拾万元整</v>
      </c>
      <c r="E119" s="3389"/>
      <c r="F119" s="3387" t="str">
        <f ca="1">NUMBERSTRING(INT(F118*10000),2)&amp;"元整"</f>
        <v>壹亿陆仟贰佰叁拾伍万元整</v>
      </c>
      <c r="G119" s="3389"/>
      <c r="H119" s="3387" t="str">
        <f ca="1">NUMBERSTRING(INT(H118*10000),2)&amp;"元整"</f>
        <v>陆亿柒仟叁佰陆拾伍万元整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91" t="s">
        <v>2078</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67365</v>
      </c>
      <c r="E122" s="3415"/>
      <c r="F122" s="3415"/>
      <c r="G122" s="3415"/>
      <c r="H122" s="3415"/>
      <c r="I122" s="3416"/>
      <c r="AA122" s="734"/>
    </row>
    <row r="123" spans="1:27" ht="18.75" customHeight="1">
      <c r="A123" s="3347" t="s">
        <v>2078</v>
      </c>
      <c r="B123" s="3347"/>
      <c r="C123" s="3347"/>
      <c r="D123" s="3387" t="str">
        <f ca="1">NUMBERSTRING(INT(D122*10000),2)&amp;"元整"</f>
        <v>陆亿柒仟叁佰陆拾伍万元整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2078</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2078</v>
      </c>
      <c r="B127" s="3347"/>
      <c r="C127" s="3347"/>
      <c r="D127" s="3387" t="e">
        <f>NUMBERSTRING(INT(D126*10000),2)&amp;"元整"</f>
        <v>#VALUE!</v>
      </c>
      <c r="E127" s="3388"/>
      <c r="F127" s="3388"/>
      <c r="G127" s="3388"/>
      <c r="H127" s="3388"/>
      <c r="I127" s="3389"/>
      <c r="AA127" s="734"/>
    </row>
    <row r="128" spans="1:27" ht="21.75" customHeight="1">
      <c r="A128" s="3397" t="s">
        <v>2079</v>
      </c>
      <c r="B128" s="3397"/>
      <c r="C128" s="3397"/>
      <c r="D128" s="3397"/>
      <c r="E128" s="3397"/>
      <c r="F128" s="3397"/>
      <c r="G128" s="3397"/>
      <c r="H128" s="3397"/>
      <c r="I128" s="3397"/>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9" t="str">
        <f>项目基本情况!B1</f>
        <v>北京市房地产抵押价值预评估</v>
      </c>
      <c r="C37" s="3239"/>
      <c r="D37" s="3239"/>
      <c r="E37" s="3239"/>
      <c r="F37" s="3239"/>
      <c r="G37" s="3239"/>
      <c r="H37" s="3239"/>
      <c r="I37" s="323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9</v>
      </c>
    </row>
    <row r="2" spans="1:9" s="206" customFormat="1" ht="18" customHeight="1">
      <c r="A2" s="207" t="s">
        <v>2088</v>
      </c>
      <c r="B2" s="208">
        <f ca="1">IF(D2="——",C52,C52-E2)</f>
        <v>60963</v>
      </c>
      <c r="C2" s="205" t="s">
        <v>2089</v>
      </c>
      <c r="D2" s="2007" t="s">
        <v>70</v>
      </c>
      <c r="E2" s="1302"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22521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34236</v>
      </c>
      <c r="D5" s="217" t="s">
        <v>2095</v>
      </c>
      <c r="E5" s="218" t="s">
        <v>2096</v>
      </c>
      <c r="F5" s="218" t="s">
        <v>2097</v>
      </c>
      <c r="G5" s="219"/>
    </row>
    <row r="6" spans="1:9" s="220" customFormat="1" ht="13.5" customHeight="1">
      <c r="A6" s="885" t="s">
        <v>2098</v>
      </c>
      <c r="B6" s="221" t="s">
        <v>2099</v>
      </c>
      <c r="C6" s="222">
        <f>基准地价修正!B2+'基准地价修正-商业'!B2</f>
        <v>32698</v>
      </c>
      <c r="D6" s="223"/>
      <c r="E6" s="224"/>
      <c r="F6" s="224"/>
      <c r="G6" s="225"/>
    </row>
    <row r="7" spans="1:9" s="220" customFormat="1" ht="13.5" customHeight="1">
      <c r="A7" s="885" t="s">
        <v>2100</v>
      </c>
      <c r="B7" s="221" t="s">
        <v>2101</v>
      </c>
      <c r="C7" s="226">
        <f>ROUND(C6*F7,0)</f>
        <v>997</v>
      </c>
      <c r="D7" s="226"/>
      <c r="E7" s="224"/>
      <c r="F7" s="227">
        <f>IF(项目基本情况!B8="出让",0,'数据-取费表'!B48+'数据-取费表'!B49)</f>
        <v>3.0499999999999999E-2</v>
      </c>
      <c r="G7" s="225"/>
    </row>
    <row r="8" spans="1:9" s="229" customFormat="1">
      <c r="A8" s="885" t="s">
        <v>2102</v>
      </c>
      <c r="B8" s="221" t="s">
        <v>2103</v>
      </c>
      <c r="C8" s="226">
        <f ca="1">IF(G8="已包含在土地购买价格中","0",IF(B1="",'数据-取费表'!B29,IF(G9="全部缴纳",C9+C10,H9)))</f>
        <v>541</v>
      </c>
      <c r="D8" s="228"/>
      <c r="E8" s="226"/>
      <c r="F8" s="227"/>
      <c r="G8" s="2010" t="s">
        <v>3186</v>
      </c>
    </row>
    <row r="9" spans="1:9" s="220" customFormat="1" ht="13.5" customHeight="1">
      <c r="A9" s="886" t="s">
        <v>800</v>
      </c>
      <c r="B9" s="230" t="s">
        <v>2104</v>
      </c>
      <c r="C9" s="231">
        <f ca="1">ROUND(D9*E9/10000,0)</f>
        <v>0</v>
      </c>
      <c r="D9" s="953">
        <f ca="1">IF(B1="",'数据-汇总表'!E5,IF(INDIRECT("'数据-取费表'!c"&amp;$G$1)="住宅",INDIRECT("'数据-取费表'!k"&amp;$G$1),0))</f>
        <v>0</v>
      </c>
      <c r="E9" s="231">
        <f>'数据-取费表'!B27</f>
        <v>0</v>
      </c>
      <c r="F9" s="227"/>
      <c r="G9" s="2011" t="s">
        <v>3187</v>
      </c>
      <c r="H9" s="1270"/>
      <c r="I9" s="2012" t="s">
        <v>2105</v>
      </c>
    </row>
    <row r="10" spans="1:9" s="220" customFormat="1" ht="13.5" customHeight="1">
      <c r="A10" s="886" t="s">
        <v>801</v>
      </c>
      <c r="B10" s="230" t="s">
        <v>2106</v>
      </c>
      <c r="C10" s="231">
        <f ca="1">ROUND(D10*E10/10000,0)</f>
        <v>541</v>
      </c>
      <c r="D10" s="953">
        <f ca="1">IF(B1="",'数据-汇总表'!E6,IF(INDIRECT("'数据-取费表'!c"&amp;$G$1)="住宅",INDIRECT("'数据-取费表'!s"&amp;$G$1),INDIRECT("'数据-取费表'!k"&amp;$G$1)+INDIRECT("'数据-取费表'!s"&amp;$G$1)))</f>
        <v>27069.539999999997</v>
      </c>
      <c r="E10" s="231">
        <f>'数据-取费表'!B28</f>
        <v>200</v>
      </c>
      <c r="F10" s="227"/>
      <c r="G10" s="232"/>
    </row>
    <row r="11" spans="1:9" s="220" customFormat="1" ht="13.5" hidden="1" customHeight="1">
      <c r="A11" s="233" t="s">
        <v>7</v>
      </c>
      <c r="B11" s="221" t="s">
        <v>2107</v>
      </c>
      <c r="C11" s="217"/>
      <c r="D11" s="955"/>
      <c r="E11" s="224"/>
      <c r="F11" s="224"/>
      <c r="G11" s="225"/>
    </row>
    <row r="12" spans="1:9" s="220" customFormat="1" ht="13.5" hidden="1" customHeight="1">
      <c r="A12" s="233" t="s">
        <v>8</v>
      </c>
      <c r="B12" s="221" t="s">
        <v>2108</v>
      </c>
      <c r="C12" s="217">
        <v>0</v>
      </c>
      <c r="D12" s="955"/>
      <c r="E12" s="234"/>
      <c r="F12" s="227">
        <v>3.0499999999999999E-2</v>
      </c>
      <c r="G12" s="225"/>
    </row>
    <row r="13" spans="1:9" s="220" customFormat="1" ht="13.5" hidden="1" customHeight="1">
      <c r="A13" s="233" t="s">
        <v>9</v>
      </c>
      <c r="B13" s="221" t="s">
        <v>2109</v>
      </c>
      <c r="C13" s="217"/>
      <c r="D13" s="955"/>
      <c r="E13" s="224"/>
      <c r="F13" s="224"/>
      <c r="G13" s="225"/>
    </row>
    <row r="14" spans="1:9" s="220" customFormat="1" ht="13.5" hidden="1" customHeight="1">
      <c r="A14" s="233" t="s">
        <v>10</v>
      </c>
      <c r="B14" s="221" t="s">
        <v>2110</v>
      </c>
      <c r="C14" s="217"/>
      <c r="D14" s="955"/>
      <c r="E14" s="224"/>
      <c r="F14" s="224"/>
      <c r="G14" s="225" t="s">
        <v>2111</v>
      </c>
    </row>
    <row r="15" spans="1:9" s="220" customFormat="1" ht="13.5" hidden="1" customHeight="1">
      <c r="A15" s="233" t="s">
        <v>11</v>
      </c>
      <c r="B15" s="221" t="s">
        <v>2112</v>
      </c>
      <c r="C15" s="226"/>
      <c r="D15" s="955"/>
      <c r="E15" s="224"/>
      <c r="F15" s="224"/>
      <c r="G15" s="225" t="s">
        <v>2113</v>
      </c>
    </row>
    <row r="16" spans="1:9" s="220" customFormat="1" ht="13.5" hidden="1" customHeight="1">
      <c r="A16" s="233" t="s">
        <v>12</v>
      </c>
      <c r="B16" s="221" t="s">
        <v>2110</v>
      </c>
      <c r="C16" s="226"/>
      <c r="D16" s="955"/>
      <c r="E16" s="224"/>
      <c r="F16" s="224"/>
      <c r="G16" s="225"/>
    </row>
    <row r="17" spans="1:7" s="220" customFormat="1" ht="13.5" hidden="1" customHeight="1">
      <c r="A17" s="233" t="s">
        <v>13</v>
      </c>
      <c r="B17" s="221" t="s">
        <v>2114</v>
      </c>
      <c r="C17" s="235"/>
      <c r="D17" s="956"/>
      <c r="E17" s="235"/>
      <c r="F17" s="235"/>
      <c r="G17" s="225" t="s">
        <v>2113</v>
      </c>
    </row>
    <row r="18" spans="1:7" s="220" customFormat="1" ht="13.5" hidden="1" customHeight="1">
      <c r="A18" s="233" t="s">
        <v>14</v>
      </c>
      <c r="B18" s="221" t="s">
        <v>2115</v>
      </c>
      <c r="C18" s="226">
        <v>0</v>
      </c>
      <c r="D18" s="955"/>
      <c r="E18" s="224"/>
      <c r="F18" s="227">
        <v>3.0499999999999999E-2</v>
      </c>
      <c r="G18" s="225" t="s">
        <v>2116</v>
      </c>
    </row>
    <row r="19" spans="1:7" s="229" customFormat="1" ht="13.5" customHeight="1">
      <c r="A19" s="261" t="s">
        <v>2117</v>
      </c>
      <c r="B19" s="216" t="s">
        <v>2118</v>
      </c>
      <c r="C19" s="217" t="str">
        <f>IF(G19="已包含在土地取得成本中","0",ROUND(D19*E19/10000,0))</f>
        <v>0</v>
      </c>
      <c r="D19" s="957">
        <f ca="1">D9+D10</f>
        <v>27069.539999999997</v>
      </c>
      <c r="E19" s="217">
        <f>'数据-取费表'!B31</f>
        <v>200</v>
      </c>
      <c r="F19" s="237"/>
      <c r="G19" s="2010" t="s">
        <v>3188</v>
      </c>
    </row>
    <row r="20" spans="1:7" s="220" customFormat="1" ht="13.5" customHeight="1">
      <c r="A20" s="261" t="s">
        <v>2119</v>
      </c>
      <c r="B20" s="216" t="s">
        <v>2120</v>
      </c>
      <c r="C20" s="238">
        <f ca="1">ROUND((C5+C19)*F20,0)</f>
        <v>685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2965</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7" t="s">
        <v>2128</v>
      </c>
      <c r="B23" s="221" t="s">
        <v>2129</v>
      </c>
      <c r="C23" s="1236">
        <f ca="1">ROUND(IF('数据-取费表'!B22&lt;=1,C5*F22*'数据-取费表'!B23,C5*(POWER((1+F22),'数据-取费表'!B23)-1)),0)</f>
        <v>2936</v>
      </c>
      <c r="D23" s="244"/>
      <c r="E23" s="244"/>
      <c r="F23" s="245"/>
      <c r="G23" s="246" t="s">
        <v>2130</v>
      </c>
    </row>
    <row r="24" spans="1:7" s="220" customFormat="1" ht="13.5" customHeight="1">
      <c r="A24" s="887"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7" t="s">
        <v>2134</v>
      </c>
      <c r="B25" s="221" t="s">
        <v>2135</v>
      </c>
      <c r="C25" s="1236">
        <f ca="1">ROUND(IF('数据-取费表'!B22&lt;=1,C20*F22*'数据-取费表'!B23/2,C20*(POWER((1+F22),'数据-取费表'!B23/2)-1)),0)</f>
        <v>29</v>
      </c>
      <c r="D25" s="244"/>
      <c r="E25" s="247"/>
      <c r="F25" s="245"/>
      <c r="G25" s="248" t="s">
        <v>2136</v>
      </c>
    </row>
    <row r="26" spans="1:7" s="220" customFormat="1">
      <c r="A26" s="887"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4889</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ROUND((C5+C19+C20)*F27*'数据-取费表'!B21/'数据-取费表'!B20,0)</f>
        <v>4889</v>
      </c>
      <c r="D28" s="241"/>
      <c r="E28" s="242"/>
      <c r="F28" s="252"/>
      <c r="G28" s="253"/>
    </row>
    <row r="29" spans="1:7" s="220" customFormat="1" ht="13.5" customHeight="1">
      <c r="A29" s="887" t="s">
        <v>792</v>
      </c>
      <c r="B29" s="254" t="s">
        <v>2143</v>
      </c>
      <c r="C29" s="244">
        <f ca="1">ROUND(C21*F27*'数据-取费表'!B21/'数据-取费表'!B20,4)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46293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11472</v>
      </c>
      <c r="D33" s="238"/>
      <c r="E33" s="218"/>
      <c r="F33" s="247"/>
      <c r="G33" s="240"/>
    </row>
    <row r="34" spans="1:7" s="264" customFormat="1" ht="13.5" customHeight="1">
      <c r="A34" s="887" t="s">
        <v>791</v>
      </c>
      <c r="B34" s="221" t="s">
        <v>2151</v>
      </c>
      <c r="C34" s="226">
        <f ca="1">IF(B1="",IF(F34=100%,'数据-取费表'!M16,'数据-取费表'!O16),IF(F34=100%,INDIRECT("'数据-取费表'!m"&amp;$G$1)+INDIRECT("'数据-取费表'!t"&amp;$G$1),INDIRECT("'数据-取费表'!o"&amp;$G$1)+INDIRECT("'数据-取费表'!aq"&amp;$G$1)))</f>
        <v>10460</v>
      </c>
      <c r="D34" s="223"/>
      <c r="E34" s="226"/>
      <c r="F34" s="263">
        <f ca="1">IF('数据-取费表'!B24=0,1,IF(B1="",'数据-取费表'!N16,INDIRECT("'数据-取费表'!n"&amp;$G$1)))</f>
        <v>1</v>
      </c>
      <c r="G34" s="225" t="s">
        <v>2152</v>
      </c>
    </row>
    <row r="35" spans="1:7" ht="13.5" customHeight="1">
      <c r="A35" s="887" t="s">
        <v>796</v>
      </c>
      <c r="B35" s="221" t="s">
        <v>2153</v>
      </c>
      <c r="C35" s="226">
        <f ca="1">ROUND(C34*F35,0)</f>
        <v>314</v>
      </c>
      <c r="D35" s="226"/>
      <c r="E35" s="226"/>
      <c r="F35" s="265">
        <f>'数据-取费表'!B33</f>
        <v>0.03</v>
      </c>
      <c r="G35" s="225" t="s">
        <v>2154</v>
      </c>
    </row>
    <row r="36" spans="1:7" ht="24">
      <c r="A36" s="887"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7" t="s">
        <v>798</v>
      </c>
      <c r="B37" s="221" t="s">
        <v>2157</v>
      </c>
      <c r="C37" s="255">
        <f ca="1">ROUND(E37*D37*F34/10000,0)</f>
        <v>541</v>
      </c>
      <c r="D37" s="223">
        <f ca="1">D19</f>
        <v>27069.539999999997</v>
      </c>
      <c r="E37" s="255">
        <f>'数据-取费表'!B35</f>
        <v>200</v>
      </c>
      <c r="F37" s="265"/>
      <c r="G37" s="267" t="s">
        <v>2158</v>
      </c>
    </row>
    <row r="38" spans="1:7" ht="13.5" customHeight="1">
      <c r="A38" s="887"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492</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ROUND(IF('数据-取费表'!B22&lt;=1,C33*F22*'数据-取费表'!B21/2,C33*(POWER((1+F22),'数据-取费表'!B21/2)-1)),0)</f>
        <v>482</v>
      </c>
      <c r="D42" s="244"/>
      <c r="E42" s="244"/>
      <c r="F42" s="245"/>
      <c r="G42" s="3430" t="s">
        <v>2170</v>
      </c>
    </row>
    <row r="43" spans="1:7" ht="13.5" customHeight="1">
      <c r="A43" s="887" t="s">
        <v>792</v>
      </c>
      <c r="B43" s="221" t="s">
        <v>2171</v>
      </c>
      <c r="C43" s="244">
        <f ca="1">ROUND(IF('数据-取费表'!B22&lt;=1,C39*F22*'数据-取费表'!B21/2,C39*(POWER((1+F22),'数据-取费表'!B21/2)-1)),0)</f>
        <v>10</v>
      </c>
      <c r="D43" s="244"/>
      <c r="E43" s="244"/>
      <c r="F43" s="245"/>
      <c r="G43" s="3431"/>
    </row>
    <row r="44" spans="1:7" ht="13.5" customHeight="1">
      <c r="A44" s="887" t="s">
        <v>793</v>
      </c>
      <c r="B44" s="221" t="s">
        <v>2172</v>
      </c>
      <c r="C44" s="244">
        <f ca="1">ROUND(IF('数据-取费表'!B22&lt;=1,C40*F22*'数据-取费表'!B21/2,C40*(POWER((1+F22),'数据-取费表'!B21/2)-1)),4)</f>
        <v>8.0000000000000004E-4</v>
      </c>
      <c r="D44" s="244"/>
      <c r="E44" s="244"/>
      <c r="F44" s="245"/>
      <c r="G44" s="3432"/>
    </row>
    <row r="45" spans="1:7" s="220" customFormat="1" ht="13.5" customHeight="1">
      <c r="A45" s="261" t="s">
        <v>2173</v>
      </c>
      <c r="B45" s="250" t="s">
        <v>2139</v>
      </c>
      <c r="C45" s="251">
        <f ca="1">C46</f>
        <v>1638</v>
      </c>
      <c r="D45" s="241">
        <f ca="1">C47</f>
        <v>2.8E-3</v>
      </c>
      <c r="E45" s="242" t="s">
        <v>2165</v>
      </c>
      <c r="F45" s="2505">
        <f ca="1">F27</f>
        <v>0.14000000000000001</v>
      </c>
      <c r="G45" s="253" t="s">
        <v>2174</v>
      </c>
    </row>
    <row r="46" spans="1:7" s="220" customFormat="1" ht="13.5" customHeight="1">
      <c r="A46" s="887" t="s">
        <v>791</v>
      </c>
      <c r="B46" s="254" t="s">
        <v>2175</v>
      </c>
      <c r="C46" s="255">
        <f ca="1">ROUND((C33+C39)*F27,0)</f>
        <v>1638</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1466">
        <f>ROUND(F30/(1+'数据-取费表'!C42),4)</f>
        <v>5.2400000000000002E-2</v>
      </c>
      <c r="D48" s="242" t="s">
        <v>2165</v>
      </c>
      <c r="E48" s="238"/>
      <c r="F48" s="2504">
        <f>F30</f>
        <v>5.5000000000000007E-2</v>
      </c>
      <c r="G48" s="240" t="s">
        <v>2178</v>
      </c>
    </row>
    <row r="49" spans="1:7" ht="16.5" customHeight="1">
      <c r="A49" s="261" t="s">
        <v>2144</v>
      </c>
      <c r="B49" s="216" t="s">
        <v>2179</v>
      </c>
      <c r="C49" s="238">
        <f ca="1">ROUND((C33+C39+C41+C45)/(1-C40-D41-D45-C48),0)</f>
        <v>14969</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14670</v>
      </c>
      <c r="D51" s="238"/>
      <c r="E51" s="238"/>
      <c r="F51" s="270"/>
      <c r="G51" s="240" t="s">
        <v>2186</v>
      </c>
    </row>
    <row r="52" spans="1:7" s="214" customFormat="1" ht="16.5" thickBot="1">
      <c r="A52" s="271" t="s">
        <v>2187</v>
      </c>
      <c r="B52" s="272"/>
      <c r="C52" s="273">
        <f ca="1">C31+C51</f>
        <v>60963</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3" t="s">
        <v>2189</v>
      </c>
      <c r="D1" s="204"/>
      <c r="E1" s="204"/>
      <c r="F1" s="204"/>
      <c r="G1" s="1259">
        <f>MATCH(B1,'数据-取费表'!A6:A16,0)+5</f>
        <v>9</v>
      </c>
      <c r="H1" s="1191" t="str">
        <f>IF(ISERROR(FIND("住宅",B1)),"非住宅","住宅")</f>
        <v>非住宅</v>
      </c>
    </row>
    <row r="2" spans="1:8" s="206" customFormat="1" ht="18" customHeight="1">
      <c r="A2" s="207" t="s">
        <v>2088</v>
      </c>
      <c r="B2" s="208">
        <f ca="1">ROUND(IF(D2="——",C52/10000,C52/10000-E2),0)</f>
        <v>16134</v>
      </c>
      <c r="C2" s="205" t="s">
        <v>2089</v>
      </c>
      <c r="D2" s="2007" t="s">
        <v>70</v>
      </c>
      <c r="E2" s="1302"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5960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5413908</v>
      </c>
      <c r="D5" s="217" t="s">
        <v>2095</v>
      </c>
      <c r="E5" s="218" t="s">
        <v>2096</v>
      </c>
      <c r="F5" s="218" t="s">
        <v>2097</v>
      </c>
      <c r="G5" s="219"/>
    </row>
    <row r="6" spans="1:8" s="220" customFormat="1" ht="13.5" customHeight="1">
      <c r="A6" s="885" t="s">
        <v>2098</v>
      </c>
      <c r="B6" s="221" t="s">
        <v>2099</v>
      </c>
      <c r="C6" s="222"/>
      <c r="D6" s="223"/>
      <c r="E6" s="224"/>
      <c r="F6" s="224"/>
      <c r="G6" s="225"/>
    </row>
    <row r="7" spans="1:8" s="220" customFormat="1" ht="13.5" customHeight="1">
      <c r="A7" s="885" t="s">
        <v>2100</v>
      </c>
      <c r="B7" s="221" t="s">
        <v>2101</v>
      </c>
      <c r="C7" s="226">
        <f>ROUND(C6*F7,0)</f>
        <v>0</v>
      </c>
      <c r="D7" s="226"/>
      <c r="E7" s="224"/>
      <c r="F7" s="227">
        <f>IF(项目基本情况!B8="出让",0,'数据-取费表'!B48+'数据-取费表'!B49)</f>
        <v>3.0499999999999999E-2</v>
      </c>
      <c r="G7" s="225"/>
    </row>
    <row r="8" spans="1:8" s="229" customFormat="1">
      <c r="A8" s="885" t="s">
        <v>2102</v>
      </c>
      <c r="B8" s="221" t="s">
        <v>2103</v>
      </c>
      <c r="C8" s="226">
        <f ca="1">IF(G8="已包含在土地购买价格中",0,C9+C10)</f>
        <v>5413908</v>
      </c>
      <c r="D8" s="228"/>
      <c r="E8" s="226"/>
      <c r="F8" s="227"/>
      <c r="G8" s="2010"/>
    </row>
    <row r="9" spans="1:8" s="220" customFormat="1" ht="13.5" customHeight="1">
      <c r="A9" s="886" t="s">
        <v>800</v>
      </c>
      <c r="B9" s="230" t="s">
        <v>2104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2106</v>
      </c>
      <c r="C10" s="231">
        <f ca="1">ROUND(D10*E10,0)</f>
        <v>5413908</v>
      </c>
      <c r="D10" s="953">
        <f ca="1">IF(B1="",'数据-汇总表'!E6,IF(INDIRECT("'数据-取费表'!c"&amp;$G$1)="住宅",INDIRECT("'数据-取费表'!s"&amp;$G$1),INDIRECT("'数据-取费表'!k"&amp;$G$1)+INDIRECT("'数据-取费表'!s"&amp;$G$1)))</f>
        <v>27069.539999999997</v>
      </c>
      <c r="E10" s="231">
        <f>'数据-取费表'!B28</f>
        <v>200</v>
      </c>
      <c r="F10" s="227"/>
      <c r="G10" s="232"/>
    </row>
    <row r="11" spans="1:8" s="220" customFormat="1" ht="13.5" hidden="1" customHeight="1">
      <c r="A11" s="233" t="s">
        <v>7</v>
      </c>
      <c r="B11" s="221" t="s">
        <v>2107</v>
      </c>
      <c r="C11" s="217"/>
      <c r="D11" s="955"/>
      <c r="E11" s="224"/>
      <c r="F11" s="224"/>
      <c r="G11" s="225"/>
    </row>
    <row r="12" spans="1:8" s="220" customFormat="1" ht="13.5" hidden="1" customHeight="1">
      <c r="A12" s="233" t="s">
        <v>8</v>
      </c>
      <c r="B12" s="221" t="s">
        <v>2190</v>
      </c>
      <c r="C12" s="217">
        <v>0</v>
      </c>
      <c r="D12" s="955"/>
      <c r="E12" s="234"/>
      <c r="F12" s="227">
        <v>3.0499999999999999E-2</v>
      </c>
      <c r="G12" s="225"/>
    </row>
    <row r="13" spans="1:8" s="220" customFormat="1" ht="13.5" hidden="1" customHeight="1">
      <c r="A13" s="233" t="s">
        <v>9</v>
      </c>
      <c r="B13" s="221" t="s">
        <v>2191</v>
      </c>
      <c r="C13" s="217"/>
      <c r="D13" s="955"/>
      <c r="E13" s="224"/>
      <c r="F13" s="224"/>
      <c r="G13" s="225"/>
    </row>
    <row r="14" spans="1:8" s="220" customFormat="1" ht="13.5" hidden="1" customHeight="1">
      <c r="A14" s="233" t="s">
        <v>10</v>
      </c>
      <c r="B14" s="221" t="s">
        <v>2103</v>
      </c>
      <c r="C14" s="217"/>
      <c r="D14" s="955"/>
      <c r="E14" s="224"/>
      <c r="F14" s="224"/>
      <c r="G14" s="225" t="s">
        <v>2192</v>
      </c>
    </row>
    <row r="15" spans="1:8" s="220" customFormat="1" ht="13.5" hidden="1" customHeight="1">
      <c r="A15" s="233" t="s">
        <v>11</v>
      </c>
      <c r="B15" s="221" t="s">
        <v>2193</v>
      </c>
      <c r="C15" s="226"/>
      <c r="D15" s="955"/>
      <c r="E15" s="224"/>
      <c r="F15" s="224"/>
      <c r="G15" s="225" t="s">
        <v>2194</v>
      </c>
    </row>
    <row r="16" spans="1:8" s="220" customFormat="1" ht="13.5" hidden="1" customHeight="1">
      <c r="A16" s="233" t="s">
        <v>12</v>
      </c>
      <c r="B16" s="221" t="s">
        <v>2103</v>
      </c>
      <c r="C16" s="226"/>
      <c r="D16" s="955"/>
      <c r="E16" s="224"/>
      <c r="F16" s="224"/>
      <c r="G16" s="225"/>
    </row>
    <row r="17" spans="1:7" s="220" customFormat="1" ht="13.5" hidden="1" customHeight="1">
      <c r="A17" s="233" t="s">
        <v>13</v>
      </c>
      <c r="B17" s="221" t="s">
        <v>2195</v>
      </c>
      <c r="C17" s="235"/>
      <c r="D17" s="956"/>
      <c r="E17" s="235"/>
      <c r="F17" s="235"/>
      <c r="G17" s="225" t="s">
        <v>2194</v>
      </c>
    </row>
    <row r="18" spans="1:7" s="220" customFormat="1" ht="13.5" hidden="1" customHeight="1">
      <c r="A18" s="233" t="s">
        <v>14</v>
      </c>
      <c r="B18" s="221" t="s">
        <v>2196</v>
      </c>
      <c r="C18" s="226">
        <v>0</v>
      </c>
      <c r="D18" s="955"/>
      <c r="E18" s="224"/>
      <c r="F18" s="227">
        <v>3.0499999999999999E-2</v>
      </c>
      <c r="G18" s="225" t="s">
        <v>2197</v>
      </c>
    </row>
    <row r="19" spans="1:7" s="229" customFormat="1" ht="13.5" customHeight="1">
      <c r="A19" s="261" t="s">
        <v>2198</v>
      </c>
      <c r="B19" s="216" t="s">
        <v>2199</v>
      </c>
      <c r="C19" s="217">
        <f ca="1">IF(G19="已包含在土地取得成本中","0",ROUND(D19*E19,0))</f>
        <v>5413908</v>
      </c>
      <c r="D19" s="957">
        <f ca="1">D9+D10</f>
        <v>27069.539999999997</v>
      </c>
      <c r="E19" s="217">
        <f>'数据-取费表'!B31</f>
        <v>200</v>
      </c>
      <c r="F19" s="237"/>
      <c r="G19" s="2010"/>
    </row>
    <row r="20" spans="1:7" s="220" customFormat="1" ht="13.5" customHeight="1">
      <c r="A20" s="261" t="s">
        <v>2200</v>
      </c>
      <c r="B20" s="216" t="s">
        <v>2201</v>
      </c>
      <c r="C20" s="238">
        <f ca="1">ROUND((C5+C19)*F20,0)</f>
        <v>216556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937731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7" t="s">
        <v>2098</v>
      </c>
      <c r="B23" s="221" t="s">
        <v>2209</v>
      </c>
      <c r="C23" s="1261">
        <f ca="1">ROUND(IF('数据-取费表'!B22&lt;=1,C5*F22*'数据-取费表'!B22,C5*(POWER((1+F22),'数据-取费表'!B22)-1)),0)</f>
        <v>464318</v>
      </c>
      <c r="D23" s="244"/>
      <c r="E23" s="244"/>
      <c r="F23" s="245"/>
      <c r="G23" s="246" t="s">
        <v>2210</v>
      </c>
    </row>
    <row r="24" spans="1:7" s="220" customFormat="1" ht="13.5" customHeight="1">
      <c r="A24" s="887" t="s">
        <v>2100</v>
      </c>
      <c r="B24" s="221" t="s">
        <v>2211</v>
      </c>
      <c r="C24" s="1261">
        <f ca="1">ROUND(IF('数据-取费表'!B22&lt;=1,C19*F22*('数据-取费表'!B19/2+'数据-取费表'!B20),C19*(POWER((1+F22),('数据-取费表'!B19/2+'数据-取费表'!B20))-1)),0)</f>
        <v>464318</v>
      </c>
      <c r="D24" s="244"/>
      <c r="E24" s="244"/>
      <c r="F24" s="245"/>
      <c r="G24" s="246" t="s">
        <v>2212</v>
      </c>
    </row>
    <row r="25" spans="1:7" s="220" customFormat="1" ht="24">
      <c r="A25" s="887" t="s">
        <v>2102</v>
      </c>
      <c r="B25" s="221" t="s">
        <v>2213</v>
      </c>
      <c r="C25" s="1261">
        <f ca="1">ROUND(IF('数据-取费表'!B22&lt;=1,C20*F22*'数据-取费表'!B22/2,C20*(POWER((1+F22),'数据-取费表'!B22/2)-1)),0)</f>
        <v>9095</v>
      </c>
      <c r="D25" s="244"/>
      <c r="E25" s="247"/>
      <c r="F25" s="245"/>
      <c r="G25" s="248" t="s">
        <v>2214</v>
      </c>
    </row>
    <row r="26" spans="1:7" s="220" customFormat="1">
      <c r="A26" s="887"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1546212</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ROUND((C5+C19+C20)*F27,0)</f>
        <v>1546212</v>
      </c>
      <c r="D28" s="241"/>
      <c r="E28" s="242"/>
      <c r="F28" s="252"/>
      <c r="G28" s="253"/>
    </row>
    <row r="29" spans="1:7" s="220" customFormat="1" ht="13.5" customHeight="1">
      <c r="A29" s="887" t="s">
        <v>792</v>
      </c>
      <c r="B29" s="254" t="s">
        <v>2143</v>
      </c>
      <c r="C29" s="244">
        <f ca="1">ROUND(C21*F27,4)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14641034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114724179</v>
      </c>
      <c r="D33" s="238"/>
      <c r="E33" s="218"/>
      <c r="F33" s="247"/>
      <c r="G33" s="240"/>
    </row>
    <row r="34" spans="1:7" s="264" customFormat="1" ht="13.5" customHeight="1">
      <c r="A34" s="887" t="s">
        <v>791</v>
      </c>
      <c r="B34" s="221" t="s">
        <v>2151</v>
      </c>
      <c r="C34" s="226">
        <f ca="1">ROUND(IF(B1="",SUMPRODUCT('数据-取费表'!K6:K14,'数据-取费表'!L6:L14),INDIRECT("'数据-取费表'!l"&amp;$G$1)*INDIRECT("'数据-取费表'!k"&amp;$G$1)+'数据-取费表'!L14*INDIRECT("'数据-取费表'!S"&amp;$G$1)),0)</f>
        <v>104603130</v>
      </c>
      <c r="D34" s="223"/>
      <c r="E34" s="226"/>
      <c r="F34" s="263"/>
      <c r="G34" s="225"/>
    </row>
    <row r="35" spans="1:7" ht="13.5" customHeight="1">
      <c r="A35" s="887" t="s">
        <v>796</v>
      </c>
      <c r="B35" s="221" t="s">
        <v>2153</v>
      </c>
      <c r="C35" s="226">
        <f ca="1">ROUND(C34*F35,0)</f>
        <v>3138094</v>
      </c>
      <c r="D35" s="226"/>
      <c r="E35" s="226"/>
      <c r="F35" s="265">
        <f>'数据-取费表'!B33</f>
        <v>0.03</v>
      </c>
      <c r="G35" s="225" t="s">
        <v>2154</v>
      </c>
    </row>
    <row r="36" spans="1:7" ht="24">
      <c r="A36" s="887"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7" t="s">
        <v>798</v>
      </c>
      <c r="B37" s="221" t="s">
        <v>2157</v>
      </c>
      <c r="C37" s="255">
        <f ca="1">ROUND(E37*D37,0)</f>
        <v>5413908</v>
      </c>
      <c r="D37" s="223">
        <f ca="1">D19</f>
        <v>27069.539999999997</v>
      </c>
      <c r="E37" s="255">
        <f>'数据-取费表'!B35</f>
        <v>200</v>
      </c>
      <c r="F37" s="265"/>
      <c r="G37" s="267"/>
    </row>
    <row r="38" spans="1:7" ht="13.5" customHeight="1">
      <c r="A38" s="887" t="s">
        <v>799</v>
      </c>
      <c r="B38" s="221" t="s">
        <v>2159</v>
      </c>
      <c r="C38" s="226">
        <f ca="1">ROUND(C34*F38,0)</f>
        <v>1569047</v>
      </c>
      <c r="D38" s="226"/>
      <c r="E38" s="226"/>
      <c r="F38" s="265">
        <f>'数据-取费表'!B36</f>
        <v>1.4999999999999999E-2</v>
      </c>
      <c r="G38" s="225" t="s">
        <v>2154</v>
      </c>
    </row>
    <row r="39" spans="1:7" s="220" customFormat="1" ht="13.5" customHeight="1">
      <c r="A39" s="261" t="s">
        <v>2160</v>
      </c>
      <c r="B39" s="216" t="s">
        <v>2161</v>
      </c>
      <c r="C39" s="238">
        <f ca="1">ROUND(C33*F20,0)</f>
        <v>2294484</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4914784</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ROUND(IF('数据-取费表'!B22&lt;=1,C33*F22*'数据-取费表'!B20/2,C33*(POWER((1+F22),'数据-取费表'!B20/2)-1)),0)</f>
        <v>4818416</v>
      </c>
      <c r="D42" s="244"/>
      <c r="E42" s="244"/>
      <c r="F42" s="245"/>
      <c r="G42" s="3430" t="s">
        <v>2217</v>
      </c>
    </row>
    <row r="43" spans="1:7" ht="13.5" customHeight="1">
      <c r="A43" s="887" t="s">
        <v>792</v>
      </c>
      <c r="B43" s="221" t="s">
        <v>2171</v>
      </c>
      <c r="C43" s="244">
        <f ca="1">ROUND(IF('数据-取费表'!B22&lt;=1,C39*F22*'数据-取费表'!B20/2,C39*(POWER((1+F22),'数据-取费表'!B20/2)-1)),0)</f>
        <v>96368</v>
      </c>
      <c r="D43" s="244"/>
      <c r="E43" s="244"/>
      <c r="F43" s="245"/>
      <c r="G43" s="3431"/>
    </row>
    <row r="44" spans="1:7" ht="13.5" customHeight="1">
      <c r="A44" s="887" t="s">
        <v>793</v>
      </c>
      <c r="B44" s="221" t="s">
        <v>2172</v>
      </c>
      <c r="C44" s="244">
        <f ca="1">ROUND(IF('数据-取费表'!B22&lt;=1,C40*F22*'数据-取费表'!B20/2,C40*(POWER((1+F22),'数据-取费表'!B20/2)-1)),4)</f>
        <v>8.0000000000000004E-4</v>
      </c>
      <c r="D44" s="244"/>
      <c r="E44" s="244"/>
      <c r="F44" s="245"/>
      <c r="G44" s="3432"/>
    </row>
    <row r="45" spans="1:7" s="220" customFormat="1" ht="13.5" customHeight="1">
      <c r="A45" s="261" t="s">
        <v>2173</v>
      </c>
      <c r="B45" s="250" t="s">
        <v>2139</v>
      </c>
      <c r="C45" s="251">
        <f ca="1">C46</f>
        <v>16382613</v>
      </c>
      <c r="D45" s="241">
        <f ca="1">C47</f>
        <v>2.8E-3</v>
      </c>
      <c r="E45" s="242" t="s">
        <v>2165</v>
      </c>
      <c r="F45" s="2505">
        <f ca="1">F27</f>
        <v>0.14000000000000001</v>
      </c>
      <c r="G45" s="253" t="s">
        <v>2174</v>
      </c>
    </row>
    <row r="46" spans="1:7" s="220" customFormat="1" ht="13.5" customHeight="1">
      <c r="A46" s="887" t="s">
        <v>791</v>
      </c>
      <c r="B46" s="254" t="s">
        <v>2175</v>
      </c>
      <c r="C46" s="255">
        <f ca="1">ROUND((C33+C39)*F27,0)</f>
        <v>16382613</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268">
        <f>ROUND(F30/(1+'数据-取费表'!C42),4)</f>
        <v>5.2400000000000002E-2</v>
      </c>
      <c r="D48" s="242" t="s">
        <v>2165</v>
      </c>
      <c r="E48" s="238"/>
      <c r="F48" s="2504">
        <f>F30</f>
        <v>5.5000000000000007E-2</v>
      </c>
      <c r="G48" s="240" t="s">
        <v>2178</v>
      </c>
    </row>
    <row r="49" spans="1:7" ht="16.5" customHeight="1">
      <c r="A49" s="261" t="s">
        <v>2144</v>
      </c>
      <c r="B49" s="216" t="s">
        <v>2218</v>
      </c>
      <c r="C49" s="238">
        <f ca="1">ROUND((C33+C39+C41+C45)/(1-C40-D41-D45-C48),0)</f>
        <v>149692706</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146698852</v>
      </c>
      <c r="D51" s="238"/>
      <c r="E51" s="238"/>
      <c r="F51" s="270"/>
      <c r="G51" s="240" t="s">
        <v>2186</v>
      </c>
    </row>
    <row r="52" spans="1:7" s="214" customFormat="1" ht="16.5" thickBot="1">
      <c r="A52" s="271" t="s">
        <v>2187</v>
      </c>
      <c r="B52" s="272"/>
      <c r="C52" s="273">
        <f ca="1">C31+C51</f>
        <v>161339886</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2220</v>
      </c>
      <c r="B1" s="1324"/>
      <c r="C1" s="1325"/>
      <c r="D1" s="1323"/>
      <c r="E1" s="3005"/>
      <c r="F1" s="3005"/>
      <c r="G1" s="2868"/>
      <c r="H1" s="3005"/>
      <c r="I1" s="3005"/>
      <c r="J1" s="3005"/>
      <c r="K1" s="3006">
        <f>MATCH(C1,'数据-取费表'!A6:A16,0)+5</f>
        <v>9</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9"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5"/>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5"/>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27069.539999999997</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27069.539999999997</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0</v>
      </c>
      <c r="D18" s="954"/>
      <c r="E18" s="24"/>
      <c r="F18" s="912"/>
      <c r="G18" s="2016"/>
      <c r="H18" s="1320"/>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2"/>
      <c r="I19" s="917"/>
      <c r="J19" s="917"/>
      <c r="K19" s="918"/>
    </row>
    <row r="20" spans="1:33" s="911" customFormat="1" ht="13.5" customHeight="1">
      <c r="A20" s="907" t="s">
        <v>806</v>
      </c>
      <c r="B20" s="908" t="s">
        <v>2256</v>
      </c>
      <c r="C20" s="24">
        <f ca="1">ROUND(D20*E20/10000,0)</f>
        <v>541</v>
      </c>
      <c r="D20" s="954">
        <f ca="1">IF(C1="",'数据-汇总表'!E6,IF(INDIRECT("'数据-取费表'!c"&amp;$K$1)="住宅",INDIRECT("'数据-取费表'!s"&amp;$K$1),INDIRECT("'数据-取费表'!k"&amp;$K$1)+INDIRECT("'数据-取费表'!s"&amp;$K$1)))</f>
        <v>27069.539999999997</v>
      </c>
      <c r="E20" s="24">
        <f>'数据-取费表'!B28</f>
        <v>200</v>
      </c>
      <c r="F20" s="912"/>
      <c r="G20" s="15"/>
      <c r="H20" s="917"/>
      <c r="I20" s="917"/>
      <c r="J20" s="917"/>
      <c r="K20" s="918"/>
    </row>
    <row r="21" spans="1:33" s="911" customFormat="1" ht="13.5" customHeight="1">
      <c r="A21" s="897" t="s">
        <v>802</v>
      </c>
      <c r="B21" s="921" t="s">
        <v>2257</v>
      </c>
      <c r="C21" s="922">
        <f ca="1">C16+C17+C18</f>
        <v>0</v>
      </c>
      <c r="D21" s="923"/>
      <c r="E21" s="287"/>
      <c r="F21" s="287"/>
      <c r="G21" s="136" t="s">
        <v>2258</v>
      </c>
      <c r="H21" s="915"/>
      <c r="I21" s="915"/>
      <c r="J21" s="915"/>
      <c r="K21" s="916"/>
    </row>
    <row r="22" spans="1:33" s="911" customFormat="1" ht="13.5" customHeight="1">
      <c r="A22" s="897" t="s">
        <v>2230</v>
      </c>
      <c r="B22" s="921" t="s">
        <v>2259</v>
      </c>
      <c r="C22" s="922">
        <f ca="1">ROUND(C21*F22,0)</f>
        <v>0</v>
      </c>
      <c r="D22" s="287"/>
      <c r="E22" s="287"/>
      <c r="F22" s="924">
        <f>'数据-取费表'!B37</f>
        <v>0.02</v>
      </c>
      <c r="G22" s="8" t="s">
        <v>2260</v>
      </c>
      <c r="H22" s="904"/>
      <c r="I22" s="904"/>
      <c r="J22" s="904"/>
      <c r="K22" s="905"/>
    </row>
    <row r="23" spans="1:33" s="911" customFormat="1" ht="13.5" customHeight="1">
      <c r="A23" s="897" t="s">
        <v>2232</v>
      </c>
      <c r="B23" s="921" t="s">
        <v>2261</v>
      </c>
      <c r="C23" s="922">
        <f ca="1">ROUND(C4*F23*F11,0)</f>
        <v>0</v>
      </c>
      <c r="D23" s="287"/>
      <c r="E23" s="287"/>
      <c r="F23" s="924">
        <f>'数据-取费表'!B38</f>
        <v>0.02</v>
      </c>
      <c r="G23" s="8" t="s">
        <v>2262</v>
      </c>
      <c r="H23" s="904"/>
      <c r="I23" s="904"/>
      <c r="J23" s="904"/>
      <c r="K23" s="905"/>
    </row>
    <row r="24" spans="1:33" s="911" customFormat="1" ht="13.5" customHeight="1">
      <c r="A24" s="897" t="s">
        <v>2263</v>
      </c>
      <c r="B24" s="921" t="s">
        <v>2264</v>
      </c>
      <c r="C24" s="286">
        <f>ROUND(F24/(1+'数据-取费表'!C42),4)</f>
        <v>2.9000000000000001E-2</v>
      </c>
      <c r="D24" s="287" t="s">
        <v>15</v>
      </c>
      <c r="E24" s="287"/>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2270</v>
      </c>
      <c r="B28" s="2019" t="s">
        <v>2271</v>
      </c>
      <c r="C28" s="293">
        <f ca="1">C30</f>
        <v>0</v>
      </c>
      <c r="D28" s="286">
        <f ca="1">C29</f>
        <v>0</v>
      </c>
      <c r="E28" s="288" t="s">
        <v>15</v>
      </c>
      <c r="F28" s="294">
        <f ca="1">IF(C1="",'数据-取费表'!Q16,INDIRECT("'数据-取费表'!q"&amp;$K$1))</f>
        <v>0.14000000000000001</v>
      </c>
      <c r="G28" s="925"/>
      <c r="H28" s="926"/>
      <c r="I28" s="926"/>
      <c r="J28" s="926"/>
      <c r="K28" s="927"/>
    </row>
    <row r="29" spans="1:33" s="297" customFormat="1" ht="13.5" customHeight="1">
      <c r="A29" s="907" t="s">
        <v>803</v>
      </c>
      <c r="B29" s="930" t="s">
        <v>2272</v>
      </c>
      <c r="C29" s="290">
        <f ca="1">ROUND((1+C24)*F28*'数据-取费表'!B24/'数据-取费表'!B20,4)</f>
        <v>0</v>
      </c>
      <c r="D29" s="290"/>
      <c r="E29" s="291"/>
      <c r="F29" s="296"/>
      <c r="G29" s="136" t="s">
        <v>2273</v>
      </c>
      <c r="H29" s="915"/>
      <c r="I29" s="915"/>
      <c r="J29" s="915"/>
      <c r="K29" s="916"/>
    </row>
    <row r="30" spans="1:33" s="297" customFormat="1" ht="13.5" customHeight="1">
      <c r="A30" s="907" t="s">
        <v>804</v>
      </c>
      <c r="B30" s="930" t="s">
        <v>2274</v>
      </c>
      <c r="C30" s="298">
        <f ca="1">ROUND((C21+C22+C23)*F28,0)</f>
        <v>0</v>
      </c>
      <c r="D30" s="290"/>
      <c r="E30" s="291"/>
      <c r="F30" s="296"/>
      <c r="G30" s="136"/>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L23" sqref="L23"/>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24648.489999999998</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26942</v>
      </c>
      <c r="C2" s="2153" t="s">
        <v>2574</v>
      </c>
      <c r="D2" s="2154" t="s">
        <v>2575</v>
      </c>
      <c r="E2" s="2155" t="s">
        <v>27</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24712</v>
      </c>
      <c r="U2" s="1346"/>
      <c r="V2" s="1345">
        <f>ROUND(T2*U2/10000,0)</f>
        <v>0</v>
      </c>
      <c r="W2" s="1349"/>
      <c r="X2" s="1349"/>
      <c r="Y2" s="1349"/>
      <c r="Z2" s="1349"/>
      <c r="AA2" s="1349"/>
      <c r="AB2" s="1349"/>
      <c r="AC2" s="1350"/>
      <c r="AD2" s="1351"/>
      <c r="AE2" s="1351"/>
      <c r="AF2" s="1351"/>
      <c r="AG2" s="1351"/>
      <c r="AH2" s="1351"/>
      <c r="AI2" s="1351"/>
      <c r="AJ2" s="1352"/>
    </row>
    <row r="3" spans="1:36" ht="25.5">
      <c r="A3" s="209" t="s">
        <v>2579</v>
      </c>
      <c r="B3" s="210">
        <f>ROUND(B2*10000/D1,0)</f>
        <v>10930</v>
      </c>
      <c r="C3" s="2153" t="s">
        <v>2580</v>
      </c>
      <c r="D3" s="2154" t="s">
        <v>2581</v>
      </c>
      <c r="E3" s="2159" t="s">
        <v>3169</v>
      </c>
      <c r="F3" s="2160" t="s">
        <v>3179</v>
      </c>
      <c r="G3" s="854">
        <f>IF(F3="宗地容积率",'数据-汇总表'!I4,IF(F3="估价对象容积率",'数据-汇总表'!I6,'数据-汇总表'!I7))</f>
        <v>3.1</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17738</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36"/>
      <c r="B4" s="3437"/>
      <c r="C4" s="3437"/>
      <c r="D4" s="3438"/>
      <c r="E4" s="3438"/>
      <c r="F4" s="3438"/>
      <c r="G4" s="3438"/>
      <c r="H4" s="3438"/>
      <c r="I4" s="3438"/>
      <c r="J4" s="3439"/>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14311</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9734</v>
      </c>
      <c r="D5" s="1492">
        <f>ROUND(C6+C16,0)</f>
        <v>9734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11483</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9770</v>
      </c>
      <c r="D6" s="2173" t="s">
        <v>2590</v>
      </c>
      <c r="E6" s="2174"/>
      <c r="F6" s="2174"/>
      <c r="G6" s="2175"/>
      <c r="H6" s="2175"/>
      <c r="I6" s="2175"/>
      <c r="J6" s="2176"/>
      <c r="K6" s="1537"/>
      <c r="L6" s="2158" t="s">
        <v>2591</v>
      </c>
      <c r="M6" s="994">
        <f>SUMPRODUCT((区片价!B110:B157=I2)*(区片价!C3:F3=E2)*(区片价!C110:F157))</f>
        <v>9770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9778</v>
      </c>
      <c r="U6" s="1346"/>
      <c r="V6" s="1345">
        <f t="shared" si="1"/>
        <v>0</v>
      </c>
      <c r="W6" s="1349"/>
      <c r="X6" s="1349"/>
      <c r="Y6" s="1349"/>
      <c r="Z6" s="1349"/>
      <c r="AA6" s="1349"/>
      <c r="AB6" s="1349"/>
      <c r="AC6" s="2167"/>
      <c r="AD6" s="2168"/>
      <c r="AE6" s="2168"/>
      <c r="AF6" s="2168"/>
      <c r="AG6" s="2168"/>
      <c r="AH6" s="2168"/>
      <c r="AI6" s="2168"/>
      <c r="AJ6" s="2169"/>
    </row>
    <row r="7" spans="1:36" ht="24">
      <c r="A7" s="3440" t="str">
        <f>IF(E2="商业",IF(C8="不临58条商业街","",2),"")</f>
        <v/>
      </c>
      <c r="B7" s="2177" t="s">
        <v>2592</v>
      </c>
      <c r="C7" s="857" t="e">
        <f>IF(C8="不临58条商业街",1,ROUND(1+(1.6*E8+1.2*E9+0.8*E10+0.4*E11)*C9,4))</f>
        <v>#DIV/0!</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8599</v>
      </c>
      <c r="U7" s="1346"/>
      <c r="V7" s="1345">
        <f t="shared" si="1"/>
        <v>0</v>
      </c>
      <c r="W7" s="1511" t="s">
        <v>2595</v>
      </c>
      <c r="X7" s="1347" t="str">
        <f>G2</f>
        <v>六级</v>
      </c>
      <c r="Y7" s="1347" t="s">
        <v>2596</v>
      </c>
      <c r="Z7" s="1348">
        <f>G3</f>
        <v>3.1</v>
      </c>
      <c r="AA7" s="1349"/>
      <c r="AB7" s="1349"/>
      <c r="AC7" s="1350"/>
      <c r="AD7" s="1351"/>
      <c r="AE7" s="1351"/>
      <c r="AF7" s="1351"/>
      <c r="AG7" s="1351"/>
      <c r="AH7" s="1351"/>
      <c r="AI7" s="1351"/>
      <c r="AJ7" s="1352"/>
    </row>
    <row r="8" spans="1:36" ht="15">
      <c r="A8" s="3441"/>
      <c r="B8" s="175" t="s">
        <v>2597</v>
      </c>
      <c r="C8" s="2182"/>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33" t="s">
        <v>2600</v>
      </c>
      <c r="X8" s="3434"/>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1"/>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35"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1"/>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3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1"/>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35" t="s">
        <v>2624</v>
      </c>
      <c r="X11" s="1357" t="s">
        <v>2625</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40"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35"/>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2"/>
      <c r="B13" s="2196" t="s">
        <v>2631</v>
      </c>
      <c r="C13" s="2197" t="s">
        <v>2632</v>
      </c>
      <c r="D13" s="1503" t="s">
        <v>2633</v>
      </c>
      <c r="E13" s="1503"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35"/>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2"/>
      <c r="B14" s="2200"/>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3"/>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40" t="s">
        <v>2643</v>
      </c>
      <c r="B16" s="2177" t="s">
        <v>2644</v>
      </c>
      <c r="C16" s="2339">
        <f>ROUND(IF(F17="与级别开发程度一致",0,(G17-E17)/C17),0)</f>
        <v>-36</v>
      </c>
      <c r="D16" s="3456" t="s">
        <v>2648</v>
      </c>
      <c r="E16" s="3457"/>
      <c r="F16" s="3456" t="s">
        <v>2645</v>
      </c>
      <c r="G16" s="345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4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0.95589999999999997</v>
      </c>
      <c r="D20" s="2226" t="s">
        <v>2657</v>
      </c>
      <c r="E20" s="1474">
        <f>存贷款利率!E20/100</f>
        <v>4.3499999999999997E-2</v>
      </c>
      <c r="F20" s="2226" t="s">
        <v>2649</v>
      </c>
      <c r="G20" s="872">
        <f>SUMIF(M26:P26,E2,M28:P28)</f>
        <v>5.1999999999999998E-2</v>
      </c>
      <c r="H20" s="2226" t="s">
        <v>2658</v>
      </c>
      <c r="I20" s="873">
        <f>SUMIF('数据-取费表'!C6:C15,E2,'数据-取费表'!F6:F15)/COUNTIF('数据-取费表'!C6:C15,E2)</f>
        <v>41.85</v>
      </c>
      <c r="J20" s="874">
        <f>IF(E2="住宅",70,IF(E2="商业",40,50))</f>
        <v>50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3178</v>
      </c>
      <c r="C21" s="875">
        <f>IF(B21="容积率修正",IF(G3&lt;=10,D22,J22),C23)</f>
        <v>0.93330000000000002</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5" t="s">
        <v>2666</v>
      </c>
      <c r="D22" s="1505">
        <f>IF(E22=G22,F22,IF(G3&lt;=10,ROUND(F22+(H22-F22)*(G3-E22)/(G22-E22),4),"——"))</f>
        <v>0.93330000000000002</v>
      </c>
      <c r="E22" s="854">
        <f>ROUNDDOWN(G3,1)</f>
        <v>3.1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0.93330000000000002</v>
      </c>
      <c r="G22" s="854">
        <f>ROUNDUP(G3,1)</f>
        <v>3.1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1505"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1.0448999999999999</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26942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244</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12381</v>
      </c>
      <c r="D29" s="2264">
        <f>'数据-汇总表'!F19</f>
        <v>20973.46</v>
      </c>
      <c r="E29" s="878">
        <f>ROUND(C29*D29/10000,0)</f>
        <v>25967</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3095</v>
      </c>
      <c r="D30" s="2270"/>
      <c r="E30" s="878">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53"/>
      <c r="B33" s="2280" t="s">
        <v>2689</v>
      </c>
      <c r="C33" s="180">
        <f>ROUND(D5*C19*C20*C24*F33,0)</f>
        <v>9286</v>
      </c>
      <c r="D33" s="2264"/>
      <c r="E33" s="176">
        <f>ROUND(C33*D33/10000,0)</f>
        <v>0</v>
      </c>
      <c r="F33" s="176">
        <f>SUMIF(修正!A45:A56,G2,修正!B45:B56)</f>
        <v>0.7</v>
      </c>
      <c r="G33" s="176">
        <f t="shared" ref="G33" si="6">ROUND(IF(E2="工业",C33*$M$39,C33*$M$38),0)</f>
        <v>2322</v>
      </c>
      <c r="H33" s="176">
        <f>D33</f>
        <v>0</v>
      </c>
      <c r="I33" s="176">
        <f>ROUND(G33*H33/10000,0)</f>
        <v>0</v>
      </c>
      <c r="J33" s="345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54"/>
      <c r="B34" s="2197" t="s">
        <v>2690</v>
      </c>
      <c r="C34" s="180">
        <f>ROUND(D5*C19*C20*C24*F34,0)</f>
        <v>5306</v>
      </c>
      <c r="D34" s="2264"/>
      <c r="E34" s="176">
        <f t="shared" ref="E34:E39" si="7">ROUND(C34*D34/10000,0)</f>
        <v>0</v>
      </c>
      <c r="F34" s="176">
        <f>SUMIF(修正!A45:A56,G2,修正!C45:C56)</f>
        <v>0.4</v>
      </c>
      <c r="G34" s="176">
        <f>ROUND(IF(E2="工业",C34*$M$39,C34*$M$38),0)</f>
        <v>1327</v>
      </c>
      <c r="H34" s="176">
        <f t="shared" ref="H34:H39" si="8">D34</f>
        <v>0</v>
      </c>
      <c r="I34" s="176">
        <f t="shared" ref="I34:I39" si="9">ROUND(G34*H34/10000,0)</f>
        <v>0</v>
      </c>
      <c r="J34" s="345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54"/>
      <c r="B35" s="2197" t="s">
        <v>2691</v>
      </c>
      <c r="C35" s="180">
        <f>ROUND(D5*C19*C20*C24*F35,0)</f>
        <v>3714</v>
      </c>
      <c r="D35" s="2264"/>
      <c r="E35" s="176">
        <f t="shared" si="7"/>
        <v>0</v>
      </c>
      <c r="F35" s="176">
        <f>SUMIF(修正!A45:A56,G2,修正!D45:D56)</f>
        <v>0.28000000000000003</v>
      </c>
      <c r="G35" s="176">
        <f>ROUND(IF(E2="工业",C35*$M$39,C35*$M$38),0)</f>
        <v>929</v>
      </c>
      <c r="H35" s="176">
        <f t="shared" si="8"/>
        <v>0</v>
      </c>
      <c r="I35" s="176">
        <f t="shared" si="9"/>
        <v>0</v>
      </c>
      <c r="J35" s="345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55"/>
      <c r="B36" s="2197" t="s">
        <v>2692</v>
      </c>
      <c r="C36" s="180">
        <f>ROUND(D5*C19*C20*C24*F36,0)</f>
        <v>3316</v>
      </c>
      <c r="D36" s="2264"/>
      <c r="E36" s="176">
        <f t="shared" si="7"/>
        <v>0</v>
      </c>
      <c r="F36" s="176">
        <f>SUMIF(修正!A45:A56,G2,修正!E45:E56)</f>
        <v>0.25</v>
      </c>
      <c r="G36" s="176">
        <f>ROUND(IF(E2="工业",C36*$M$39,C36*$M$38),0)</f>
        <v>829</v>
      </c>
      <c r="H36" s="176">
        <f t="shared" si="8"/>
        <v>0</v>
      </c>
      <c r="I36" s="176">
        <f t="shared" si="9"/>
        <v>0</v>
      </c>
      <c r="J36" s="345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3316</v>
      </c>
      <c r="D37" s="2264"/>
      <c r="E37" s="176">
        <f t="shared" si="7"/>
        <v>0</v>
      </c>
      <c r="F37" s="180">
        <f>SUMIF(修正!A45:A56,G2,修正!F45:F56)</f>
        <v>0.25</v>
      </c>
      <c r="G37" s="176">
        <f>ROUND(IF(E2="工业",C37*$M$39,C37*$M$38),0)</f>
        <v>829</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3316</v>
      </c>
      <c r="D38" s="2264"/>
      <c r="E38" s="176">
        <f t="shared" si="7"/>
        <v>0</v>
      </c>
      <c r="F38" s="180">
        <f>SUMIF(修正!A45:A56,G2,修正!G45:G56)</f>
        <v>0.25</v>
      </c>
      <c r="G38" s="176">
        <f>ROUND(IF(E2="工业",C38*$M$39,C38*$M$38),0)</f>
        <v>829</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2653</v>
      </c>
      <c r="D39" s="2270">
        <f>'数据-汇总表'!G21</f>
        <v>3675.03</v>
      </c>
      <c r="E39" s="193">
        <f t="shared" si="7"/>
        <v>975</v>
      </c>
      <c r="F39" s="870">
        <f>SUMIF(修正!A45:A56,G2,修正!H45:H56)</f>
        <v>0.2</v>
      </c>
      <c r="G39" s="193">
        <f>ROUND(IF(E2="工业",C39*$M$39,C39*$M$38),0)</f>
        <v>663</v>
      </c>
      <c r="H39" s="193">
        <f t="shared" si="8"/>
        <v>3675.03</v>
      </c>
      <c r="I39" s="193">
        <f t="shared" si="9"/>
        <v>244</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0.95589999999999997</v>
      </c>
      <c r="D41" s="176" t="s">
        <v>2649</v>
      </c>
      <c r="E41" s="2337">
        <f>G20</f>
        <v>5.1999999999999998E-2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1.0448999999999999</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5">SUMIF($J$58:$N$58,C59,J59:N59)</f>
        <v>0</v>
      </c>
      <c r="E59" s="759">
        <f>ROUND(SUM(D59:D67),4)</f>
        <v>4.4900000000000002E-2</v>
      </c>
      <c r="F59" s="1968">
        <f>IF(E2="办公",SUMIF(L1:L12,G2,N1:N12),"——")</f>
        <v>0.125</v>
      </c>
      <c r="G59" s="1193">
        <f>H59</f>
        <v>1.4999999999999999E-2</v>
      </c>
      <c r="H59" s="1197">
        <f t="shared" ref="H59:H67" si="16">IFERROR(ROUNDDOWN($F$59*I59/2,4),"——")</f>
        <v>1.4999999999999999E-2</v>
      </c>
      <c r="I59" s="758">
        <v>0.24</v>
      </c>
      <c r="J59" s="1194">
        <f t="shared" ref="J59:J67" si="17">K59+$G59</f>
        <v>0.03</v>
      </c>
      <c r="K59" s="1194">
        <f t="shared" ref="K59:K67" si="18">$L59+$G59</f>
        <v>1.4999999999999999E-2</v>
      </c>
      <c r="L59" s="1194">
        <v>0</v>
      </c>
      <c r="M59" s="1194">
        <f t="shared" ref="M59:N67" si="19">L59-$G59</f>
        <v>-1.4999999999999999E-2</v>
      </c>
      <c r="N59" s="1194">
        <f t="shared" si="19"/>
        <v>-0.03</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f t="shared" si="15"/>
        <v>1.8700000000000001E-2</v>
      </c>
      <c r="E60" s="760"/>
      <c r="F60" s="1968"/>
      <c r="G60" s="1193">
        <f t="shared" ref="G60:G67" si="20">H60</f>
        <v>1.8700000000000001E-2</v>
      </c>
      <c r="H60" s="1197">
        <f t="shared" si="16"/>
        <v>1.8700000000000001E-2</v>
      </c>
      <c r="I60" s="758">
        <v>0.3</v>
      </c>
      <c r="J60" s="1194">
        <f t="shared" si="17"/>
        <v>3.7400000000000003E-2</v>
      </c>
      <c r="K60" s="1194">
        <f t="shared" si="18"/>
        <v>1.8700000000000001E-2</v>
      </c>
      <c r="L60" s="1194">
        <v>0</v>
      </c>
      <c r="M60" s="1194">
        <f t="shared" si="19"/>
        <v>-1.8700000000000001E-2</v>
      </c>
      <c r="N60" s="1194">
        <f t="shared" si="19"/>
        <v>-3.7400000000000003E-2</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f t="shared" si="15"/>
        <v>5.0000000000000001E-3</v>
      </c>
      <c r="E61" s="760"/>
      <c r="F61" s="1968"/>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f t="shared" si="15"/>
        <v>2.5000000000000001E-3</v>
      </c>
      <c r="E62" s="760"/>
      <c r="F62" s="1968"/>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f t="shared" si="15"/>
        <v>-3.0999999999999999E-3</v>
      </c>
      <c r="E63" s="760"/>
      <c r="F63" s="1968"/>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f t="shared" si="15"/>
        <v>3.0999999999999999E-3</v>
      </c>
      <c r="E64" s="760"/>
      <c r="F64" s="1968"/>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f t="shared" si="15"/>
        <v>3.7000000000000002E-3</v>
      </c>
      <c r="E65" s="760"/>
      <c r="F65" s="1968"/>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f t="shared" si="15"/>
        <v>1.4999999999999999E-2</v>
      </c>
      <c r="E66" s="760"/>
      <c r="F66" s="1968"/>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3185</v>
      </c>
      <c r="D67" s="1195">
        <f t="shared" si="15"/>
        <v>0</v>
      </c>
      <c r="E67" s="763"/>
      <c r="F67" s="1968"/>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1">SUMIF($J$69:$N$69,C70,J70:N70)</f>
        <v>0</v>
      </c>
      <c r="E70" s="759">
        <f>ROUND(SUM(D70:D78),4)</f>
        <v>0</v>
      </c>
      <c r="F70" s="1968"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1"/>
        <v>0</v>
      </c>
      <c r="E71" s="764"/>
      <c r="F71" s="1968"/>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1"/>
        <v>0</v>
      </c>
      <c r="E72" s="764"/>
      <c r="F72" s="1968"/>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1"/>
        <v>0</v>
      </c>
      <c r="E73" s="764"/>
      <c r="F73" s="1968"/>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1"/>
        <v>0</v>
      </c>
      <c r="E74" s="764"/>
      <c r="F74" s="1968"/>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1"/>
        <v>0</v>
      </c>
      <c r="E75" s="764"/>
      <c r="F75" s="1968"/>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1"/>
        <v>0</v>
      </c>
      <c r="E76" s="764"/>
      <c r="F76" s="1968"/>
      <c r="G76" s="1193"/>
      <c r="H76" s="1197" t="str">
        <f t="shared" si="22"/>
        <v>——</v>
      </c>
      <c r="I76" s="758">
        <v>0.05</v>
      </c>
      <c r="J76" s="1194">
        <f t="shared" si="23"/>
        <v>0</v>
      </c>
      <c r="K76" s="1194">
        <f t="shared" si="24"/>
        <v>0</v>
      </c>
      <c r="L76" s="1194">
        <v>0</v>
      </c>
      <c r="M76" s="1194">
        <f t="shared" si="25"/>
        <v>0</v>
      </c>
      <c r="N76" s="1194">
        <f t="shared" si="25"/>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1"/>
        <v>0</v>
      </c>
      <c r="E77" s="764"/>
      <c r="F77" s="1968"/>
      <c r="G77" s="1193"/>
      <c r="H77" s="1197" t="str">
        <f t="shared" si="22"/>
        <v>——</v>
      </c>
      <c r="I77" s="758">
        <v>0.15</v>
      </c>
      <c r="J77" s="1194">
        <f t="shared" si="23"/>
        <v>0</v>
      </c>
      <c r="K77" s="1194">
        <f t="shared" si="24"/>
        <v>0</v>
      </c>
      <c r="L77" s="1194">
        <v>0</v>
      </c>
      <c r="M77" s="1194">
        <f t="shared" si="25"/>
        <v>0</v>
      </c>
      <c r="N77" s="1194">
        <f t="shared" si="25"/>
        <v>0</v>
      </c>
      <c r="Z77" s="2152"/>
      <c r="AA77" s="2218"/>
      <c r="AG77" s="1253"/>
      <c r="AK77" s="2218"/>
    </row>
    <row r="78" spans="1:37" ht="24.75" thickBot="1">
      <c r="A78" s="2305" t="s">
        <v>2725</v>
      </c>
      <c r="B78" s="2309"/>
      <c r="C78" s="2202"/>
      <c r="D78" s="1195">
        <f t="shared" si="21"/>
        <v>0</v>
      </c>
      <c r="E78" s="765"/>
      <c r="F78" s="1968"/>
      <c r="G78" s="1193"/>
      <c r="H78" s="1197" t="str">
        <f t="shared" si="22"/>
        <v>——</v>
      </c>
      <c r="I78" s="762">
        <v>0.04</v>
      </c>
      <c r="J78" s="1194">
        <f t="shared" si="23"/>
        <v>0</v>
      </c>
      <c r="K78" s="1194">
        <f t="shared" si="24"/>
        <v>0</v>
      </c>
      <c r="L78" s="1194">
        <v>0</v>
      </c>
      <c r="M78" s="1194">
        <f t="shared" si="25"/>
        <v>0</v>
      </c>
      <c r="N78" s="1194">
        <f t="shared" si="25"/>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6">SUMIF($J$80:$N$80,C81,J81:N81)</f>
        <v>0</v>
      </c>
      <c r="E81" s="759">
        <f>ROUND(SUM(D81:D88),4)</f>
        <v>0</v>
      </c>
      <c r="F81" s="1968"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6"/>
        <v>0</v>
      </c>
      <c r="E82" s="764"/>
      <c r="F82" s="1968"/>
      <c r="G82" s="1193"/>
      <c r="H82" s="1197" t="str">
        <f t="shared" si="27"/>
        <v>——</v>
      </c>
      <c r="I82" s="758">
        <v>0.33</v>
      </c>
      <c r="J82" s="1194">
        <f t="shared" si="28"/>
        <v>0</v>
      </c>
      <c r="K82" s="1194">
        <f t="shared" si="29"/>
        <v>0</v>
      </c>
      <c r="L82" s="1194">
        <v>0</v>
      </c>
      <c r="M82" s="1194">
        <f t="shared" si="30"/>
        <v>0</v>
      </c>
      <c r="N82" s="1194">
        <f t="shared" si="30"/>
        <v>0</v>
      </c>
      <c r="Z82" s="2152"/>
      <c r="AA82" s="2218"/>
      <c r="AG82" s="1253"/>
      <c r="AK82" s="2218"/>
    </row>
    <row r="83" spans="1:37" ht="24">
      <c r="A83" s="2297" t="s">
        <v>2710</v>
      </c>
      <c r="B83" s="2301">
        <f>估价对象房地状况!G17</f>
        <v>0</v>
      </c>
      <c r="C83" s="2202"/>
      <c r="D83" s="1195">
        <f t="shared" si="26"/>
        <v>0</v>
      </c>
      <c r="E83" s="764"/>
      <c r="F83" s="1968"/>
      <c r="G83" s="1193"/>
      <c r="H83" s="1197" t="str">
        <f t="shared" si="27"/>
        <v>——</v>
      </c>
      <c r="I83" s="758">
        <v>0.05</v>
      </c>
      <c r="J83" s="1194">
        <f t="shared" si="28"/>
        <v>0</v>
      </c>
      <c r="K83" s="1194">
        <f t="shared" si="29"/>
        <v>0</v>
      </c>
      <c r="L83" s="1194">
        <v>0</v>
      </c>
      <c r="M83" s="1194">
        <f t="shared" si="30"/>
        <v>0</v>
      </c>
      <c r="N83" s="1194">
        <f t="shared" si="30"/>
        <v>0</v>
      </c>
      <c r="Z83" s="2152"/>
      <c r="AA83" s="2218"/>
      <c r="AG83" s="1253"/>
      <c r="AK83" s="2218"/>
    </row>
    <row r="84" spans="1:37" ht="14.25">
      <c r="A84" s="2297" t="s">
        <v>2724</v>
      </c>
      <c r="B84" s="2301">
        <f>估价对象房地状况!G22</f>
        <v>0</v>
      </c>
      <c r="C84" s="2202"/>
      <c r="D84" s="1195">
        <f t="shared" si="26"/>
        <v>0</v>
      </c>
      <c r="E84" s="764"/>
      <c r="F84" s="1968"/>
      <c r="G84" s="1193"/>
      <c r="H84" s="1197" t="str">
        <f t="shared" si="27"/>
        <v>——</v>
      </c>
      <c r="I84" s="758">
        <v>0.04</v>
      </c>
      <c r="J84" s="1194">
        <f t="shared" si="28"/>
        <v>0</v>
      </c>
      <c r="K84" s="1194">
        <f t="shared" si="29"/>
        <v>0</v>
      </c>
      <c r="L84" s="1194">
        <v>0</v>
      </c>
      <c r="M84" s="1194">
        <f t="shared" si="30"/>
        <v>0</v>
      </c>
      <c r="N84" s="1194">
        <f t="shared" si="30"/>
        <v>0</v>
      </c>
      <c r="Z84" s="2152"/>
      <c r="AA84" s="2218"/>
      <c r="AG84" s="1253"/>
      <c r="AK84" s="2218"/>
    </row>
    <row r="85" spans="1:37" ht="25.5">
      <c r="A85" s="2297" t="s">
        <v>2716</v>
      </c>
      <c r="B85" s="1465" t="str">
        <f>估价对象房地状况!G19</f>
        <v>估价对象所在区域公共配套设施齐备情况</v>
      </c>
      <c r="C85" s="2202"/>
      <c r="D85" s="1195">
        <f t="shared" si="26"/>
        <v>0</v>
      </c>
      <c r="E85" s="764"/>
      <c r="F85" s="1968"/>
      <c r="G85" s="1193"/>
      <c r="H85" s="1197" t="str">
        <f t="shared" si="27"/>
        <v>——</v>
      </c>
      <c r="I85" s="758">
        <v>0.06</v>
      </c>
      <c r="J85" s="1194">
        <f t="shared" si="28"/>
        <v>0</v>
      </c>
      <c r="K85" s="1194">
        <f t="shared" si="29"/>
        <v>0</v>
      </c>
      <c r="L85" s="1194">
        <v>0</v>
      </c>
      <c r="M85" s="1194">
        <f t="shared" si="30"/>
        <v>0</v>
      </c>
      <c r="N85" s="1194">
        <f t="shared" si="30"/>
        <v>0</v>
      </c>
      <c r="Z85" s="2152"/>
      <c r="AA85" s="2218"/>
      <c r="AG85" s="1253"/>
      <c r="AK85" s="2218"/>
    </row>
    <row r="86" spans="1:37" ht="25.5">
      <c r="A86" s="2297" t="s">
        <v>2717</v>
      </c>
      <c r="B86" s="1465" t="str">
        <f>估价对象房地状况!G20</f>
        <v>估价对象所在区域基础设施水平</v>
      </c>
      <c r="C86" s="2202"/>
      <c r="D86" s="1195">
        <f t="shared" si="26"/>
        <v>0</v>
      </c>
      <c r="E86" s="764"/>
      <c r="F86" s="1968"/>
      <c r="G86" s="1193"/>
      <c r="H86" s="1197" t="str">
        <f t="shared" si="27"/>
        <v>——</v>
      </c>
      <c r="I86" s="758">
        <v>0.15</v>
      </c>
      <c r="J86" s="1194">
        <f t="shared" si="28"/>
        <v>0</v>
      </c>
      <c r="K86" s="1194">
        <f t="shared" si="29"/>
        <v>0</v>
      </c>
      <c r="L86" s="1194">
        <v>0</v>
      </c>
      <c r="M86" s="1194">
        <f t="shared" si="30"/>
        <v>0</v>
      </c>
      <c r="N86" s="1194">
        <f t="shared" si="30"/>
        <v>0</v>
      </c>
      <c r="Z86" s="2152"/>
      <c r="AA86" s="2218"/>
      <c r="AG86" s="1253"/>
      <c r="AK86" s="2218"/>
    </row>
    <row r="87" spans="1:37" ht="24">
      <c r="A87" s="2297" t="s">
        <v>2714</v>
      </c>
      <c r="B87" s="2303" t="s">
        <v>2728</v>
      </c>
      <c r="C87" s="2202"/>
      <c r="D87" s="1195">
        <f t="shared" si="26"/>
        <v>0</v>
      </c>
      <c r="E87" s="764"/>
      <c r="F87" s="1968"/>
      <c r="G87" s="1193"/>
      <c r="H87" s="1197" t="str">
        <f t="shared" si="27"/>
        <v>——</v>
      </c>
      <c r="I87" s="758">
        <v>0.05</v>
      </c>
      <c r="J87" s="1194">
        <f t="shared" si="28"/>
        <v>0</v>
      </c>
      <c r="K87" s="1194">
        <f t="shared" si="29"/>
        <v>0</v>
      </c>
      <c r="L87" s="1194">
        <v>0</v>
      </c>
      <c r="M87" s="1194">
        <f t="shared" si="30"/>
        <v>0</v>
      </c>
      <c r="N87" s="1194">
        <f t="shared" si="30"/>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6"/>
        <v>0</v>
      </c>
      <c r="E88" s="765"/>
      <c r="F88" s="1968"/>
      <c r="G88" s="1193"/>
      <c r="H88" s="1197" t="str">
        <f t="shared" si="27"/>
        <v>——</v>
      </c>
      <c r="I88" s="762">
        <v>0.06</v>
      </c>
      <c r="J88" s="1194">
        <f t="shared" si="28"/>
        <v>0</v>
      </c>
      <c r="K88" s="1194">
        <f t="shared" si="29"/>
        <v>0</v>
      </c>
      <c r="L88" s="1194">
        <v>0</v>
      </c>
      <c r="M88" s="1194">
        <f t="shared" si="30"/>
        <v>0</v>
      </c>
      <c r="N88" s="1194">
        <f t="shared" si="30"/>
        <v>0</v>
      </c>
      <c r="Z88" s="2152"/>
      <c r="AA88" s="2218"/>
      <c r="AG88" s="1253"/>
      <c r="AK88" s="2218"/>
    </row>
    <row r="90" spans="1:37">
      <c r="A90" s="3445" t="s">
        <v>2730</v>
      </c>
      <c r="B90" s="3445"/>
      <c r="C90" s="3445"/>
      <c r="D90" s="3445"/>
      <c r="E90" s="3445"/>
      <c r="F90" s="3445"/>
      <c r="G90" s="3445"/>
      <c r="H90" s="3445"/>
      <c r="I90" s="3445"/>
      <c r="J90" s="3445"/>
      <c r="K90" s="2311"/>
      <c r="L90" s="2311"/>
      <c r="M90" s="2311"/>
      <c r="N90" s="2311"/>
    </row>
    <row r="91" spans="1:37">
      <c r="A91" s="3447" t="s">
        <v>2731</v>
      </c>
      <c r="B91" s="3447" t="s">
        <v>2732</v>
      </c>
      <c r="C91" s="2265" t="s">
        <v>2733</v>
      </c>
      <c r="D91" s="2266"/>
      <c r="E91" s="2266"/>
      <c r="F91" s="2266"/>
      <c r="G91" s="2266"/>
      <c r="H91" s="2266"/>
      <c r="I91" s="2266"/>
      <c r="J91" s="2312"/>
      <c r="K91" s="2313"/>
      <c r="L91" s="2313"/>
      <c r="M91" s="2313"/>
      <c r="N91" s="2313"/>
    </row>
    <row r="92" spans="1:37">
      <c r="A92" s="3447"/>
      <c r="B92" s="3447"/>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44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4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4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4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4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4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49"/>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50"/>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48" t="s">
        <v>2735</v>
      </c>
      <c r="B101" s="2318" t="s">
        <v>2736</v>
      </c>
      <c r="C101" s="2319">
        <f>$G$3</f>
        <v>3.1</v>
      </c>
      <c r="D101" s="2319">
        <f t="shared" ref="D101:N101" si="32">$G$3</f>
        <v>3.1</v>
      </c>
      <c r="E101" s="2319">
        <f t="shared" si="32"/>
        <v>3.1</v>
      </c>
      <c r="F101" s="2319">
        <f t="shared" si="32"/>
        <v>3.1</v>
      </c>
      <c r="G101" s="2319">
        <f t="shared" si="32"/>
        <v>3.1</v>
      </c>
      <c r="H101" s="2319">
        <f t="shared" si="32"/>
        <v>3.1</v>
      </c>
      <c r="I101" s="2319">
        <f t="shared" si="32"/>
        <v>3.1</v>
      </c>
      <c r="J101" s="2319">
        <f t="shared" si="32"/>
        <v>3.1</v>
      </c>
      <c r="K101" s="2319">
        <f t="shared" si="32"/>
        <v>3.1</v>
      </c>
      <c r="L101" s="2319">
        <f t="shared" si="32"/>
        <v>3.1</v>
      </c>
      <c r="M101" s="2319">
        <f t="shared" si="32"/>
        <v>3.1</v>
      </c>
      <c r="N101" s="2319">
        <f t="shared" si="32"/>
        <v>3.1</v>
      </c>
    </row>
    <row r="102" spans="1:14">
      <c r="A102" s="344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4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4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4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4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4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49"/>
      <c r="B108" s="3451" t="s">
        <v>2737</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50"/>
      <c r="B109" s="3452"/>
      <c r="C109" s="2317">
        <f>(-0.163*(C108^2)-0.59*C108+7617)*(10^(-4))/C101</f>
        <v>0.24570967741935484</v>
      </c>
      <c r="D109" s="2317">
        <f>(-0.163*(D108^2)-0.59*D108+7617)*(10^(-4))/D101</f>
        <v>0.24570967741935484</v>
      </c>
      <c r="E109" s="2317">
        <f>(-0.161*(E108^2)-7.509*E108+6533)*(10^(-4))/E101</f>
        <v>0.21074193548387096</v>
      </c>
      <c r="F109" s="2317">
        <f>(-0.161*(F108^2)-7.509*F108+6533)*(10^(-4))/F101</f>
        <v>0.21074193548387096</v>
      </c>
      <c r="G109" s="2317">
        <f>(-0.161*(G108^2)-7.509*G108+6533)*(10^(-4))/G101</f>
        <v>0.21074193548387096</v>
      </c>
      <c r="H109" s="2317">
        <f>(-0.161*(H108^2)-7.509*H108+6533)*(10^(-4))/H101</f>
        <v>0.21074193548387096</v>
      </c>
      <c r="I109" s="2317">
        <f>(-0.161*(I108^2)-7.509*I108+6533)*(10^(-4))/I101</f>
        <v>0.21074193548387096</v>
      </c>
      <c r="J109" s="2317">
        <f>(-0.214*(J108^2)-21.991*J108+4665)*(10^(-4))/J101</f>
        <v>0.15048387096774193</v>
      </c>
      <c r="K109" s="2317">
        <f>(-0.214*(K108^2)-21.991*K108+4665)*(10^(-4))/K101</f>
        <v>0.15048387096774193</v>
      </c>
      <c r="L109" s="2317">
        <f>(-0.214*(L108^2)-21.991*L108+4665)*(10^(-4))/L101</f>
        <v>0.15048387096774193</v>
      </c>
      <c r="M109" s="2317">
        <f>(-0.214*(M108^2)-21.991*M108+4665)*(10^(-4))/M101</f>
        <v>0.15048387096774193</v>
      </c>
      <c r="N109" s="2317">
        <f>(-0.214*(N108^2)-21.991*N108+4665)*(10^(-4))/N101</f>
        <v>0.15048387096774193</v>
      </c>
    </row>
    <row r="110" spans="1:14">
      <c r="A110" s="3446" t="s">
        <v>2738</v>
      </c>
      <c r="B110" s="3446"/>
      <c r="C110" s="3446"/>
      <c r="D110" s="3446"/>
      <c r="E110" s="3446"/>
      <c r="F110" s="3446"/>
      <c r="G110" s="3446"/>
      <c r="H110" s="3446"/>
      <c r="I110" s="3446"/>
      <c r="J110" s="3446"/>
      <c r="K110" s="2320"/>
      <c r="L110" s="2320"/>
      <c r="M110" s="2320"/>
      <c r="N110" s="2320"/>
    </row>
    <row r="112" spans="1:14" ht="13.5" thickBot="1"/>
    <row r="113" spans="1:13" ht="25.5" thickBot="1">
      <c r="A113" s="841" t="s">
        <v>2739</v>
      </c>
      <c r="B113" s="1196">
        <f>G3</f>
        <v>3.1</v>
      </c>
      <c r="C113" s="842" t="s">
        <v>2740</v>
      </c>
      <c r="D113" s="843">
        <f>SUMPRODUCT((A115:A118=F113)*(B114:M114=H113)*B115:M118)</f>
        <v>0.81640000000000001</v>
      </c>
      <c r="E113" s="2156" t="s">
        <v>2575</v>
      </c>
      <c r="F113" s="2322" t="str">
        <f>E2</f>
        <v>办公</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4">I115</f>
        <v>0.64100000000000001</v>
      </c>
      <c r="K115" s="848">
        <f t="shared" si="34"/>
        <v>0.64100000000000001</v>
      </c>
      <c r="L115" s="848">
        <f t="shared" si="34"/>
        <v>0.64100000000000001</v>
      </c>
      <c r="M115" s="849">
        <f t="shared" si="34"/>
        <v>0.64100000000000001</v>
      </c>
    </row>
    <row r="116" spans="1:13">
      <c r="A116" s="847" t="s">
        <v>2640</v>
      </c>
      <c r="B116" s="848">
        <f>ROUND(0.949-0.012*B113,4)</f>
        <v>0.91180000000000005</v>
      </c>
      <c r="C116" s="848">
        <f>B116</f>
        <v>0.91180000000000005</v>
      </c>
      <c r="D116" s="848">
        <f>ROUND(0.8567-0.013*B113,4)</f>
        <v>0.81640000000000001</v>
      </c>
      <c r="E116" s="848">
        <f t="shared" ref="E116:H117" si="35">D116</f>
        <v>0.81640000000000001</v>
      </c>
      <c r="F116" s="848">
        <f t="shared" si="35"/>
        <v>0.81640000000000001</v>
      </c>
      <c r="G116" s="848">
        <f t="shared" si="35"/>
        <v>0.81640000000000001</v>
      </c>
      <c r="H116" s="848">
        <f t="shared" si="35"/>
        <v>0.81640000000000001</v>
      </c>
      <c r="I116" s="848">
        <f>ROUND(0.7694-0.014*B113,4)</f>
        <v>0.72599999999999998</v>
      </c>
      <c r="J116" s="848">
        <f t="shared" si="34"/>
        <v>0.72599999999999998</v>
      </c>
      <c r="K116" s="848">
        <f t="shared" si="34"/>
        <v>0.72599999999999998</v>
      </c>
      <c r="L116" s="848">
        <f t="shared" si="34"/>
        <v>0.72599999999999998</v>
      </c>
      <c r="M116" s="849">
        <f t="shared" si="34"/>
        <v>0.72599999999999998</v>
      </c>
    </row>
    <row r="117" spans="1:13">
      <c r="A117" s="847" t="s">
        <v>2641</v>
      </c>
      <c r="B117" s="848">
        <f>ROUND(0.8808-0.006*B113,4)</f>
        <v>0.86219999999999997</v>
      </c>
      <c r="C117" s="848">
        <f>B117</f>
        <v>0.86219999999999997</v>
      </c>
      <c r="D117" s="848">
        <f>ROUND(0.8748-0.008*B113,4)</f>
        <v>0.85</v>
      </c>
      <c r="E117" s="848">
        <f t="shared" si="35"/>
        <v>0.85</v>
      </c>
      <c r="F117" s="848">
        <f t="shared" si="35"/>
        <v>0.85</v>
      </c>
      <c r="G117" s="848">
        <f t="shared" si="35"/>
        <v>0.85</v>
      </c>
      <c r="H117" s="848">
        <f t="shared" si="35"/>
        <v>0.85</v>
      </c>
      <c r="I117" s="848">
        <f>ROUND(0.7412-0.0095*B113,4)</f>
        <v>0.71179999999999999</v>
      </c>
      <c r="J117" s="848">
        <f t="shared" si="34"/>
        <v>0.71179999999999999</v>
      </c>
      <c r="K117" s="848">
        <f t="shared" si="34"/>
        <v>0.71179999999999999</v>
      </c>
      <c r="L117" s="848">
        <f t="shared" si="34"/>
        <v>0.71179999999999999</v>
      </c>
      <c r="M117" s="849">
        <f t="shared" si="34"/>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4"/>
        <v>0.52449999999999997</v>
      </c>
      <c r="K118" s="850">
        <f t="shared" si="34"/>
        <v>0.52449999999999997</v>
      </c>
      <c r="L118" s="850">
        <f t="shared" si="34"/>
        <v>0.52449999999999997</v>
      </c>
      <c r="M118" s="851">
        <f t="shared" si="34"/>
        <v>0.52449999999999997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2" sqref="P32"/>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5756</v>
      </c>
      <c r="C2" s="2153" t="s">
        <v>2574</v>
      </c>
      <c r="D2" s="2154" t="s">
        <v>2575</v>
      </c>
      <c r="E2" s="2155" t="s">
        <v>1283</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23776</v>
      </c>
      <c r="U2" s="1346">
        <f>'数据-取费表'!L21</f>
        <v>2421.0500000000002</v>
      </c>
      <c r="V2" s="1345">
        <f>ROUND(T2*U2/10000,0)</f>
        <v>5756</v>
      </c>
      <c r="W2" s="1349"/>
      <c r="X2" s="1349"/>
      <c r="Y2" s="1349"/>
      <c r="Z2" s="1349"/>
      <c r="AA2" s="1349"/>
      <c r="AB2" s="1349"/>
      <c r="AC2" s="1350"/>
      <c r="AD2" s="1351"/>
      <c r="AE2" s="1351"/>
      <c r="AF2" s="1351"/>
      <c r="AG2" s="1351"/>
      <c r="AH2" s="1351"/>
      <c r="AI2" s="1351"/>
      <c r="AJ2" s="1352"/>
    </row>
    <row r="3" spans="1:36" ht="15.75">
      <c r="A3" s="209" t="s">
        <v>2579</v>
      </c>
      <c r="B3" s="210" t="e">
        <f>ROUND(B2*10000/D1,0)</f>
        <v>#DIV/0!</v>
      </c>
      <c r="C3" s="2153" t="s">
        <v>2580</v>
      </c>
      <c r="D3" s="2154" t="s">
        <v>2581</v>
      </c>
      <c r="E3" s="3238" t="s">
        <v>3208</v>
      </c>
      <c r="F3" s="2160" t="s">
        <v>3179</v>
      </c>
      <c r="G3" s="854">
        <f>IF(F3="宗地容积率",'数据-汇总表'!I4,IF(F3="估价对象容积率",'数据-汇总表'!I6,'数据-汇总表'!I7))</f>
        <v>3.1</v>
      </c>
      <c r="H3" s="175" t="s">
        <v>2582</v>
      </c>
      <c r="I3" s="880">
        <v>1</v>
      </c>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17067</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36"/>
      <c r="B4" s="3437"/>
      <c r="C4" s="3437"/>
      <c r="D4" s="3438"/>
      <c r="E4" s="3438"/>
      <c r="F4" s="3438"/>
      <c r="G4" s="3438"/>
      <c r="H4" s="3438"/>
      <c r="I4" s="3438"/>
      <c r="J4" s="3439"/>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13769</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9774</v>
      </c>
      <c r="D5" s="1492">
        <f>ROUND(C6+C16,0)</f>
        <v>9774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11048</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9810</v>
      </c>
      <c r="D6" s="2173" t="s">
        <v>2590</v>
      </c>
      <c r="E6" s="2174"/>
      <c r="F6" s="2174"/>
      <c r="G6" s="2175"/>
      <c r="H6" s="2175"/>
      <c r="I6" s="2175"/>
      <c r="J6" s="2176"/>
      <c r="K6" s="1537"/>
      <c r="L6" s="2158" t="s">
        <v>2591</v>
      </c>
      <c r="M6" s="994">
        <f>SUMPRODUCT((区片价!B110:B157=I2)*(区片价!C3:F3=E2)*(区片价!C110:F157))</f>
        <v>9810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9408</v>
      </c>
      <c r="U6" s="1346"/>
      <c r="V6" s="1345">
        <f t="shared" si="1"/>
        <v>0</v>
      </c>
      <c r="W6" s="1349"/>
      <c r="X6" s="1349"/>
      <c r="Y6" s="1349"/>
      <c r="Z6" s="1349"/>
      <c r="AA6" s="1349"/>
      <c r="AB6" s="1349"/>
      <c r="AC6" s="2167"/>
      <c r="AD6" s="2168"/>
      <c r="AE6" s="2168"/>
      <c r="AF6" s="2168"/>
      <c r="AG6" s="2168"/>
      <c r="AH6" s="2168"/>
      <c r="AI6" s="2168"/>
      <c r="AJ6" s="2169"/>
    </row>
    <row r="7" spans="1:36" ht="24">
      <c r="A7" s="3440" t="str">
        <f>IF(E2="商业",IF(C8="不临58条商业街","",2),"")</f>
        <v/>
      </c>
      <c r="B7" s="3216" t="s">
        <v>2592</v>
      </c>
      <c r="C7" s="857">
        <f>IF(C8="不临58条商业街",1,ROUND(1+(1.6*E8+1.2*E9+0.8*E10+0.4*E11)*C9,4))</f>
        <v>1</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8273</v>
      </c>
      <c r="U7" s="1346"/>
      <c r="V7" s="1345">
        <f t="shared" si="1"/>
        <v>0</v>
      </c>
      <c r="W7" s="3228" t="s">
        <v>2595</v>
      </c>
      <c r="X7" s="1347" t="str">
        <f>G2</f>
        <v>六级</v>
      </c>
      <c r="Y7" s="1347" t="s">
        <v>2596</v>
      </c>
      <c r="Z7" s="1348">
        <f>G3</f>
        <v>3.1</v>
      </c>
      <c r="AA7" s="1349"/>
      <c r="AB7" s="1349"/>
      <c r="AC7" s="1350"/>
      <c r="AD7" s="1351"/>
      <c r="AE7" s="1351"/>
      <c r="AF7" s="1351"/>
      <c r="AG7" s="1351"/>
      <c r="AH7" s="1351"/>
      <c r="AI7" s="1351"/>
      <c r="AJ7" s="1352"/>
    </row>
    <row r="8" spans="1:36" ht="25.5">
      <c r="A8" s="3441"/>
      <c r="B8" s="175" t="s">
        <v>2597</v>
      </c>
      <c r="C8" s="2182" t="s">
        <v>3193</v>
      </c>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33" t="s">
        <v>2600</v>
      </c>
      <c r="X8" s="3434"/>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1"/>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35"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1"/>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3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1"/>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35" t="s">
        <v>2624</v>
      </c>
      <c r="X11" s="1357" t="s">
        <v>2596</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40"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35"/>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2"/>
      <c r="B13" s="3214" t="s">
        <v>2631</v>
      </c>
      <c r="C13" s="2197" t="s">
        <v>2632</v>
      </c>
      <c r="D13" s="3226" t="s">
        <v>2633</v>
      </c>
      <c r="E13" s="3226"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35"/>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2"/>
      <c r="B14" s="3215"/>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3"/>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40" t="s">
        <v>2643</v>
      </c>
      <c r="B16" s="3216" t="s">
        <v>2644</v>
      </c>
      <c r="C16" s="2339">
        <f>ROUND(IF(F17="与级别开发程度一致",0,(G17-E17)/C17),0)</f>
        <v>-36</v>
      </c>
      <c r="D16" s="3456" t="s">
        <v>2648</v>
      </c>
      <c r="E16" s="3457"/>
      <c r="F16" s="3456" t="s">
        <v>2645</v>
      </c>
      <c r="G16" s="345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4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3237">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0.92549999999999999</v>
      </c>
      <c r="D20" s="2226" t="s">
        <v>2657</v>
      </c>
      <c r="E20" s="1474">
        <f>存贷款利率!E20/100</f>
        <v>4.3499999999999997E-2</v>
      </c>
      <c r="F20" s="2226" t="s">
        <v>2649</v>
      </c>
      <c r="G20" s="872">
        <f>SUMIF(M26:P26,E2,M28:P28)</f>
        <v>5.3999999999999999E-2</v>
      </c>
      <c r="H20" s="2226" t="s">
        <v>2658</v>
      </c>
      <c r="I20" s="3227">
        <f>SUMIF('数据-取费表'!C6:C15,E2,'数据-取费表'!F6:F15)/COUNTIF('数据-取费表'!C6:C15,E2)</f>
        <v>31.84</v>
      </c>
      <c r="J20" s="874">
        <f>IF(E2="住宅",70,IF(E2="商业",40,50))</f>
        <v>40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3192</v>
      </c>
      <c r="C21" s="3222">
        <f>IF(B21="容积率修正",IF(G3&lt;=10,D22,J22),C23)</f>
        <v>1.8629</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3221" t="s">
        <v>2666</v>
      </c>
      <c r="D22" s="3221">
        <f>IF(E22=G22,F22,IF(G3&lt;=10,ROUND(F22+(H22-F22)*(G3-E22)/(G22-E22),4),"——"))</f>
        <v>0.93169999999999997</v>
      </c>
      <c r="E22" s="854">
        <f>ROUNDDOWN(G3,1)</f>
        <v>3.1</v>
      </c>
      <c r="F22" s="32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854">
        <f>ROUNDUP(G3,1)</f>
        <v>3.1</v>
      </c>
      <c r="H22" s="32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3221"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1.8629</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1.0341</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5756</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0</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23776</v>
      </c>
      <c r="D29" s="2264"/>
      <c r="E29" s="3225">
        <f>ROUND(C29*D29/10000,0)</f>
        <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5944</v>
      </c>
      <c r="D30" s="2270"/>
      <c r="E30" s="3225">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53"/>
      <c r="B33" s="2280" t="s">
        <v>2689</v>
      </c>
      <c r="C33" s="180">
        <f>ROUND(D5*C19*C20*C24*F33,0)</f>
        <v>8934</v>
      </c>
      <c r="D33" s="2264"/>
      <c r="E33" s="176">
        <f>ROUND(C33*D33/10000,0)</f>
        <v>0</v>
      </c>
      <c r="F33" s="176">
        <f>SUMIF(修正!A45:A56,G2,修正!B45:B56)</f>
        <v>0.7</v>
      </c>
      <c r="G33" s="176">
        <f t="shared" ref="G33" si="6">ROUND(IF(E2="工业",C33*$M$39,C33*$M$38),0)</f>
        <v>2234</v>
      </c>
      <c r="H33" s="176">
        <f>D33</f>
        <v>0</v>
      </c>
      <c r="I33" s="176">
        <f>ROUND(G33*H33/10000,0)</f>
        <v>0</v>
      </c>
      <c r="J33" s="345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54"/>
      <c r="B34" s="2197" t="s">
        <v>2690</v>
      </c>
      <c r="C34" s="180">
        <f>ROUND(D5*C19*C20*C24*F34,0)</f>
        <v>5105</v>
      </c>
      <c r="D34" s="2264"/>
      <c r="E34" s="176">
        <f t="shared" ref="E34:E39" si="7">ROUND(C34*D34/10000,0)</f>
        <v>0</v>
      </c>
      <c r="F34" s="176">
        <f>SUMIF(修正!A45:A56,G2,修正!C45:C56)</f>
        <v>0.4</v>
      </c>
      <c r="G34" s="176">
        <f>ROUND(IF(E2="工业",C34*$M$39,C34*$M$38),0)</f>
        <v>1276</v>
      </c>
      <c r="H34" s="176">
        <f t="shared" ref="H34:H39" si="8">D34</f>
        <v>0</v>
      </c>
      <c r="I34" s="176">
        <f t="shared" ref="I34:I39" si="9">ROUND(G34*H34/10000,0)</f>
        <v>0</v>
      </c>
      <c r="J34" s="345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54"/>
      <c r="B35" s="2197" t="s">
        <v>2691</v>
      </c>
      <c r="C35" s="180">
        <f>ROUND(D5*C19*C20*C24*F35,0)</f>
        <v>3574</v>
      </c>
      <c r="D35" s="2264"/>
      <c r="E35" s="176">
        <f t="shared" si="7"/>
        <v>0</v>
      </c>
      <c r="F35" s="176">
        <f>SUMIF(修正!A45:A56,G2,修正!D45:D56)</f>
        <v>0.28000000000000003</v>
      </c>
      <c r="G35" s="176">
        <f>ROUND(IF(E2="工业",C35*$M$39,C35*$M$38),0)</f>
        <v>894</v>
      </c>
      <c r="H35" s="176">
        <f t="shared" si="8"/>
        <v>0</v>
      </c>
      <c r="I35" s="176">
        <f t="shared" si="9"/>
        <v>0</v>
      </c>
      <c r="J35" s="345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55"/>
      <c r="B36" s="2197" t="s">
        <v>2692</v>
      </c>
      <c r="C36" s="180">
        <f>ROUND(D5*C19*C20*C24*F36,0)</f>
        <v>3191</v>
      </c>
      <c r="D36" s="2264"/>
      <c r="E36" s="176">
        <f t="shared" si="7"/>
        <v>0</v>
      </c>
      <c r="F36" s="176">
        <f>SUMIF(修正!A45:A56,G2,修正!E45:E56)</f>
        <v>0.25</v>
      </c>
      <c r="G36" s="176">
        <f>ROUND(IF(E2="工业",C36*$M$39,C36*$M$38),0)</f>
        <v>798</v>
      </c>
      <c r="H36" s="176">
        <f t="shared" si="8"/>
        <v>0</v>
      </c>
      <c r="I36" s="176">
        <f t="shared" si="9"/>
        <v>0</v>
      </c>
      <c r="J36" s="345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3191</v>
      </c>
      <c r="D37" s="2264"/>
      <c r="E37" s="176">
        <f t="shared" si="7"/>
        <v>0</v>
      </c>
      <c r="F37" s="180">
        <f>SUMIF(修正!A45:A56,G2,修正!F45:F56)</f>
        <v>0.25</v>
      </c>
      <c r="G37" s="176">
        <f>ROUND(IF(E2="工业",C37*$M$39,C37*$M$38),0)</f>
        <v>798</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3304</v>
      </c>
      <c r="D38" s="2264"/>
      <c r="E38" s="176">
        <f t="shared" si="7"/>
        <v>0</v>
      </c>
      <c r="F38" s="180">
        <f>SUMIF(修正!A45:A56,G2,修正!G45:G56)</f>
        <v>0.25</v>
      </c>
      <c r="G38" s="176">
        <f>ROUND(IF(E2="工业",C38*$M$39,C38*$M$38),0)</f>
        <v>826</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2643</v>
      </c>
      <c r="D39" s="2270"/>
      <c r="E39" s="193">
        <f t="shared" si="7"/>
        <v>0</v>
      </c>
      <c r="F39" s="870">
        <f>SUMIF(修正!A45:A56,G2,修正!H45:H56)</f>
        <v>0.2</v>
      </c>
      <c r="G39" s="193">
        <f>ROUND(IF(E2="工业",C39*$M$39,C39*$M$38),0)</f>
        <v>661</v>
      </c>
      <c r="H39" s="193">
        <f t="shared" si="8"/>
        <v>0</v>
      </c>
      <c r="I39" s="193">
        <f t="shared" si="9"/>
        <v>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0.95840000000000003</v>
      </c>
      <c r="D41" s="176" t="s">
        <v>2649</v>
      </c>
      <c r="E41" s="2337">
        <f>G20</f>
        <v>5.3999999999999999E-2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1.0341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t="s">
        <v>3198</v>
      </c>
      <c r="D48" s="1195">
        <f t="shared" ref="D48:D56" si="10">SUMIF($J$47:$N$47,C48,J48:N48)</f>
        <v>0</v>
      </c>
      <c r="E48" s="759">
        <f>ROUND(SUM(D48:D56),4)</f>
        <v>3.4099999999999998E-2</v>
      </c>
      <c r="F48" s="1968">
        <f>IF(E2="商业",SUMIF(L1:L12,G2,N1:N12),"——")</f>
        <v>0.125</v>
      </c>
      <c r="G48" s="1193">
        <f>H48</f>
        <v>2.06E-2</v>
      </c>
      <c r="H48" s="1197">
        <f t="shared" ref="H48:H56" si="11">IFERROR(ROUNDDOWN($F$48*I48/2,4),"——")</f>
        <v>2.06E-2</v>
      </c>
      <c r="I48" s="758">
        <v>0.33</v>
      </c>
      <c r="J48" s="1194">
        <f t="shared" ref="J48:J56" si="12">K48+$G48</f>
        <v>4.1200000000000001E-2</v>
      </c>
      <c r="K48" s="1194">
        <f t="shared" ref="K48:K56" si="13">$L48+$G48</f>
        <v>2.06E-2</v>
      </c>
      <c r="L48" s="1194">
        <v>0</v>
      </c>
      <c r="M48" s="1194">
        <f t="shared" ref="M48:N56" si="14">L48-$G48</f>
        <v>-2.06E-2</v>
      </c>
      <c r="N48" s="1194">
        <f t="shared" si="14"/>
        <v>-4.1200000000000001E-2</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t="s">
        <v>3180</v>
      </c>
      <c r="D49" s="1195">
        <f t="shared" si="10"/>
        <v>1.5599999999999999E-2</v>
      </c>
      <c r="E49" s="760"/>
      <c r="F49" s="1968"/>
      <c r="G49" s="1193">
        <f t="shared" ref="G49:G56" si="15">H49</f>
        <v>1.5599999999999999E-2</v>
      </c>
      <c r="H49" s="1197">
        <f t="shared" si="11"/>
        <v>1.5599999999999999E-2</v>
      </c>
      <c r="I49" s="758">
        <v>0.25</v>
      </c>
      <c r="J49" s="1194">
        <f t="shared" si="12"/>
        <v>3.1199999999999999E-2</v>
      </c>
      <c r="K49" s="1194">
        <f t="shared" si="13"/>
        <v>1.5599999999999999E-2</v>
      </c>
      <c r="L49" s="1194">
        <v>0</v>
      </c>
      <c r="M49" s="1194">
        <f t="shared" si="14"/>
        <v>-1.5599999999999999E-2</v>
      </c>
      <c r="N49" s="1194">
        <f t="shared" si="14"/>
        <v>-3.1199999999999999E-2</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t="s">
        <v>3180</v>
      </c>
      <c r="D50" s="1195">
        <f t="shared" si="10"/>
        <v>3.0999999999999999E-3</v>
      </c>
      <c r="E50" s="760"/>
      <c r="F50" s="1968"/>
      <c r="G50" s="1193">
        <f t="shared" si="15"/>
        <v>3.0999999999999999E-3</v>
      </c>
      <c r="H50" s="1197">
        <f t="shared" si="11"/>
        <v>3.0999999999999999E-3</v>
      </c>
      <c r="I50" s="758">
        <v>0.05</v>
      </c>
      <c r="J50" s="1194">
        <f t="shared" si="12"/>
        <v>6.1999999999999998E-3</v>
      </c>
      <c r="K50" s="1194">
        <f t="shared" si="13"/>
        <v>3.0999999999999999E-3</v>
      </c>
      <c r="L50" s="1194">
        <v>0</v>
      </c>
      <c r="M50" s="1194">
        <f t="shared" si="14"/>
        <v>-3.0999999999999999E-3</v>
      </c>
      <c r="N50" s="1194">
        <f t="shared" si="14"/>
        <v>-6.1999999999999998E-3</v>
      </c>
      <c r="AA50" s="1252"/>
      <c r="AB50" s="1252"/>
      <c r="AC50" s="1252"/>
      <c r="AD50" s="1252"/>
      <c r="AE50" s="1252"/>
      <c r="AF50" s="1252"/>
      <c r="AG50" s="1252"/>
      <c r="AH50" s="1252"/>
      <c r="AI50" s="1252"/>
      <c r="AJ50" s="1252"/>
      <c r="AK50" s="1252"/>
    </row>
    <row r="51" spans="1:37" s="1251" customFormat="1" ht="36.75">
      <c r="A51" s="2297" t="s">
        <v>2711</v>
      </c>
      <c r="B51" s="2302" t="s">
        <v>2712</v>
      </c>
      <c r="C51" s="2202" t="s">
        <v>3180</v>
      </c>
      <c r="D51" s="1195">
        <f t="shared" si="10"/>
        <v>3.0999999999999999E-3</v>
      </c>
      <c r="E51" s="760"/>
      <c r="F51" s="1968"/>
      <c r="G51" s="1193">
        <f t="shared" si="15"/>
        <v>3.0999999999999999E-3</v>
      </c>
      <c r="H51" s="1197">
        <f t="shared" si="11"/>
        <v>3.0999999999999999E-3</v>
      </c>
      <c r="I51" s="758">
        <v>0.05</v>
      </c>
      <c r="J51" s="1194">
        <f t="shared" si="12"/>
        <v>6.1999999999999998E-3</v>
      </c>
      <c r="K51" s="1194">
        <f t="shared" si="13"/>
        <v>3.0999999999999999E-3</v>
      </c>
      <c r="L51" s="1194">
        <v>0</v>
      </c>
      <c r="M51" s="1194">
        <f t="shared" si="14"/>
        <v>-3.0999999999999999E-3</v>
      </c>
      <c r="N51" s="1194">
        <f t="shared" si="14"/>
        <v>-6.1999999999999998E-3</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t="s">
        <v>3199</v>
      </c>
      <c r="D52" s="1195">
        <f t="shared" si="10"/>
        <v>-5.0000000000000001E-3</v>
      </c>
      <c r="E52" s="760"/>
      <c r="F52" s="1968"/>
      <c r="G52" s="1193">
        <f t="shared" si="15"/>
        <v>5.0000000000000001E-3</v>
      </c>
      <c r="H52" s="1197">
        <f t="shared" si="11"/>
        <v>5.0000000000000001E-3</v>
      </c>
      <c r="I52" s="758">
        <v>0.08</v>
      </c>
      <c r="J52" s="1194">
        <f t="shared" si="12"/>
        <v>0.01</v>
      </c>
      <c r="K52" s="1194">
        <f t="shared" si="13"/>
        <v>5.0000000000000001E-3</v>
      </c>
      <c r="L52" s="1194">
        <v>0</v>
      </c>
      <c r="M52" s="1194">
        <f t="shared" si="14"/>
        <v>-5.0000000000000001E-3</v>
      </c>
      <c r="N52" s="1194">
        <f t="shared" si="14"/>
        <v>-0.01</v>
      </c>
      <c r="AA52" s="1252"/>
      <c r="AB52" s="1252"/>
      <c r="AC52" s="1252"/>
      <c r="AD52" s="1252"/>
      <c r="AE52" s="1252"/>
      <c r="AF52" s="1252"/>
      <c r="AG52" s="1252"/>
      <c r="AH52" s="1252"/>
      <c r="AI52" s="1252"/>
      <c r="AJ52" s="1252"/>
      <c r="AK52" s="1252"/>
    </row>
    <row r="53" spans="1:37" s="1251" customFormat="1" ht="24">
      <c r="A53" s="2297" t="s">
        <v>2714</v>
      </c>
      <c r="B53" s="2303" t="s">
        <v>2715</v>
      </c>
      <c r="C53" s="2202" t="s">
        <v>3180</v>
      </c>
      <c r="D53" s="1195">
        <f t="shared" si="10"/>
        <v>1.8E-3</v>
      </c>
      <c r="E53" s="760"/>
      <c r="F53" s="1968"/>
      <c r="G53" s="1193">
        <f t="shared" si="15"/>
        <v>1.8E-3</v>
      </c>
      <c r="H53" s="1197">
        <f t="shared" si="11"/>
        <v>1.8E-3</v>
      </c>
      <c r="I53" s="758">
        <v>0.03</v>
      </c>
      <c r="J53" s="1194">
        <f t="shared" si="12"/>
        <v>3.5999999999999999E-3</v>
      </c>
      <c r="K53" s="1194">
        <f t="shared" si="13"/>
        <v>1.8E-3</v>
      </c>
      <c r="L53" s="1194">
        <v>0</v>
      </c>
      <c r="M53" s="1194">
        <f t="shared" si="14"/>
        <v>-1.8E-3</v>
      </c>
      <c r="N53" s="1194">
        <f t="shared" si="14"/>
        <v>-3.5999999999999999E-3</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t="s">
        <v>3180</v>
      </c>
      <c r="D54" s="1195">
        <f t="shared" si="10"/>
        <v>3.0999999999999999E-3</v>
      </c>
      <c r="E54" s="760"/>
      <c r="F54" s="1968"/>
      <c r="G54" s="1193">
        <f t="shared" si="15"/>
        <v>3.0999999999999999E-3</v>
      </c>
      <c r="H54" s="1197">
        <f t="shared" si="11"/>
        <v>3.0999999999999999E-3</v>
      </c>
      <c r="I54" s="758">
        <v>0.05</v>
      </c>
      <c r="J54" s="1194">
        <f t="shared" si="12"/>
        <v>6.1999999999999998E-3</v>
      </c>
      <c r="K54" s="1194">
        <f t="shared" si="13"/>
        <v>3.0999999999999999E-3</v>
      </c>
      <c r="L54" s="1194">
        <v>0</v>
      </c>
      <c r="M54" s="1194">
        <f t="shared" si="14"/>
        <v>-3.0999999999999999E-3</v>
      </c>
      <c r="N54" s="1194">
        <f t="shared" si="14"/>
        <v>-6.1999999999999998E-3</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t="s">
        <v>3197</v>
      </c>
      <c r="D55" s="1195">
        <f t="shared" si="10"/>
        <v>1.24E-2</v>
      </c>
      <c r="E55" s="760"/>
      <c r="F55" s="1968"/>
      <c r="G55" s="1193">
        <f t="shared" si="15"/>
        <v>6.1999999999999998E-3</v>
      </c>
      <c r="H55" s="1197">
        <f t="shared" si="11"/>
        <v>6.1999999999999998E-3</v>
      </c>
      <c r="I55" s="758">
        <v>0.1</v>
      </c>
      <c r="J55" s="1194">
        <f t="shared" si="12"/>
        <v>1.24E-2</v>
      </c>
      <c r="K55" s="1194">
        <f t="shared" si="13"/>
        <v>6.1999999999999998E-3</v>
      </c>
      <c r="L55" s="1194">
        <v>0</v>
      </c>
      <c r="M55" s="1194">
        <f t="shared" si="14"/>
        <v>-6.1999999999999998E-3</v>
      </c>
      <c r="N55" s="1194">
        <f t="shared" si="14"/>
        <v>-1.24E-2</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t="s">
        <v>3198</v>
      </c>
      <c r="D56" s="1195">
        <f t="shared" si="10"/>
        <v>0</v>
      </c>
      <c r="E56" s="763"/>
      <c r="F56" s="1968"/>
      <c r="G56" s="1193">
        <f t="shared" si="15"/>
        <v>3.7000000000000002E-3</v>
      </c>
      <c r="H56" s="1197">
        <f t="shared" si="11"/>
        <v>3.7000000000000002E-3</v>
      </c>
      <c r="I56" s="762">
        <v>0.06</v>
      </c>
      <c r="J56" s="1194">
        <f t="shared" si="12"/>
        <v>7.4000000000000003E-3</v>
      </c>
      <c r="K56" s="1194">
        <f t="shared" si="13"/>
        <v>3.7000000000000002E-3</v>
      </c>
      <c r="L56" s="1194">
        <v>0</v>
      </c>
      <c r="M56" s="1194">
        <f t="shared" si="14"/>
        <v>-3.7000000000000002E-3</v>
      </c>
      <c r="N56" s="1194">
        <f t="shared" si="14"/>
        <v>-7.4000000000000003E-3</v>
      </c>
      <c r="AA56" s="1252"/>
      <c r="AB56" s="1252"/>
      <c r="AC56" s="1252"/>
      <c r="AD56" s="1252"/>
      <c r="AE56" s="1252"/>
      <c r="AF56" s="1252"/>
      <c r="AG56" s="1252"/>
      <c r="AH56" s="1252"/>
      <c r="AI56" s="1252"/>
      <c r="AJ56" s="1252"/>
      <c r="AK56" s="1252"/>
    </row>
    <row r="57" spans="1:37" s="1251" customFormat="1" ht="15">
      <c r="A57" s="2293" t="s">
        <v>2719</v>
      </c>
      <c r="B57" s="2294" t="e">
        <f>1+E59</f>
        <v>#VALUE!</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6">SUMIF($J$58:$N$58,C59,J59:N59)</f>
        <v>0</v>
      </c>
      <c r="E59" s="759" t="e">
        <f>ROUND(SUM(D59:D67),4)</f>
        <v>#VALUE!</v>
      </c>
      <c r="F59" s="1968" t="str">
        <f>IF(E2="办公",SUMIF(L1:L12,G2,N1:N12),"——")</f>
        <v>——</v>
      </c>
      <c r="G59" s="1193" t="str">
        <f>H59</f>
        <v>——</v>
      </c>
      <c r="H59" s="1197" t="str">
        <f t="shared" ref="H59:H67" si="17">IFERROR(ROUNDDOWN($F$59*I59/2,4),"——")</f>
        <v>——</v>
      </c>
      <c r="I59" s="758">
        <v>0.24</v>
      </c>
      <c r="J59" s="1194" t="e">
        <f t="shared" ref="J59:J67" si="18">K59+$G59</f>
        <v>#VALUE!</v>
      </c>
      <c r="K59" s="1194" t="e">
        <f t="shared" ref="K59:K67" si="19">$L59+$G59</f>
        <v>#VALUE!</v>
      </c>
      <c r="L59" s="1194">
        <v>0</v>
      </c>
      <c r="M59" s="1194" t="e">
        <f t="shared" ref="M59:N67" si="20">L59-$G59</f>
        <v>#VALUE!</v>
      </c>
      <c r="N59" s="1194" t="e">
        <f t="shared" si="20"/>
        <v>#VALUE!</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t="e">
        <f t="shared" si="16"/>
        <v>#VALUE!</v>
      </c>
      <c r="E60" s="760"/>
      <c r="F60" s="1968"/>
      <c r="G60" s="1193" t="str">
        <f t="shared" ref="G60:G67" si="21">H60</f>
        <v>——</v>
      </c>
      <c r="H60" s="1197" t="str">
        <f t="shared" si="17"/>
        <v>——</v>
      </c>
      <c r="I60" s="758">
        <v>0.3</v>
      </c>
      <c r="J60" s="1194" t="e">
        <f t="shared" si="18"/>
        <v>#VALUE!</v>
      </c>
      <c r="K60" s="1194" t="e">
        <f t="shared" si="19"/>
        <v>#VALUE!</v>
      </c>
      <c r="L60" s="1194">
        <v>0</v>
      </c>
      <c r="M60" s="1194" t="e">
        <f t="shared" si="20"/>
        <v>#VALUE!</v>
      </c>
      <c r="N60" s="1194" t="e">
        <f t="shared" si="20"/>
        <v>#VALUE!</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t="e">
        <f t="shared" si="16"/>
        <v>#VALUE!</v>
      </c>
      <c r="E61" s="760"/>
      <c r="F61" s="1968"/>
      <c r="G61" s="1193" t="str">
        <f t="shared" si="21"/>
        <v>——</v>
      </c>
      <c r="H61" s="1197" t="str">
        <f t="shared" si="17"/>
        <v>——</v>
      </c>
      <c r="I61" s="758">
        <v>0.08</v>
      </c>
      <c r="J61" s="1194" t="e">
        <f t="shared" si="18"/>
        <v>#VALUE!</v>
      </c>
      <c r="K61" s="1194" t="e">
        <f t="shared" si="19"/>
        <v>#VALUE!</v>
      </c>
      <c r="L61" s="1194">
        <v>0</v>
      </c>
      <c r="M61" s="1194" t="e">
        <f t="shared" si="20"/>
        <v>#VALUE!</v>
      </c>
      <c r="N61" s="1194" t="e">
        <f t="shared" si="20"/>
        <v>#VALUE!</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t="e">
        <f t="shared" si="16"/>
        <v>#VALUE!</v>
      </c>
      <c r="E62" s="760"/>
      <c r="F62" s="1968"/>
      <c r="G62" s="1193" t="str">
        <f t="shared" si="21"/>
        <v>——</v>
      </c>
      <c r="H62" s="1197" t="str">
        <f t="shared" si="17"/>
        <v>——</v>
      </c>
      <c r="I62" s="758">
        <v>0.04</v>
      </c>
      <c r="J62" s="1194" t="e">
        <f t="shared" si="18"/>
        <v>#VALUE!</v>
      </c>
      <c r="K62" s="1194" t="e">
        <f t="shared" si="19"/>
        <v>#VALUE!</v>
      </c>
      <c r="L62" s="1194">
        <v>0</v>
      </c>
      <c r="M62" s="1194" t="e">
        <f t="shared" si="20"/>
        <v>#VALUE!</v>
      </c>
      <c r="N62" s="1194" t="e">
        <f t="shared" si="20"/>
        <v>#VALUE!</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t="e">
        <f t="shared" si="16"/>
        <v>#VALUE!</v>
      </c>
      <c r="E63" s="760"/>
      <c r="F63" s="1968"/>
      <c r="G63" s="1193" t="str">
        <f t="shared" si="21"/>
        <v>——</v>
      </c>
      <c r="H63" s="1197" t="str">
        <f t="shared" si="17"/>
        <v>——</v>
      </c>
      <c r="I63" s="758">
        <v>0.05</v>
      </c>
      <c r="J63" s="1194" t="e">
        <f t="shared" si="18"/>
        <v>#VALUE!</v>
      </c>
      <c r="K63" s="1194" t="e">
        <f t="shared" si="19"/>
        <v>#VALUE!</v>
      </c>
      <c r="L63" s="1194">
        <v>0</v>
      </c>
      <c r="M63" s="1194" t="e">
        <f t="shared" si="20"/>
        <v>#VALUE!</v>
      </c>
      <c r="N63" s="1194" t="e">
        <f t="shared" si="20"/>
        <v>#VALUE!</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t="e">
        <f t="shared" si="16"/>
        <v>#VALUE!</v>
      </c>
      <c r="E64" s="760"/>
      <c r="F64" s="1968"/>
      <c r="G64" s="1193" t="str">
        <f t="shared" si="21"/>
        <v>——</v>
      </c>
      <c r="H64" s="1197" t="str">
        <f t="shared" si="17"/>
        <v>——</v>
      </c>
      <c r="I64" s="758">
        <v>0.05</v>
      </c>
      <c r="J64" s="1194" t="e">
        <f t="shared" si="18"/>
        <v>#VALUE!</v>
      </c>
      <c r="K64" s="1194" t="e">
        <f t="shared" si="19"/>
        <v>#VALUE!</v>
      </c>
      <c r="L64" s="1194">
        <v>0</v>
      </c>
      <c r="M64" s="1194" t="e">
        <f t="shared" si="20"/>
        <v>#VALUE!</v>
      </c>
      <c r="N64" s="1194" t="e">
        <f t="shared" si="20"/>
        <v>#VALUE!</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t="e">
        <f t="shared" si="16"/>
        <v>#VALUE!</v>
      </c>
      <c r="E65" s="760"/>
      <c r="F65" s="1968"/>
      <c r="G65" s="1193" t="str">
        <f t="shared" si="21"/>
        <v>——</v>
      </c>
      <c r="H65" s="1197" t="str">
        <f t="shared" si="17"/>
        <v>——</v>
      </c>
      <c r="I65" s="758">
        <v>0.06</v>
      </c>
      <c r="J65" s="1194" t="e">
        <f t="shared" si="18"/>
        <v>#VALUE!</v>
      </c>
      <c r="K65" s="1194" t="e">
        <f t="shared" si="19"/>
        <v>#VALUE!</v>
      </c>
      <c r="L65" s="1194">
        <v>0</v>
      </c>
      <c r="M65" s="1194" t="e">
        <f t="shared" si="20"/>
        <v>#VALUE!</v>
      </c>
      <c r="N65" s="1194" t="e">
        <f t="shared" si="20"/>
        <v>#VALUE!</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t="e">
        <f t="shared" si="16"/>
        <v>#VALUE!</v>
      </c>
      <c r="E66" s="760"/>
      <c r="F66" s="1968"/>
      <c r="G66" s="1193" t="str">
        <f t="shared" si="21"/>
        <v>——</v>
      </c>
      <c r="H66" s="1197" t="str">
        <f t="shared" si="17"/>
        <v>——</v>
      </c>
      <c r="I66" s="758">
        <v>0.12</v>
      </c>
      <c r="J66" s="1194" t="e">
        <f t="shared" si="18"/>
        <v>#VALUE!</v>
      </c>
      <c r="K66" s="1194" t="e">
        <f t="shared" si="19"/>
        <v>#VALUE!</v>
      </c>
      <c r="L66" s="1194">
        <v>0</v>
      </c>
      <c r="M66" s="1194" t="e">
        <f t="shared" si="20"/>
        <v>#VALUE!</v>
      </c>
      <c r="N66" s="1194" t="e">
        <f t="shared" si="20"/>
        <v>#VALUE!</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3181</v>
      </c>
      <c r="D67" s="1195">
        <f t="shared" si="16"/>
        <v>0</v>
      </c>
      <c r="E67" s="763"/>
      <c r="F67" s="1968"/>
      <c r="G67" s="1193" t="str">
        <f t="shared" si="21"/>
        <v>——</v>
      </c>
      <c r="H67" s="1197" t="str">
        <f t="shared" si="17"/>
        <v>——</v>
      </c>
      <c r="I67" s="762">
        <v>0.06</v>
      </c>
      <c r="J67" s="1194" t="e">
        <f t="shared" si="18"/>
        <v>#VALUE!</v>
      </c>
      <c r="K67" s="1194" t="e">
        <f t="shared" si="19"/>
        <v>#VALUE!</v>
      </c>
      <c r="L67" s="1194">
        <v>0</v>
      </c>
      <c r="M67" s="1194" t="e">
        <f t="shared" si="20"/>
        <v>#VALUE!</v>
      </c>
      <c r="N67" s="1194" t="e">
        <f t="shared" si="20"/>
        <v>#VALUE!</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2">SUMIF($J$69:$N$69,C70,J70:N70)</f>
        <v>0</v>
      </c>
      <c r="E70" s="759">
        <f>ROUND(SUM(D70:D78),4)</f>
        <v>0</v>
      </c>
      <c r="F70" s="1968" t="str">
        <f>IF(E2="住宅",SUMIF(L1:L12,G2,N1:N12),"——")</f>
        <v>——</v>
      </c>
      <c r="G70" s="1193"/>
      <c r="H70" s="1197" t="str">
        <f t="shared" ref="H70:H78" si="23">IFERROR(ROUNDDOWN($F$70*I70/2,4),"——")</f>
        <v>——</v>
      </c>
      <c r="I70" s="758">
        <v>0.14000000000000001</v>
      </c>
      <c r="J70" s="1194">
        <f t="shared" ref="J70:J78" si="24">K70+$G70</f>
        <v>0</v>
      </c>
      <c r="K70" s="1194">
        <f t="shared" ref="K70:K78" si="25">$L70+$G70</f>
        <v>0</v>
      </c>
      <c r="L70" s="1194">
        <v>0</v>
      </c>
      <c r="M70" s="1194">
        <f t="shared" ref="M70:N78" si="26">L70-$G70</f>
        <v>0</v>
      </c>
      <c r="N70" s="1194">
        <f t="shared" si="26"/>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2"/>
        <v>0</v>
      </c>
      <c r="E71" s="764"/>
      <c r="F71" s="1968"/>
      <c r="G71" s="1193"/>
      <c r="H71" s="1197" t="str">
        <f t="shared" si="23"/>
        <v>——</v>
      </c>
      <c r="I71" s="758">
        <v>0.3</v>
      </c>
      <c r="J71" s="1194">
        <f t="shared" si="24"/>
        <v>0</v>
      </c>
      <c r="K71" s="1194">
        <f t="shared" si="25"/>
        <v>0</v>
      </c>
      <c r="L71" s="1194">
        <v>0</v>
      </c>
      <c r="M71" s="1194">
        <f t="shared" si="26"/>
        <v>0</v>
      </c>
      <c r="N71" s="1194">
        <f t="shared" si="26"/>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2"/>
        <v>0</v>
      </c>
      <c r="E72" s="764"/>
      <c r="F72" s="1968"/>
      <c r="G72" s="1193"/>
      <c r="H72" s="1197" t="str">
        <f t="shared" si="23"/>
        <v>——</v>
      </c>
      <c r="I72" s="758">
        <v>0.08</v>
      </c>
      <c r="J72" s="1194">
        <f t="shared" si="24"/>
        <v>0</v>
      </c>
      <c r="K72" s="1194">
        <f t="shared" si="25"/>
        <v>0</v>
      </c>
      <c r="L72" s="1194">
        <v>0</v>
      </c>
      <c r="M72" s="1194">
        <f t="shared" si="26"/>
        <v>0</v>
      </c>
      <c r="N72" s="1194">
        <f t="shared" si="26"/>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2"/>
        <v>0</v>
      </c>
      <c r="E73" s="764"/>
      <c r="F73" s="1968"/>
      <c r="G73" s="1193"/>
      <c r="H73" s="1197" t="str">
        <f t="shared" si="23"/>
        <v>——</v>
      </c>
      <c r="I73" s="758">
        <v>0.04</v>
      </c>
      <c r="J73" s="1194">
        <f t="shared" si="24"/>
        <v>0</v>
      </c>
      <c r="K73" s="1194">
        <f t="shared" si="25"/>
        <v>0</v>
      </c>
      <c r="L73" s="1194">
        <v>0</v>
      </c>
      <c r="M73" s="1194">
        <f t="shared" si="26"/>
        <v>0</v>
      </c>
      <c r="N73" s="1194">
        <f t="shared" si="26"/>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2"/>
        <v>0</v>
      </c>
      <c r="E74" s="764"/>
      <c r="F74" s="1968"/>
      <c r="G74" s="1193"/>
      <c r="H74" s="1197" t="str">
        <f t="shared" si="23"/>
        <v>——</v>
      </c>
      <c r="I74" s="758">
        <v>0.08</v>
      </c>
      <c r="J74" s="1194">
        <f t="shared" si="24"/>
        <v>0</v>
      </c>
      <c r="K74" s="1194">
        <f t="shared" si="25"/>
        <v>0</v>
      </c>
      <c r="L74" s="1194">
        <v>0</v>
      </c>
      <c r="M74" s="1194">
        <f t="shared" si="26"/>
        <v>0</v>
      </c>
      <c r="N74" s="1194">
        <f t="shared" si="26"/>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2"/>
        <v>0</v>
      </c>
      <c r="E75" s="764"/>
      <c r="F75" s="1968"/>
      <c r="G75" s="1193"/>
      <c r="H75" s="1197" t="str">
        <f t="shared" si="23"/>
        <v>——</v>
      </c>
      <c r="I75" s="758">
        <v>0.12</v>
      </c>
      <c r="J75" s="1194">
        <f t="shared" si="24"/>
        <v>0</v>
      </c>
      <c r="K75" s="1194">
        <f t="shared" si="25"/>
        <v>0</v>
      </c>
      <c r="L75" s="1194">
        <v>0</v>
      </c>
      <c r="M75" s="1194">
        <f t="shared" si="26"/>
        <v>0</v>
      </c>
      <c r="N75" s="1194">
        <f t="shared" si="26"/>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2"/>
        <v>0</v>
      </c>
      <c r="E76" s="764"/>
      <c r="F76" s="1968"/>
      <c r="G76" s="1193"/>
      <c r="H76" s="1197" t="str">
        <f t="shared" si="23"/>
        <v>——</v>
      </c>
      <c r="I76" s="758">
        <v>0.05</v>
      </c>
      <c r="J76" s="1194">
        <f t="shared" si="24"/>
        <v>0</v>
      </c>
      <c r="K76" s="1194">
        <f t="shared" si="25"/>
        <v>0</v>
      </c>
      <c r="L76" s="1194">
        <v>0</v>
      </c>
      <c r="M76" s="1194">
        <f t="shared" si="26"/>
        <v>0</v>
      </c>
      <c r="N76" s="1194">
        <f t="shared" si="26"/>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2"/>
        <v>0</v>
      </c>
      <c r="E77" s="764"/>
      <c r="F77" s="1968"/>
      <c r="G77" s="1193"/>
      <c r="H77" s="1197" t="str">
        <f t="shared" si="23"/>
        <v>——</v>
      </c>
      <c r="I77" s="758">
        <v>0.15</v>
      </c>
      <c r="J77" s="1194">
        <f t="shared" si="24"/>
        <v>0</v>
      </c>
      <c r="K77" s="1194">
        <f t="shared" si="25"/>
        <v>0</v>
      </c>
      <c r="L77" s="1194">
        <v>0</v>
      </c>
      <c r="M77" s="1194">
        <f t="shared" si="26"/>
        <v>0</v>
      </c>
      <c r="N77" s="1194">
        <f t="shared" si="26"/>
        <v>0</v>
      </c>
      <c r="Z77" s="2152"/>
      <c r="AA77" s="2218"/>
      <c r="AG77" s="1253"/>
      <c r="AK77" s="2218"/>
    </row>
    <row r="78" spans="1:37" ht="24.75" thickBot="1">
      <c r="A78" s="2305" t="s">
        <v>2725</v>
      </c>
      <c r="B78" s="2309"/>
      <c r="C78" s="2202"/>
      <c r="D78" s="1195">
        <f t="shared" si="22"/>
        <v>0</v>
      </c>
      <c r="E78" s="765"/>
      <c r="F78" s="1968"/>
      <c r="G78" s="1193"/>
      <c r="H78" s="1197" t="str">
        <f t="shared" si="23"/>
        <v>——</v>
      </c>
      <c r="I78" s="762">
        <v>0.04</v>
      </c>
      <c r="J78" s="1194">
        <f t="shared" si="24"/>
        <v>0</v>
      </c>
      <c r="K78" s="1194">
        <f t="shared" si="25"/>
        <v>0</v>
      </c>
      <c r="L78" s="1194">
        <v>0</v>
      </c>
      <c r="M78" s="1194">
        <f t="shared" si="26"/>
        <v>0</v>
      </c>
      <c r="N78" s="1194">
        <f t="shared" si="26"/>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7">SUMIF($J$80:$N$80,C81,J81:N81)</f>
        <v>0</v>
      </c>
      <c r="E81" s="759">
        <f>ROUND(SUM(D81:D88),4)</f>
        <v>0</v>
      </c>
      <c r="F81" s="1968"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7"/>
        <v>0</v>
      </c>
      <c r="E82" s="764"/>
      <c r="F82" s="1968"/>
      <c r="G82" s="1193"/>
      <c r="H82" s="1197" t="str">
        <f t="shared" si="28"/>
        <v>——</v>
      </c>
      <c r="I82" s="758">
        <v>0.33</v>
      </c>
      <c r="J82" s="1194">
        <f t="shared" si="29"/>
        <v>0</v>
      </c>
      <c r="K82" s="1194">
        <f t="shared" si="30"/>
        <v>0</v>
      </c>
      <c r="L82" s="1194">
        <v>0</v>
      </c>
      <c r="M82" s="1194">
        <f t="shared" si="31"/>
        <v>0</v>
      </c>
      <c r="N82" s="1194">
        <f t="shared" si="31"/>
        <v>0</v>
      </c>
      <c r="Z82" s="2152"/>
      <c r="AA82" s="2218"/>
      <c r="AG82" s="1253"/>
      <c r="AK82" s="2218"/>
    </row>
    <row r="83" spans="1:37" ht="24">
      <c r="A83" s="2297" t="s">
        <v>2710</v>
      </c>
      <c r="B83" s="2301">
        <f>估价对象房地状况!G17</f>
        <v>0</v>
      </c>
      <c r="C83" s="2202"/>
      <c r="D83" s="1195">
        <f t="shared" si="27"/>
        <v>0</v>
      </c>
      <c r="E83" s="764"/>
      <c r="F83" s="1968"/>
      <c r="G83" s="1193"/>
      <c r="H83" s="1197" t="str">
        <f t="shared" si="28"/>
        <v>——</v>
      </c>
      <c r="I83" s="758">
        <v>0.05</v>
      </c>
      <c r="J83" s="1194">
        <f t="shared" si="29"/>
        <v>0</v>
      </c>
      <c r="K83" s="1194">
        <f t="shared" si="30"/>
        <v>0</v>
      </c>
      <c r="L83" s="1194">
        <v>0</v>
      </c>
      <c r="M83" s="1194">
        <f t="shared" si="31"/>
        <v>0</v>
      </c>
      <c r="N83" s="1194">
        <f t="shared" si="31"/>
        <v>0</v>
      </c>
      <c r="Z83" s="2152"/>
      <c r="AA83" s="2218"/>
      <c r="AG83" s="1253"/>
      <c r="AK83" s="2218"/>
    </row>
    <row r="84" spans="1:37" ht="14.25">
      <c r="A84" s="2297" t="s">
        <v>2724</v>
      </c>
      <c r="B84" s="2301">
        <f>估价对象房地状况!G22</f>
        <v>0</v>
      </c>
      <c r="C84" s="2202"/>
      <c r="D84" s="1195">
        <f t="shared" si="27"/>
        <v>0</v>
      </c>
      <c r="E84" s="764"/>
      <c r="F84" s="1968"/>
      <c r="G84" s="1193"/>
      <c r="H84" s="1197" t="str">
        <f t="shared" si="28"/>
        <v>——</v>
      </c>
      <c r="I84" s="758">
        <v>0.04</v>
      </c>
      <c r="J84" s="1194">
        <f t="shared" si="29"/>
        <v>0</v>
      </c>
      <c r="K84" s="1194">
        <f t="shared" si="30"/>
        <v>0</v>
      </c>
      <c r="L84" s="1194">
        <v>0</v>
      </c>
      <c r="M84" s="1194">
        <f t="shared" si="31"/>
        <v>0</v>
      </c>
      <c r="N84" s="1194">
        <f t="shared" si="31"/>
        <v>0</v>
      </c>
      <c r="Z84" s="2152"/>
      <c r="AA84" s="2218"/>
      <c r="AG84" s="1253"/>
      <c r="AK84" s="2218"/>
    </row>
    <row r="85" spans="1:37" ht="25.5">
      <c r="A85" s="2297" t="s">
        <v>2716</v>
      </c>
      <c r="B85" s="1465" t="str">
        <f>估价对象房地状况!G19</f>
        <v>估价对象所在区域公共配套设施齐备情况</v>
      </c>
      <c r="C85" s="2202"/>
      <c r="D85" s="1195">
        <f t="shared" si="27"/>
        <v>0</v>
      </c>
      <c r="E85" s="764"/>
      <c r="F85" s="1968"/>
      <c r="G85" s="1193"/>
      <c r="H85" s="1197" t="str">
        <f t="shared" si="28"/>
        <v>——</v>
      </c>
      <c r="I85" s="758">
        <v>0.06</v>
      </c>
      <c r="J85" s="1194">
        <f t="shared" si="29"/>
        <v>0</v>
      </c>
      <c r="K85" s="1194">
        <f t="shared" si="30"/>
        <v>0</v>
      </c>
      <c r="L85" s="1194">
        <v>0</v>
      </c>
      <c r="M85" s="1194">
        <f t="shared" si="31"/>
        <v>0</v>
      </c>
      <c r="N85" s="1194">
        <f t="shared" si="31"/>
        <v>0</v>
      </c>
      <c r="Z85" s="2152"/>
      <c r="AA85" s="2218"/>
      <c r="AG85" s="1253"/>
      <c r="AK85" s="2218"/>
    </row>
    <row r="86" spans="1:37" ht="25.5">
      <c r="A86" s="2297" t="s">
        <v>2717</v>
      </c>
      <c r="B86" s="1465" t="str">
        <f>估价对象房地状况!G20</f>
        <v>估价对象所在区域基础设施水平</v>
      </c>
      <c r="C86" s="2202"/>
      <c r="D86" s="1195">
        <f t="shared" si="27"/>
        <v>0</v>
      </c>
      <c r="E86" s="764"/>
      <c r="F86" s="1968"/>
      <c r="G86" s="1193"/>
      <c r="H86" s="1197" t="str">
        <f t="shared" si="28"/>
        <v>——</v>
      </c>
      <c r="I86" s="758">
        <v>0.15</v>
      </c>
      <c r="J86" s="1194">
        <f t="shared" si="29"/>
        <v>0</v>
      </c>
      <c r="K86" s="1194">
        <f t="shared" si="30"/>
        <v>0</v>
      </c>
      <c r="L86" s="1194">
        <v>0</v>
      </c>
      <c r="M86" s="1194">
        <f t="shared" si="31"/>
        <v>0</v>
      </c>
      <c r="N86" s="1194">
        <f t="shared" si="31"/>
        <v>0</v>
      </c>
      <c r="Z86" s="2152"/>
      <c r="AA86" s="2218"/>
      <c r="AG86" s="1253"/>
      <c r="AK86" s="2218"/>
    </row>
    <row r="87" spans="1:37" ht="24">
      <c r="A87" s="2297" t="s">
        <v>2714</v>
      </c>
      <c r="B87" s="2303" t="s">
        <v>2728</v>
      </c>
      <c r="C87" s="2202"/>
      <c r="D87" s="1195">
        <f t="shared" si="27"/>
        <v>0</v>
      </c>
      <c r="E87" s="764"/>
      <c r="F87" s="1968"/>
      <c r="G87" s="1193"/>
      <c r="H87" s="1197" t="str">
        <f t="shared" si="28"/>
        <v>——</v>
      </c>
      <c r="I87" s="758">
        <v>0.05</v>
      </c>
      <c r="J87" s="1194">
        <f t="shared" si="29"/>
        <v>0</v>
      </c>
      <c r="K87" s="1194">
        <f t="shared" si="30"/>
        <v>0</v>
      </c>
      <c r="L87" s="1194">
        <v>0</v>
      </c>
      <c r="M87" s="1194">
        <f t="shared" si="31"/>
        <v>0</v>
      </c>
      <c r="N87" s="1194">
        <f t="shared" si="31"/>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7"/>
        <v>0</v>
      </c>
      <c r="E88" s="765"/>
      <c r="F88" s="1968"/>
      <c r="G88" s="1193"/>
      <c r="H88" s="1197" t="str">
        <f t="shared" si="28"/>
        <v>——</v>
      </c>
      <c r="I88" s="762">
        <v>0.06</v>
      </c>
      <c r="J88" s="1194">
        <f t="shared" si="29"/>
        <v>0</v>
      </c>
      <c r="K88" s="1194">
        <f t="shared" si="30"/>
        <v>0</v>
      </c>
      <c r="L88" s="1194">
        <v>0</v>
      </c>
      <c r="M88" s="1194">
        <f t="shared" si="31"/>
        <v>0</v>
      </c>
      <c r="N88" s="1194">
        <f t="shared" si="31"/>
        <v>0</v>
      </c>
      <c r="Z88" s="2152"/>
      <c r="AA88" s="2218"/>
      <c r="AG88" s="1253"/>
      <c r="AK88" s="2218"/>
    </row>
    <row r="90" spans="1:37">
      <c r="A90" s="3445" t="s">
        <v>2730</v>
      </c>
      <c r="B90" s="3445"/>
      <c r="C90" s="3445"/>
      <c r="D90" s="3445"/>
      <c r="E90" s="3445"/>
      <c r="F90" s="3445"/>
      <c r="G90" s="3445"/>
      <c r="H90" s="3445"/>
      <c r="I90" s="3445"/>
      <c r="J90" s="3445"/>
      <c r="K90" s="3223"/>
      <c r="L90" s="3223"/>
      <c r="M90" s="3223"/>
      <c r="N90" s="3223"/>
    </row>
    <row r="91" spans="1:37">
      <c r="A91" s="3447" t="s">
        <v>2731</v>
      </c>
      <c r="B91" s="3447" t="s">
        <v>2732</v>
      </c>
      <c r="C91" s="2265" t="s">
        <v>2733</v>
      </c>
      <c r="D91" s="2266"/>
      <c r="E91" s="2266"/>
      <c r="F91" s="2266"/>
      <c r="G91" s="2266"/>
      <c r="H91" s="2266"/>
      <c r="I91" s="2266"/>
      <c r="J91" s="2312"/>
      <c r="K91" s="2313"/>
      <c r="L91" s="2313"/>
      <c r="M91" s="2313"/>
      <c r="N91" s="2313"/>
    </row>
    <row r="92" spans="1:37">
      <c r="A92" s="3447"/>
      <c r="B92" s="3447"/>
      <c r="C92" s="3225" t="s">
        <v>2601</v>
      </c>
      <c r="D92" s="3225" t="s">
        <v>2602</v>
      </c>
      <c r="E92" s="3225" t="s">
        <v>2603</v>
      </c>
      <c r="F92" s="3225" t="s">
        <v>2604</v>
      </c>
      <c r="G92" s="3225" t="s">
        <v>2605</v>
      </c>
      <c r="H92" s="3225" t="s">
        <v>2606</v>
      </c>
      <c r="I92" s="3225" t="s">
        <v>2607</v>
      </c>
      <c r="J92" s="3225" t="s">
        <v>2608</v>
      </c>
      <c r="K92" s="3225" t="s">
        <v>2609</v>
      </c>
      <c r="L92" s="3225" t="s">
        <v>2610</v>
      </c>
      <c r="M92" s="3225" t="s">
        <v>2611</v>
      </c>
      <c r="N92" s="3225" t="s">
        <v>2612</v>
      </c>
    </row>
    <row r="93" spans="1:37">
      <c r="A93" s="344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4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4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4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4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4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49"/>
      <c r="B99" s="2314" t="s">
        <v>2617</v>
      </c>
      <c r="C99" s="2316">
        <f>$I$3</f>
        <v>1</v>
      </c>
      <c r="D99" s="2316">
        <f t="shared" ref="D99:M99" si="32">$I$3</f>
        <v>1</v>
      </c>
      <c r="E99" s="2316">
        <f t="shared" si="32"/>
        <v>1</v>
      </c>
      <c r="F99" s="2316">
        <f t="shared" si="32"/>
        <v>1</v>
      </c>
      <c r="G99" s="2316">
        <f t="shared" si="32"/>
        <v>1</v>
      </c>
      <c r="H99" s="2316">
        <f t="shared" si="32"/>
        <v>1</v>
      </c>
      <c r="I99" s="2316">
        <f t="shared" si="32"/>
        <v>1</v>
      </c>
      <c r="J99" s="2316">
        <f t="shared" si="32"/>
        <v>1</v>
      </c>
      <c r="K99" s="2316">
        <f t="shared" si="32"/>
        <v>1</v>
      </c>
      <c r="L99" s="2316">
        <f t="shared" si="32"/>
        <v>1</v>
      </c>
      <c r="M99" s="2316">
        <f t="shared" si="32"/>
        <v>1</v>
      </c>
      <c r="N99" s="2316">
        <f>$I$3</f>
        <v>1</v>
      </c>
    </row>
    <row r="100" spans="1:14">
      <c r="A100" s="3450"/>
      <c r="B100" s="2314">
        <v>7</v>
      </c>
      <c r="C100" s="2317">
        <f>(-0.163*(C99^2)-0.59*C99+7617)*(10^(-4))</f>
        <v>0.76162470000000004</v>
      </c>
      <c r="D100" s="2317">
        <f>(-0.163*(D99^2)-0.59*D99+7617)*(10^(-4))</f>
        <v>0.76162470000000004</v>
      </c>
      <c r="E100" s="2317">
        <f>(-0.161*(E99^2)-7.509*E99+6533)*(10^(-4))</f>
        <v>0.65253300000000003</v>
      </c>
      <c r="F100" s="2317">
        <f>(-0.161*(F99^2)-7.509*F99+6533)*(10^(-4))</f>
        <v>0.65253300000000003</v>
      </c>
      <c r="G100" s="2317">
        <f>(-0.161*(G99^2)-7.509*G99+6533)*(10^(-4))</f>
        <v>0.65253300000000003</v>
      </c>
      <c r="H100" s="2317">
        <f>(-0.161*(H99^2)-7.509*H99+6533)*(10^(-4))</f>
        <v>0.65253300000000003</v>
      </c>
      <c r="I100" s="2317">
        <f>(-0.161*(I99^2)-7.509*I99+6533)*(10^(-4))</f>
        <v>0.65253300000000003</v>
      </c>
      <c r="J100" s="2317">
        <f>(-0.214*(J99^2)-21.991*J99+4665)*(10^(-4))</f>
        <v>0.46427950000000001</v>
      </c>
      <c r="K100" s="2317">
        <f>(-0.214*(K99^2)-21.991*K99+4665)*(10^(-4))</f>
        <v>0.46427950000000001</v>
      </c>
      <c r="L100" s="2317">
        <f>(-0.214*(L99^2)-21.991*L99+4665)*(10^(-4))</f>
        <v>0.46427950000000001</v>
      </c>
      <c r="M100" s="2317">
        <f>(-0.214*(M99^2)-21.991*M99+4665)*(10^(-4))</f>
        <v>0.46427950000000001</v>
      </c>
      <c r="N100" s="2317">
        <f>(-0.214*(N99^2)-21.991*N99+4665)*(10^(-4))</f>
        <v>0.46427950000000001</v>
      </c>
    </row>
    <row r="101" spans="1:14">
      <c r="A101" s="3448" t="s">
        <v>2735</v>
      </c>
      <c r="B101" s="2318" t="s">
        <v>2736</v>
      </c>
      <c r="C101" s="2319">
        <f>$G$3</f>
        <v>3.1</v>
      </c>
      <c r="D101" s="2319">
        <f t="shared" ref="D101:N101" si="33">$G$3</f>
        <v>3.1</v>
      </c>
      <c r="E101" s="2319">
        <f t="shared" si="33"/>
        <v>3.1</v>
      </c>
      <c r="F101" s="2319">
        <f t="shared" si="33"/>
        <v>3.1</v>
      </c>
      <c r="G101" s="2319">
        <f t="shared" si="33"/>
        <v>3.1</v>
      </c>
      <c r="H101" s="2319">
        <f t="shared" si="33"/>
        <v>3.1</v>
      </c>
      <c r="I101" s="2319">
        <f t="shared" si="33"/>
        <v>3.1</v>
      </c>
      <c r="J101" s="2319">
        <f t="shared" si="33"/>
        <v>3.1</v>
      </c>
      <c r="K101" s="2319">
        <f t="shared" si="33"/>
        <v>3.1</v>
      </c>
      <c r="L101" s="2319">
        <f t="shared" si="33"/>
        <v>3.1</v>
      </c>
      <c r="M101" s="2319">
        <f t="shared" si="33"/>
        <v>3.1</v>
      </c>
      <c r="N101" s="2319">
        <f t="shared" si="33"/>
        <v>3.1</v>
      </c>
    </row>
    <row r="102" spans="1:14">
      <c r="A102" s="344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4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4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4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4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4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49"/>
      <c r="B108" s="3451" t="s">
        <v>2630</v>
      </c>
      <c r="C108" s="2316">
        <f>C99</f>
        <v>1</v>
      </c>
      <c r="D108" s="2316">
        <f t="shared" ref="D108:N108" si="34">D99</f>
        <v>1</v>
      </c>
      <c r="E108" s="2316">
        <f t="shared" si="34"/>
        <v>1</v>
      </c>
      <c r="F108" s="2316">
        <f t="shared" si="34"/>
        <v>1</v>
      </c>
      <c r="G108" s="2316">
        <f t="shared" si="34"/>
        <v>1</v>
      </c>
      <c r="H108" s="2316">
        <f t="shared" si="34"/>
        <v>1</v>
      </c>
      <c r="I108" s="2316">
        <f t="shared" si="34"/>
        <v>1</v>
      </c>
      <c r="J108" s="2316">
        <f t="shared" si="34"/>
        <v>1</v>
      </c>
      <c r="K108" s="2316">
        <f t="shared" si="34"/>
        <v>1</v>
      </c>
      <c r="L108" s="2316">
        <f t="shared" si="34"/>
        <v>1</v>
      </c>
      <c r="M108" s="2316">
        <f t="shared" si="34"/>
        <v>1</v>
      </c>
      <c r="N108" s="2316">
        <f t="shared" si="34"/>
        <v>1</v>
      </c>
    </row>
    <row r="109" spans="1:14">
      <c r="A109" s="3450"/>
      <c r="B109" s="3452"/>
      <c r="C109" s="2317">
        <f>(-0.163*(C108^2)-0.59*C108+7617)*(10^(-4))/C101</f>
        <v>0.2456853870967742</v>
      </c>
      <c r="D109" s="2317">
        <f>(-0.163*(D108^2)-0.59*D108+7617)*(10^(-4))/D101</f>
        <v>0.2456853870967742</v>
      </c>
      <c r="E109" s="2317">
        <f>(-0.161*(E108^2)-7.509*E108+6533)*(10^(-4))/E101</f>
        <v>0.21049451612903225</v>
      </c>
      <c r="F109" s="2317">
        <f>(-0.161*(F108^2)-7.509*F108+6533)*(10^(-4))/F101</f>
        <v>0.21049451612903225</v>
      </c>
      <c r="G109" s="2317">
        <f>(-0.161*(G108^2)-7.509*G108+6533)*(10^(-4))/G101</f>
        <v>0.21049451612903225</v>
      </c>
      <c r="H109" s="2317">
        <f>(-0.161*(H108^2)-7.509*H108+6533)*(10^(-4))/H101</f>
        <v>0.21049451612903225</v>
      </c>
      <c r="I109" s="2317">
        <f>(-0.161*(I108^2)-7.509*I108+6533)*(10^(-4))/I101</f>
        <v>0.21049451612903225</v>
      </c>
      <c r="J109" s="2317">
        <f>(-0.214*(J108^2)-21.991*J108+4665)*(10^(-4))/J101</f>
        <v>0.1497675806451613</v>
      </c>
      <c r="K109" s="2317">
        <f>(-0.214*(K108^2)-21.991*K108+4665)*(10^(-4))/K101</f>
        <v>0.1497675806451613</v>
      </c>
      <c r="L109" s="2317">
        <f>(-0.214*(L108^2)-21.991*L108+4665)*(10^(-4))/L101</f>
        <v>0.1497675806451613</v>
      </c>
      <c r="M109" s="2317">
        <f>(-0.214*(M108^2)-21.991*M108+4665)*(10^(-4))/M101</f>
        <v>0.1497675806451613</v>
      </c>
      <c r="N109" s="2317">
        <f>(-0.214*(N108^2)-21.991*N108+4665)*(10^(-4))/N101</f>
        <v>0.1497675806451613</v>
      </c>
    </row>
    <row r="110" spans="1:14">
      <c r="A110" s="3446" t="s">
        <v>2738</v>
      </c>
      <c r="B110" s="3446"/>
      <c r="C110" s="3446"/>
      <c r="D110" s="3446"/>
      <c r="E110" s="3446"/>
      <c r="F110" s="3446"/>
      <c r="G110" s="3446"/>
      <c r="H110" s="3446"/>
      <c r="I110" s="3446"/>
      <c r="J110" s="3446"/>
      <c r="K110" s="3224"/>
      <c r="L110" s="3224"/>
      <c r="M110" s="3224"/>
      <c r="N110" s="3224"/>
    </row>
    <row r="112" spans="1:14" ht="13.5" thickBot="1"/>
    <row r="113" spans="1:13" ht="25.5" thickBot="1">
      <c r="A113" s="841" t="s">
        <v>2739</v>
      </c>
      <c r="B113" s="1196">
        <f>G3</f>
        <v>3.1</v>
      </c>
      <c r="C113" s="842" t="s">
        <v>2740</v>
      </c>
      <c r="D113" s="843">
        <f>SUMPRODUCT((A115:A118=F113)*(B114:M114=H113)*B115:M118)</f>
        <v>0.79930000000000001</v>
      </c>
      <c r="E113" s="2156" t="s">
        <v>2575</v>
      </c>
      <c r="F113" s="2322" t="str">
        <f>E2</f>
        <v>商业</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5">I115</f>
        <v>0.64100000000000001</v>
      </c>
      <c r="K115" s="848">
        <f t="shared" si="35"/>
        <v>0.64100000000000001</v>
      </c>
      <c r="L115" s="848">
        <f t="shared" si="35"/>
        <v>0.64100000000000001</v>
      </c>
      <c r="M115" s="849">
        <f t="shared" si="35"/>
        <v>0.64100000000000001</v>
      </c>
    </row>
    <row r="116" spans="1:13">
      <c r="A116" s="847" t="s">
        <v>2640</v>
      </c>
      <c r="B116" s="848">
        <f>ROUND(0.949-0.012*B113,4)</f>
        <v>0.91180000000000005</v>
      </c>
      <c r="C116" s="848">
        <f>B116</f>
        <v>0.91180000000000005</v>
      </c>
      <c r="D116" s="848">
        <f>ROUND(0.8567-0.013*B113,4)</f>
        <v>0.81640000000000001</v>
      </c>
      <c r="E116" s="848">
        <f t="shared" ref="E116:H117" si="36">D116</f>
        <v>0.81640000000000001</v>
      </c>
      <c r="F116" s="848">
        <f t="shared" si="36"/>
        <v>0.81640000000000001</v>
      </c>
      <c r="G116" s="848">
        <f t="shared" si="36"/>
        <v>0.81640000000000001</v>
      </c>
      <c r="H116" s="848">
        <f t="shared" si="36"/>
        <v>0.81640000000000001</v>
      </c>
      <c r="I116" s="848">
        <f>ROUND(0.7694-0.014*B113,4)</f>
        <v>0.72599999999999998</v>
      </c>
      <c r="J116" s="848">
        <f t="shared" si="35"/>
        <v>0.72599999999999998</v>
      </c>
      <c r="K116" s="848">
        <f t="shared" si="35"/>
        <v>0.72599999999999998</v>
      </c>
      <c r="L116" s="848">
        <f t="shared" si="35"/>
        <v>0.72599999999999998</v>
      </c>
      <c r="M116" s="849">
        <f t="shared" si="35"/>
        <v>0.72599999999999998</v>
      </c>
    </row>
    <row r="117" spans="1:13">
      <c r="A117" s="847" t="s">
        <v>2641</v>
      </c>
      <c r="B117" s="848">
        <f>ROUND(0.8808-0.006*B113,4)</f>
        <v>0.86219999999999997</v>
      </c>
      <c r="C117" s="848">
        <f>B117</f>
        <v>0.86219999999999997</v>
      </c>
      <c r="D117" s="848">
        <f>ROUND(0.8748-0.008*B113,4)</f>
        <v>0.85</v>
      </c>
      <c r="E117" s="848">
        <f t="shared" si="36"/>
        <v>0.85</v>
      </c>
      <c r="F117" s="848">
        <f t="shared" si="36"/>
        <v>0.85</v>
      </c>
      <c r="G117" s="848">
        <f t="shared" si="36"/>
        <v>0.85</v>
      </c>
      <c r="H117" s="848">
        <f t="shared" si="36"/>
        <v>0.85</v>
      </c>
      <c r="I117" s="848">
        <f>ROUND(0.7412-0.0095*B113,4)</f>
        <v>0.71179999999999999</v>
      </c>
      <c r="J117" s="848">
        <f t="shared" si="35"/>
        <v>0.71179999999999999</v>
      </c>
      <c r="K117" s="848">
        <f t="shared" si="35"/>
        <v>0.71179999999999999</v>
      </c>
      <c r="L117" s="848">
        <f t="shared" si="35"/>
        <v>0.71179999999999999</v>
      </c>
      <c r="M117" s="849">
        <f t="shared" si="35"/>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5"/>
        <v>0.52449999999999997</v>
      </c>
      <c r="K118" s="850">
        <f t="shared" si="35"/>
        <v>0.52449999999999997</v>
      </c>
      <c r="L118" s="850">
        <f t="shared" si="35"/>
        <v>0.52449999999999997</v>
      </c>
      <c r="M118" s="851">
        <f t="shared" si="35"/>
        <v>0.52449999999999997</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2287</v>
      </c>
      <c r="B1" s="2022"/>
      <c r="C1" s="2022"/>
      <c r="D1" s="2022"/>
      <c r="E1" s="2023"/>
      <c r="F1" s="2904"/>
      <c r="G1" s="1643"/>
      <c r="H1" s="1643"/>
      <c r="I1" s="1643"/>
      <c r="J1" s="1643"/>
      <c r="K1" s="1643"/>
      <c r="L1" s="1643"/>
      <c r="M1" s="1643"/>
      <c r="N1" s="1643"/>
      <c r="O1" s="1643"/>
      <c r="P1" s="1643"/>
      <c r="Q1" s="1643"/>
      <c r="R1" s="1643"/>
      <c r="S1" s="1643"/>
    </row>
    <row r="2" spans="1:22" ht="15.75">
      <c r="A2" s="2024" t="s">
        <v>2088</v>
      </c>
      <c r="B2" s="2025">
        <f ca="1">SUMIF(B6:B13,"&lt;&gt;#ref!",B6:B13)</f>
        <v>73766</v>
      </c>
      <c r="C2" s="2026" t="s">
        <v>2280</v>
      </c>
      <c r="D2" s="2027" t="s">
        <v>2281</v>
      </c>
      <c r="E2" s="2801">
        <f>SUM(E6:E13)</f>
        <v>27069.539999999997</v>
      </c>
      <c r="F2" s="2904"/>
      <c r="G2" s="1643"/>
      <c r="H2" s="1643"/>
      <c r="I2" s="1643"/>
      <c r="J2" s="1643"/>
      <c r="K2" s="1643"/>
      <c r="L2" s="1643"/>
      <c r="M2" s="1643"/>
      <c r="N2" s="1643"/>
      <c r="O2" s="1643"/>
      <c r="P2" s="1643"/>
      <c r="Q2" s="1643"/>
      <c r="R2" s="1643"/>
      <c r="S2" s="1643"/>
    </row>
    <row r="3" spans="1:22" ht="15.75">
      <c r="A3" s="2024" t="s">
        <v>1300</v>
      </c>
      <c r="B3" s="2795">
        <f ca="1">ROUND(B2*10000/E2,0)</f>
        <v>27251</v>
      </c>
      <c r="C3" s="2026"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459" t="s">
        <v>2283</v>
      </c>
      <c r="C5" s="3460"/>
      <c r="D5" s="2905"/>
      <c r="E5" s="2028" t="s">
        <v>2284</v>
      </c>
      <c r="F5" s="2029" t="s">
        <v>2285</v>
      </c>
      <c r="G5" s="1643"/>
      <c r="H5" s="1643"/>
      <c r="I5" s="1643"/>
      <c r="J5" s="1643"/>
      <c r="K5" s="1643"/>
      <c r="L5" s="1643"/>
      <c r="M5" s="1643"/>
      <c r="N5" s="1643"/>
      <c r="O5" s="1643"/>
      <c r="P5" s="1643"/>
      <c r="Q5" s="1643"/>
      <c r="R5" s="1643"/>
      <c r="S5" s="1643"/>
    </row>
    <row r="6" spans="1:22">
      <c r="A6" s="2798" t="str">
        <f>'数据-取费表'!AN6</f>
        <v>收益法</v>
      </c>
      <c r="B6" s="2796">
        <f ca="1">IF(F6="是",'数据-取费表'!AO6,0)</f>
        <v>61875</v>
      </c>
      <c r="C6" s="2026" t="s">
        <v>2280</v>
      </c>
      <c r="D6" s="2906"/>
      <c r="E6" s="2800">
        <f>IF(OR(A6=0,F6="否"),0,'数据-取费表'!K6+'数据-取费表'!S6)</f>
        <v>20973.46</v>
      </c>
      <c r="F6" s="2030" t="s">
        <v>2286</v>
      </c>
      <c r="G6" s="1643"/>
      <c r="H6" s="1643"/>
      <c r="I6" s="1643"/>
      <c r="J6" s="1643"/>
      <c r="K6" s="1643"/>
      <c r="L6" s="1643"/>
      <c r="M6" s="1643"/>
      <c r="N6" s="1643"/>
      <c r="O6" s="1643"/>
      <c r="P6" s="1643"/>
      <c r="Q6" s="1643"/>
      <c r="R6" s="1643"/>
      <c r="S6" s="1643"/>
    </row>
    <row r="7" spans="1:22">
      <c r="A7" s="2798" t="str">
        <f>'数据-取费表'!AN7</f>
        <v>收益法-商业</v>
      </c>
      <c r="B7" s="2796">
        <f ca="1">IF(F7="是",'数据-取费表'!AO7,0)</f>
        <v>11300</v>
      </c>
      <c r="C7" s="2026" t="s">
        <v>2280</v>
      </c>
      <c r="D7" s="2906"/>
      <c r="E7" s="2800">
        <f>IF(OR(A7=0,F7="否"),0,'数据-取费表'!K7+'数据-取费表'!S7)</f>
        <v>2421.0500000000002</v>
      </c>
      <c r="F7" s="2030" t="s">
        <v>2286</v>
      </c>
      <c r="G7" s="1643"/>
      <c r="H7" s="1643"/>
      <c r="I7" s="1643"/>
      <c r="J7" s="1643"/>
      <c r="K7" s="1643"/>
      <c r="L7" s="1643"/>
      <c r="M7" s="1643"/>
      <c r="N7" s="1643"/>
      <c r="O7" s="1643"/>
      <c r="P7" s="1643"/>
      <c r="Q7" s="1643"/>
      <c r="R7" s="1643"/>
      <c r="S7" s="1643"/>
    </row>
    <row r="8" spans="1:22">
      <c r="A8" s="2798" t="str">
        <f>'数据-取费表'!AN8</f>
        <v>收益法-车库</v>
      </c>
      <c r="B8" s="2796">
        <f ca="1">IF(F8="是",'数据-取费表'!AO8,0)</f>
        <v>591</v>
      </c>
      <c r="C8" s="2026" t="s">
        <v>2280</v>
      </c>
      <c r="D8" s="2906"/>
      <c r="E8" s="2800">
        <f>IF(OR(A8=0,F8="否"),0,'数据-取费表'!K8+'数据-取费表'!S8)</f>
        <v>3675.03</v>
      </c>
      <c r="F8" s="2030"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6" t="s">
        <v>2280</v>
      </c>
      <c r="D9" s="2906"/>
      <c r="E9" s="2800">
        <f>IF(OR(A9=0,F9="否"),0,'数据-取费表'!K9+'数据-取费表'!S9)</f>
        <v>0</v>
      </c>
      <c r="F9" s="2030"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6" t="s">
        <v>2280</v>
      </c>
      <c r="D10" s="2906"/>
      <c r="E10" s="2800">
        <f>IF(OR(A10=0,F10="否"),0,'数据-取费表'!K10+'数据-取费表'!S10)</f>
        <v>0</v>
      </c>
      <c r="F10" s="2030"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6" t="s">
        <v>2280</v>
      </c>
      <c r="D11" s="2906"/>
      <c r="E11" s="2800">
        <f>IF(OR(A11=0,F11="否"),0,'数据-取费表'!K11+'数据-取费表'!S11)</f>
        <v>0</v>
      </c>
      <c r="F11" s="2030"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6" t="s">
        <v>2280</v>
      </c>
      <c r="D12" s="2906"/>
      <c r="E12" s="2800">
        <f>IF(OR(A12=0,F12="否"),0,'数据-取费表'!K12+'数据-取费表'!S12)</f>
        <v>0</v>
      </c>
      <c r="F12" s="2030"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27</v>
      </c>
      <c r="D1" s="1515" t="s">
        <v>70</v>
      </c>
      <c r="E1" s="1516" t="s">
        <v>1292</v>
      </c>
      <c r="F1" s="1192">
        <f ca="1">J53</f>
        <v>41.85</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61875</v>
      </c>
      <c r="C2" s="1540" t="s">
        <v>1421</v>
      </c>
      <c r="D2" s="1540"/>
      <c r="E2" s="1541"/>
      <c r="F2" s="1542"/>
      <c r="G2" s="2903"/>
      <c r="H2" s="2892"/>
      <c r="I2" s="2892"/>
      <c r="J2" s="2892"/>
      <c r="K2" s="2893"/>
      <c r="L2" s="2892"/>
      <c r="M2" s="2892"/>
    </row>
    <row r="3" spans="1:37" ht="18" customHeight="1" thickBot="1">
      <c r="A3" s="1543" t="s">
        <v>1422</v>
      </c>
      <c r="B3" s="1544">
        <f ca="1">IF(ISERROR(B2*10000/F43),0,ROUND(B2*10000/F43,0))</f>
        <v>29502</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3449</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3445</v>
      </c>
      <c r="D6" s="160" t="s">
        <v>2789</v>
      </c>
      <c r="E6" s="308" t="s">
        <v>1310</v>
      </c>
      <c r="F6" s="309">
        <f ca="1">INDIRECT("'数据-取费表'!u"&amp;$G$1)</f>
        <v>5</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20973.46</v>
      </c>
      <c r="G7" s="1537"/>
      <c r="H7" s="310"/>
      <c r="I7" s="3464"/>
      <c r="J7" s="312"/>
      <c r="K7" s="313"/>
      <c r="L7" s="308" t="s">
        <v>1311</v>
      </c>
      <c r="M7" s="309">
        <f ca="1">F7</f>
        <v>20973.46</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4</v>
      </c>
      <c r="D10" s="1519" t="s">
        <v>2797</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11849</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8389</v>
      </c>
      <c r="D14" s="1498" t="s">
        <v>1323</v>
      </c>
      <c r="E14" s="1495"/>
      <c r="F14" s="325"/>
      <c r="G14" s="1537"/>
      <c r="H14" s="1112" t="s">
        <v>1003</v>
      </c>
      <c r="I14" s="308" t="s">
        <v>1324</v>
      </c>
      <c r="J14" s="24">
        <f ca="1">C29</f>
        <v>12091</v>
      </c>
      <c r="K14" s="15"/>
      <c r="L14" s="915"/>
      <c r="M14" s="916"/>
    </row>
    <row r="15" spans="1:37" s="1550" customFormat="1" ht="18" customHeight="1" thickBot="1">
      <c r="A15" s="1112" t="s">
        <v>1004</v>
      </c>
      <c r="B15" s="308" t="s">
        <v>1325</v>
      </c>
      <c r="C15" s="24">
        <f ca="1">ROUND(C14*F15,0)</f>
        <v>252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223</v>
      </c>
      <c r="K16" s="1218" t="s">
        <v>1330</v>
      </c>
      <c r="L16" s="1219"/>
      <c r="M16" s="1203"/>
    </row>
    <row r="17" spans="1:37" s="1550" customFormat="1" ht="18" customHeight="1">
      <c r="A17" s="1112" t="s">
        <v>1295</v>
      </c>
      <c r="B17" s="308" t="s">
        <v>1331</v>
      </c>
      <c r="C17" s="24">
        <f ca="1">ROUND(F17*(F43+INDIRECT("'数据-取费表'!S"&amp;$G$1))/10000,0)</f>
        <v>419</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102</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126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9186</v>
      </c>
      <c r="D19" s="136" t="s">
        <v>1341</v>
      </c>
      <c r="E19" s="1513"/>
      <c r="F19" s="26"/>
      <c r="G19" s="1537"/>
      <c r="H19" s="1112" t="s">
        <v>1004</v>
      </c>
      <c r="I19" s="308" t="s">
        <v>1342</v>
      </c>
      <c r="J19" s="24">
        <f ca="1">IF(K19="按租金收入计税",ROUND(J6*M19/(1+'数据-取费表'!C42),2),ROUND(C29*M19*0.7,2))</f>
        <v>101.56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184</v>
      </c>
      <c r="D20" s="329" t="s">
        <v>1345</v>
      </c>
      <c r="E20" s="308" t="s">
        <v>1327</v>
      </c>
      <c r="F20" s="328">
        <f>'数据-取费表'!B37</f>
        <v>0.02</v>
      </c>
      <c r="G20" s="1549"/>
      <c r="H20" s="1112" t="s">
        <v>1294</v>
      </c>
      <c r="I20" s="160" t="s">
        <v>1346</v>
      </c>
      <c r="J20" s="25">
        <f ca="1">ROUND(M20*M21/10000,2)</f>
        <v>0.88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5851.84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ROUND(J14*M22,1)</f>
        <v>120.9</v>
      </c>
      <c r="K22" s="1497"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394</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-223</v>
      </c>
      <c r="K25" s="1226" t="s">
        <v>1369</v>
      </c>
      <c r="L25" s="1227"/>
      <c r="M25" s="1228"/>
    </row>
    <row r="26" spans="1:37">
      <c r="A26" s="1112" t="s">
        <v>1002</v>
      </c>
      <c r="B26" s="308" t="s">
        <v>1370</v>
      </c>
      <c r="C26" s="24">
        <f ca="1">ROUND((C19+C20)*F26,0)</f>
        <v>1406</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12091</v>
      </c>
      <c r="D29" s="1223"/>
      <c r="E29" s="1221"/>
      <c r="F29" s="1224"/>
      <c r="G29" s="1549"/>
      <c r="H29" s="340" t="s">
        <v>1001</v>
      </c>
      <c r="I29" s="341" t="s">
        <v>1384</v>
      </c>
      <c r="J29" s="342">
        <f ca="1">ROUND(J26/(1+F40)^F41,0)</f>
        <v>0</v>
      </c>
      <c r="K29" s="343" t="s">
        <v>1385</v>
      </c>
      <c r="L29" s="344"/>
      <c r="M29" s="345">
        <f ca="1">INDIRECT("'数据-取费表'!k"&amp;$G$1)</f>
        <v>20973.46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811</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575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180.45</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393.71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0.88</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5851.84</v>
      </c>
      <c r="G35" s="1537"/>
      <c r="H35" s="2894"/>
      <c r="I35" s="1551"/>
      <c r="J35" s="1552"/>
      <c r="K35" s="2898"/>
      <c r="L35" s="2897"/>
      <c r="M35" s="2897"/>
    </row>
    <row r="36" spans="1:18" ht="18" customHeight="1">
      <c r="A36" s="1233" t="s">
        <v>1007</v>
      </c>
      <c r="B36" s="308" t="s">
        <v>1354</v>
      </c>
      <c r="C36" s="24">
        <f ca="1">ROUND(C29*F36,1)</f>
        <v>120.9</v>
      </c>
      <c r="D36" s="1497"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11.8</v>
      </c>
      <c r="D37" s="1497" t="s">
        <v>1359</v>
      </c>
      <c r="E37" s="308" t="s">
        <v>1360</v>
      </c>
      <c r="F37" s="336">
        <f ca="1">INDIRECT("'数据-取费表'!Al"&amp;$G$1)</f>
        <v>1E-3</v>
      </c>
      <c r="G37" s="1537"/>
      <c r="H37" s="2897"/>
      <c r="I37" s="1551"/>
      <c r="J37" s="1552"/>
      <c r="K37" s="2738"/>
      <c r="L37" s="2897"/>
      <c r="M37" s="2897"/>
    </row>
    <row r="38" spans="1:18" ht="18" customHeight="1" thickBot="1">
      <c r="A38" s="1220" t="s">
        <v>1298</v>
      </c>
      <c r="B38" s="1221" t="s">
        <v>1344</v>
      </c>
      <c r="C38" s="1222">
        <f ca="1">ROUND(C5*F38,1)</f>
        <v>103.5</v>
      </c>
      <c r="D38" s="1223" t="s">
        <v>1364</v>
      </c>
      <c r="E38" s="1221" t="s">
        <v>1360</v>
      </c>
      <c r="F38" s="1217">
        <f ca="1">INDIRECT("'数据-取费表'!Am"&amp;$G$1)</f>
        <v>0.03</v>
      </c>
      <c r="G38" s="1537"/>
      <c r="H38" s="2897"/>
      <c r="I38" s="1551"/>
      <c r="J38" s="1552"/>
      <c r="K38" s="2901"/>
      <c r="L38" s="2897"/>
      <c r="M38" s="2897"/>
    </row>
    <row r="39" spans="1:18" ht="24.6" customHeight="1" thickTop="1">
      <c r="A39" s="1210" t="s">
        <v>999</v>
      </c>
      <c r="B39" s="1225" t="s">
        <v>1388</v>
      </c>
      <c r="C39" s="316">
        <f ca="1">C5-C30</f>
        <v>2638</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61641</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29390</v>
      </c>
      <c r="D43" s="343" t="s">
        <v>1393</v>
      </c>
      <c r="E43" s="344" t="s">
        <v>1394</v>
      </c>
      <c r="F43" s="345">
        <f ca="1">INDIRECT("'数据-取费表'!k"&amp;$G$1)</f>
        <v>20973.46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-80326</v>
      </c>
      <c r="D46" s="1559" t="str">
        <f>C2</f>
        <v>万元</v>
      </c>
      <c r="E46" s="1553"/>
      <c r="F46" s="1553"/>
      <c r="I46" s="1560" t="s">
        <v>1426</v>
      </c>
      <c r="J46" s="1561"/>
      <c r="K46" s="1562"/>
      <c r="L46" s="1563">
        <f ca="1">IF(M47="住宅",0,IF(L48&gt;J51,L60,J60))</f>
        <v>234</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61641</v>
      </c>
      <c r="R47" s="1573" t="s">
        <v>1434</v>
      </c>
    </row>
    <row r="48" spans="1:18" s="1537" customFormat="1" ht="28.5" thickBot="1">
      <c r="A48" s="1241" t="s">
        <v>1044</v>
      </c>
      <c r="B48" s="306" t="s">
        <v>1306</v>
      </c>
      <c r="C48" s="1512">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234</v>
      </c>
      <c r="R48" s="1573" t="s">
        <v>1438</v>
      </c>
    </row>
    <row r="49" spans="1:18" s="1537" customFormat="1" ht="13.5" thickBot="1">
      <c r="A49" s="1105" t="s">
        <v>1045</v>
      </c>
      <c r="B49" s="1524" t="s">
        <v>1395</v>
      </c>
      <c r="C49" s="1245">
        <f ca="1">ROUND(F49*F51*F50*(1-F52)/10000,0)</f>
        <v>0</v>
      </c>
      <c r="D49" s="1185" t="s">
        <v>2790</v>
      </c>
      <c r="E49" s="1525" t="s">
        <v>1396</v>
      </c>
      <c r="F49" s="1190"/>
      <c r="G49" s="1578"/>
      <c r="H49" s="732"/>
      <c r="I49" s="1574" t="s">
        <v>1439</v>
      </c>
      <c r="J49" s="1579">
        <v>2021</v>
      </c>
      <c r="K49" s="1576" t="s">
        <v>1440</v>
      </c>
      <c r="L49" s="1580"/>
      <c r="O49" s="1581" t="s">
        <v>1010</v>
      </c>
      <c r="P49" s="1572" t="s">
        <v>1441</v>
      </c>
      <c r="Q49" s="1573">
        <f ca="1">C29</f>
        <v>12091</v>
      </c>
      <c r="R49" s="1573" t="s">
        <v>1434</v>
      </c>
    </row>
    <row r="50" spans="1:18" s="1537" customFormat="1" ht="13.5" thickBot="1">
      <c r="A50" s="1106"/>
      <c r="B50" s="1109"/>
      <c r="C50" s="1249"/>
      <c r="D50" s="1083"/>
      <c r="E50" s="1186" t="s">
        <v>1311</v>
      </c>
      <c r="F50" s="1187">
        <f ca="1">F7</f>
        <v>20973.46</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34138</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61875</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11849</v>
      </c>
      <c r="D56" s="1600"/>
      <c r="E56" s="1601"/>
      <c r="F56" s="1593"/>
      <c r="I56" s="1602" t="s">
        <v>1459</v>
      </c>
      <c r="J56" s="1603" t="s">
        <v>3168</v>
      </c>
      <c r="K56" s="1574" t="s">
        <v>1460</v>
      </c>
      <c r="L56" s="1577" t="str">
        <f ca="1">IF(L48&lt;J51,"——",L48-J53)</f>
        <v>——</v>
      </c>
      <c r="O56" s="1571" t="s">
        <v>1008</v>
      </c>
      <c r="P56" s="1572" t="s">
        <v>1433</v>
      </c>
      <c r="Q56" s="1573">
        <f ca="1">C40+J29</f>
        <v>61641</v>
      </c>
      <c r="R56" s="1573" t="s">
        <v>1434</v>
      </c>
    </row>
    <row r="57" spans="1:18" s="1537" customFormat="1" ht="24.75" thickBot="1">
      <c r="A57" s="1604"/>
      <c r="B57" s="1080" t="s">
        <v>1383</v>
      </c>
      <c r="C57" s="244">
        <f ca="1">C29</f>
        <v>12091</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1150</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1017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4836</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234</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1015.64</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0.88</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61641</v>
      </c>
      <c r="R62" s="1573" t="s">
        <v>1015</v>
      </c>
    </row>
    <row r="63" spans="1:18" s="1537" customFormat="1" ht="13.5" thickBot="1">
      <c r="A63" s="332"/>
      <c r="B63" s="1086"/>
      <c r="C63" s="29"/>
      <c r="D63" s="1096"/>
      <c r="E63" s="1080" t="s">
        <v>1404</v>
      </c>
      <c r="F63" s="309">
        <f t="shared" ca="1" si="0"/>
        <v>5851.84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120.9</v>
      </c>
      <c r="D64" s="1094" t="s">
        <v>1407</v>
      </c>
      <c r="E64" s="1080"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11.8</v>
      </c>
      <c r="D65" s="1094" t="s">
        <v>1359</v>
      </c>
      <c r="E65" s="1080" t="s">
        <v>1360</v>
      </c>
      <c r="F65" s="336">
        <f t="shared" ca="1" si="0"/>
        <v>1E-3</v>
      </c>
      <c r="I65" s="1615" t="s">
        <v>1484</v>
      </c>
      <c r="J65" s="1616">
        <v>40</v>
      </c>
      <c r="K65" s="1616">
        <v>30</v>
      </c>
      <c r="L65" s="1616">
        <v>50</v>
      </c>
      <c r="M65" s="1618">
        <v>0.02</v>
      </c>
      <c r="O65" s="1571" t="s">
        <v>1008</v>
      </c>
      <c r="P65" s="1572" t="s">
        <v>1485</v>
      </c>
      <c r="Q65" s="1573">
        <f ca="1">C40+J29</f>
        <v>61641</v>
      </c>
      <c r="R65" s="1573" t="s">
        <v>1434</v>
      </c>
    </row>
    <row r="66" spans="1:18" s="1537" customFormat="1" ht="16.5" thickBot="1">
      <c r="A66" s="1112" t="s">
        <v>1409</v>
      </c>
      <c r="B66" s="1080" t="s">
        <v>1344</v>
      </c>
      <c r="C66" s="24">
        <f ca="1">ROUND(C48*F66,1)</f>
        <v>0</v>
      </c>
      <c r="D66" s="1094" t="s">
        <v>1410</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-1150</v>
      </c>
      <c r="D67" s="1093" t="s">
        <v>1369</v>
      </c>
      <c r="E67" s="1098"/>
      <c r="F67" s="1099"/>
      <c r="O67" s="1581" t="s">
        <v>1010</v>
      </c>
      <c r="P67" s="1572" t="s">
        <v>1467</v>
      </c>
      <c r="Q67" s="1619">
        <f ca="1">L51</f>
        <v>34138</v>
      </c>
      <c r="R67" s="1573" t="s">
        <v>1487</v>
      </c>
    </row>
    <row r="68" spans="1:18" s="1537" customFormat="1" ht="16.5" thickBot="1">
      <c r="A68" s="1077" t="s">
        <v>1000</v>
      </c>
      <c r="B68" s="1078" t="s">
        <v>1390</v>
      </c>
      <c r="C68" s="307">
        <f ca="1">ROUND(C67*(1-((1+F70)/(1+F68))^F69)/(F68-F70),0)</f>
        <v>-18685</v>
      </c>
      <c r="D68" s="1095" t="s">
        <v>1374</v>
      </c>
      <c r="E68" s="1080" t="s">
        <v>1375</v>
      </c>
      <c r="F68" s="318">
        <f ca="1">F40</f>
        <v>5.5E-2</v>
      </c>
      <c r="O68" s="1581" t="s">
        <v>1011</v>
      </c>
      <c r="P68" s="1620" t="s">
        <v>1488</v>
      </c>
      <c r="Q68" s="1573">
        <f ca="1">ROUND(Q69-Q70*Q71,0)</f>
        <v>1809</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2638</v>
      </c>
      <c r="R69" s="1573" t="s">
        <v>1434</v>
      </c>
    </row>
    <row r="70" spans="1:18" s="1537" customFormat="1" ht="13.5" thickBot="1">
      <c r="A70" s="1084"/>
      <c r="B70" s="1085"/>
      <c r="C70" s="316"/>
      <c r="D70" s="1096"/>
      <c r="E70" s="1080" t="s">
        <v>1382</v>
      </c>
      <c r="F70" s="1184"/>
      <c r="O70" s="1581" t="s">
        <v>1017</v>
      </c>
      <c r="P70" s="1620" t="s">
        <v>1490</v>
      </c>
      <c r="Q70" s="1573">
        <f ca="1">C13</f>
        <v>11849</v>
      </c>
      <c r="R70" s="1573" t="s">
        <v>1434</v>
      </c>
    </row>
    <row r="71" spans="1:18" s="1537" customFormat="1" ht="13.5" thickBot="1">
      <c r="A71" s="1101" t="s">
        <v>1001</v>
      </c>
      <c r="B71" s="1102" t="s">
        <v>1392</v>
      </c>
      <c r="C71" s="342">
        <f ca="1">ROUND(C68*10000/F71,0)</f>
        <v>-8909</v>
      </c>
      <c r="D71" s="1103" t="s">
        <v>1393</v>
      </c>
      <c r="E71" s="1104" t="s">
        <v>1394</v>
      </c>
      <c r="F71" s="345">
        <f ca="1">F43</f>
        <v>20973.46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829</v>
      </c>
      <c r="D75" s="1537"/>
      <c r="E75" s="1537"/>
      <c r="F75" s="1537"/>
      <c r="K75" s="1555"/>
      <c r="L75" s="1537"/>
      <c r="O75" s="1571" t="s">
        <v>1014</v>
      </c>
      <c r="P75" s="1572" t="s">
        <v>1454</v>
      </c>
      <c r="Q75" s="1573">
        <f ca="1">Q65+Q66</f>
        <v>61641</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0.68599999999999994</v>
      </c>
    </row>
    <row r="80" spans="1:18">
      <c r="B80" s="346" t="s">
        <v>1416</v>
      </c>
      <c r="C80" s="280">
        <f ca="1">ROUND(C75/C39,3)</f>
        <v>0.314</v>
      </c>
    </row>
    <row r="81" spans="2:3">
      <c r="B81" s="276" t="s">
        <v>1417</v>
      </c>
      <c r="C81" s="244"/>
    </row>
    <row r="82" spans="2:3">
      <c r="B82" s="279" t="s">
        <v>1418</v>
      </c>
      <c r="C82" s="281">
        <f ca="1">1-C83</f>
        <v>0.80800000000000005</v>
      </c>
    </row>
    <row r="83" spans="2:3">
      <c r="B83" s="279" t="s">
        <v>1419</v>
      </c>
      <c r="C83" s="280">
        <f ca="1">ROUND(C13/C40,3)</f>
        <v>0.192</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0</v>
      </c>
      <c r="D5" s="1517" t="s">
        <v>1506</v>
      </c>
      <c r="E5" s="1202"/>
      <c r="F5" s="1203"/>
      <c r="G5" s="1537"/>
      <c r="H5" s="305">
        <v>1</v>
      </c>
      <c r="I5" s="306" t="s">
        <v>1505</v>
      </c>
      <c r="J5" s="1201">
        <f ca="1">J6+J10+J12</f>
        <v>0</v>
      </c>
      <c r="K5" s="1517" t="s">
        <v>1506</v>
      </c>
      <c r="L5" s="1202"/>
      <c r="M5" s="1203"/>
    </row>
    <row r="6" spans="1:37" ht="18" customHeight="1">
      <c r="A6" s="1200" t="s">
        <v>1003</v>
      </c>
      <c r="B6" s="3463" t="s">
        <v>1308</v>
      </c>
      <c r="C6" s="1205">
        <f ca="1">ROUND(F6*F8*F7*(1-F9),0)</f>
        <v>0</v>
      </c>
      <c r="D6" s="160" t="s">
        <v>2786</v>
      </c>
      <c r="E6" s="308" t="s">
        <v>1310</v>
      </c>
      <c r="F6" s="309">
        <f ca="1">INDIRECT("'数据-取费表'!u"&amp;$G$1)</f>
        <v>0</v>
      </c>
      <c r="G6" s="1537"/>
      <c r="H6" s="1200" t="s">
        <v>1003</v>
      </c>
      <c r="I6" s="3463" t="s">
        <v>1308</v>
      </c>
      <c r="J6" s="307">
        <f ca="1">ROUND(M6*M8*M7*(1-M9),0)</f>
        <v>0</v>
      </c>
      <c r="K6" s="1529" t="s">
        <v>2787</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0</v>
      </c>
      <c r="G7" s="1537"/>
      <c r="H7" s="310"/>
      <c r="I7" s="3464"/>
      <c r="J7" s="312"/>
      <c r="K7" s="313"/>
      <c r="L7" s="308" t="s">
        <v>1311</v>
      </c>
      <c r="M7" s="309">
        <f ca="1">F7</f>
        <v>0</v>
      </c>
    </row>
    <row r="8" spans="1:37" ht="18" customHeight="1">
      <c r="A8" s="310"/>
      <c r="B8" s="3464"/>
      <c r="C8" s="312"/>
      <c r="D8" s="313"/>
      <c r="E8" s="308" t="s">
        <v>1312</v>
      </c>
      <c r="F8" s="309">
        <f ca="1">INDIRECT("'数据-取费表'!ai"&amp;$G$1)</f>
        <v>0</v>
      </c>
      <c r="G8" s="1537"/>
      <c r="H8" s="310"/>
      <c r="I8" s="3464"/>
      <c r="J8" s="312"/>
      <c r="K8" s="313"/>
      <c r="L8" s="308" t="s">
        <v>1312</v>
      </c>
      <c r="M8" s="309">
        <f ca="1">INDIRECT("'数据-取费表'!ai"&amp;$G$1)</f>
        <v>0</v>
      </c>
    </row>
    <row r="9" spans="1:37" ht="18" customHeight="1">
      <c r="A9" s="310"/>
      <c r="B9" s="3465"/>
      <c r="C9" s="312"/>
      <c r="D9" s="313"/>
      <c r="E9" s="308" t="s">
        <v>1313</v>
      </c>
      <c r="F9" s="318">
        <f ca="1">INDIRECT("'数据-取费表'!w"&amp;$G$1)</f>
        <v>0</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0</v>
      </c>
      <c r="D14" s="1498" t="s">
        <v>1323</v>
      </c>
      <c r="E14" s="1495"/>
      <c r="F14" s="325"/>
      <c r="G14" s="1537"/>
      <c r="H14" s="1112" t="s">
        <v>1003</v>
      </c>
      <c r="I14" s="308" t="s">
        <v>1324</v>
      </c>
      <c r="J14" s="24">
        <f ca="1">C29</f>
        <v>0</v>
      </c>
      <c r="K14" s="15"/>
      <c r="L14" s="915"/>
      <c r="M14" s="916"/>
    </row>
    <row r="15" spans="1:37" s="1550" customFormat="1" ht="18" customHeight="1" thickBot="1">
      <c r="A15" s="1112"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2" t="s">
        <v>1295</v>
      </c>
      <c r="B17" s="308" t="s">
        <v>1331</v>
      </c>
      <c r="C17" s="24">
        <f ca="1">ROUND(F17*(F43+INDIRECT("'数据-取费表'!S"&amp;$G$1)),0)</f>
        <v>0</v>
      </c>
      <c r="D17" s="308" t="s">
        <v>1332</v>
      </c>
      <c r="E17" s="308" t="s">
        <v>1333</v>
      </c>
      <c r="F17" s="26">
        <f>'数据-取费表'!B35</f>
        <v>200</v>
      </c>
      <c r="G17" s="1549"/>
      <c r="H17" s="1112"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0</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0</v>
      </c>
      <c r="D19" s="136" t="s">
        <v>1341</v>
      </c>
      <c r="E19" s="1513"/>
      <c r="F19" s="26"/>
      <c r="G19" s="1537"/>
      <c r="H19" s="1112"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2" t="s">
        <v>1007</v>
      </c>
      <c r="B20" s="308" t="s">
        <v>1344</v>
      </c>
      <c r="C20" s="24">
        <f ca="1">ROUND(C19*F20,0)</f>
        <v>0</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ROUND(J14*M22,0)</f>
        <v>0</v>
      </c>
      <c r="K22" s="1497" t="s">
        <v>1355</v>
      </c>
      <c r="L22" s="308" t="s">
        <v>1327</v>
      </c>
      <c r="M22" s="334">
        <f ca="1">INDIRECT("'数据-取费表'!Ak"&amp;$G$1)</f>
        <v>0</v>
      </c>
    </row>
    <row r="23" spans="1:37" s="1550"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2"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2"/>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0</v>
      </c>
      <c r="K53" s="3461" t="s">
        <v>1453</v>
      </c>
      <c r="L53" s="3462"/>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8" t="s">
        <v>1329</v>
      </c>
      <c r="C58" s="322">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4">
        <f ca="1">ROUND(C48*F66,0)</f>
        <v>0</v>
      </c>
      <c r="D66" s="1094" t="s">
        <v>1410</v>
      </c>
      <c r="E66" s="1080" t="s">
        <v>1327</v>
      </c>
      <c r="F66" s="318">
        <f t="shared" ca="1" si="0"/>
        <v>0</v>
      </c>
      <c r="O66" s="1571" t="s">
        <v>1009</v>
      </c>
      <c r="P66" s="1572" t="s">
        <v>1463</v>
      </c>
      <c r="Q66" s="1573" t="e">
        <f ca="1">L60</f>
        <v>#DIV/0!</v>
      </c>
      <c r="R66" s="1573" t="s">
        <v>1486</v>
      </c>
    </row>
    <row r="67" spans="1:18" s="1537" customFormat="1" ht="16.5" thickBot="1">
      <c r="A67" s="1087" t="s">
        <v>999</v>
      </c>
      <c r="B67" s="1097" t="s">
        <v>1368</v>
      </c>
      <c r="C67" s="322">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7" t="e">
        <f ca="1">ROUND(C67*(1-((1+F70)/(1+F68))^F69)/(F68-F70),0)</f>
        <v>#DIV/0!</v>
      </c>
      <c r="D68" s="1095" t="s">
        <v>1374</v>
      </c>
      <c r="E68" s="1080" t="s">
        <v>1375</v>
      </c>
      <c r="F68" s="318">
        <f ca="1">F40</f>
        <v>0</v>
      </c>
      <c r="O68" s="1581" t="s">
        <v>1011</v>
      </c>
      <c r="P68" s="1620" t="s">
        <v>1488</v>
      </c>
      <c r="Q68" s="1573">
        <f ca="1">ROUND(Q69-Q70*Q71,0)</f>
        <v>0</v>
      </c>
      <c r="R68" s="1573" t="s">
        <v>1019</v>
      </c>
    </row>
    <row r="69" spans="1:18" s="1537" customFormat="1" ht="13.5" thickBot="1">
      <c r="A69" s="1081"/>
      <c r="B69" s="1082"/>
      <c r="C69" s="312"/>
      <c r="D69" s="1100" t="s">
        <v>1378</v>
      </c>
      <c r="E69" s="1080" t="s">
        <v>1379</v>
      </c>
      <c r="F69" s="339">
        <f ca="1">F41</f>
        <v>0</v>
      </c>
      <c r="O69" s="1581" t="s">
        <v>1016</v>
      </c>
      <c r="P69" s="1620" t="s">
        <v>1489</v>
      </c>
      <c r="Q69" s="1573">
        <f ca="1">C39</f>
        <v>0</v>
      </c>
      <c r="R69" s="1573" t="s">
        <v>1434</v>
      </c>
    </row>
    <row r="70" spans="1:18" s="1537" customFormat="1" ht="13.5" thickBot="1">
      <c r="A70" s="1084"/>
      <c r="B70" s="1085"/>
      <c r="C70" s="316"/>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2" t="e">
        <f ca="1">ROUND(C68/F71,0)</f>
        <v>#DIV/0!</v>
      </c>
      <c r="D71" s="1103" t="s">
        <v>1393</v>
      </c>
      <c r="E71" s="1104"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72" t="s">
        <v>3006</v>
      </c>
      <c r="K2" s="3473"/>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74" t="s">
        <v>3016</v>
      </c>
      <c r="K3" s="3475"/>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74" t="s">
        <v>3018</v>
      </c>
      <c r="K4" s="3475"/>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80" t="s">
        <v>3022</v>
      </c>
      <c r="B6" s="3481"/>
      <c r="C6" s="3482"/>
      <c r="D6" s="3069"/>
      <c r="E6" s="3070"/>
      <c r="F6" s="3071"/>
      <c r="G6" s="3072"/>
      <c r="H6" s="3047"/>
      <c r="I6" s="3048"/>
      <c r="J6" s="3466">
        <v>1</v>
      </c>
      <c r="K6" s="3467"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66"/>
      <c r="K7" s="3468"/>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83" t="s">
        <v>3036</v>
      </c>
      <c r="C8" s="3484"/>
      <c r="D8" s="3088" t="s">
        <v>3037</v>
      </c>
      <c r="E8" s="3089" t="s">
        <v>3038</v>
      </c>
      <c r="F8" s="3090" t="s">
        <v>3039</v>
      </c>
      <c r="G8" s="3091"/>
      <c r="H8" s="3047"/>
      <c r="I8" s="3048"/>
      <c r="J8" s="3466"/>
      <c r="K8" s="3468"/>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83" t="s">
        <v>3042</v>
      </c>
      <c r="C9" s="3484"/>
      <c r="D9" s="3088">
        <f>ROUND(D6*E9,0)</f>
        <v>0</v>
      </c>
      <c r="E9" s="3092"/>
      <c r="F9" s="3093" t="s">
        <v>3043</v>
      </c>
      <c r="G9" s="3072"/>
      <c r="H9" s="3047"/>
      <c r="I9" s="3048"/>
      <c r="J9" s="3466"/>
      <c r="K9" s="3468"/>
      <c r="L9" s="3082" t="s">
        <v>3044</v>
      </c>
      <c r="M9" s="3083"/>
      <c r="N9" s="3059"/>
      <c r="O9" s="3084"/>
      <c r="P9" s="3084"/>
      <c r="Q9" s="3085">
        <v>365</v>
      </c>
      <c r="R9" s="3086">
        <f t="shared" si="0"/>
        <v>0</v>
      </c>
      <c r="S9" s="3040"/>
      <c r="T9" s="3040"/>
      <c r="U9" s="3040"/>
      <c r="V9" s="3048"/>
    </row>
    <row r="10" spans="1:22" s="3052" customFormat="1" ht="13.15" customHeight="1">
      <c r="A10" s="3087">
        <v>2</v>
      </c>
      <c r="B10" s="3483" t="s">
        <v>3045</v>
      </c>
      <c r="C10" s="3484"/>
      <c r="D10" s="3088">
        <f>ROUND(D6*E10,0)</f>
        <v>0</v>
      </c>
      <c r="E10" s="3092"/>
      <c r="F10" s="3093" t="s">
        <v>3046</v>
      </c>
      <c r="G10" s="3072"/>
      <c r="H10" s="3047"/>
      <c r="I10" s="3048"/>
      <c r="J10" s="3466"/>
      <c r="K10" s="3468"/>
      <c r="L10" s="3082" t="s">
        <v>3047</v>
      </c>
      <c r="M10" s="3083"/>
      <c r="N10" s="3059"/>
      <c r="O10" s="3084"/>
      <c r="P10" s="3084"/>
      <c r="Q10" s="3085">
        <v>365</v>
      </c>
      <c r="R10" s="3086">
        <f t="shared" si="0"/>
        <v>0</v>
      </c>
      <c r="S10" s="3040"/>
      <c r="T10" s="3040"/>
      <c r="U10" s="3040"/>
      <c r="V10" s="3048"/>
    </row>
    <row r="11" spans="1:22" s="3052" customFormat="1" ht="13.15" customHeight="1">
      <c r="A11" s="3087">
        <v>3</v>
      </c>
      <c r="B11" s="3483" t="s">
        <v>3048</v>
      </c>
      <c r="C11" s="3484"/>
      <c r="D11" s="3088">
        <f>D12+D14+D15+D16</f>
        <v>0</v>
      </c>
      <c r="E11" s="3094" t="e">
        <f>D11/D6</f>
        <v>#DIV/0!</v>
      </c>
      <c r="F11" s="3090"/>
      <c r="G11" s="3091"/>
      <c r="H11" s="3047"/>
      <c r="I11" s="3048"/>
      <c r="J11" s="3466"/>
      <c r="K11" s="3468"/>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76" t="s">
        <v>3051</v>
      </c>
      <c r="C12" s="3477"/>
      <c r="D12" s="3096">
        <f>ROUND(D13*1.2%*(1-30%),0)</f>
        <v>0</v>
      </c>
      <c r="E12" s="3097">
        <v>1.2E-2</v>
      </c>
      <c r="F12" s="3090" t="s">
        <v>3052</v>
      </c>
      <c r="G12" s="3091"/>
      <c r="H12" s="3047"/>
      <c r="I12" s="3048"/>
      <c r="J12" s="3466"/>
      <c r="K12" s="3468"/>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66"/>
      <c r="K13" s="3468"/>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76" t="s">
        <v>3057</v>
      </c>
      <c r="C14" s="3477"/>
      <c r="D14" s="3096">
        <f>ROUND(E14*B5/10000,0)</f>
        <v>0</v>
      </c>
      <c r="E14" s="3085"/>
      <c r="F14" s="3090" t="s">
        <v>3058</v>
      </c>
      <c r="G14" s="3091"/>
      <c r="H14" s="3047"/>
      <c r="I14" s="3048"/>
      <c r="J14" s="3466"/>
      <c r="K14" s="3469"/>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76" t="s">
        <v>3061</v>
      </c>
      <c r="C15" s="3477"/>
      <c r="D15" s="3096">
        <f>ROUND(D6*E15,0)</f>
        <v>0</v>
      </c>
      <c r="E15" s="3097">
        <v>5.5E-2</v>
      </c>
      <c r="F15" s="3090" t="s">
        <v>3062</v>
      </c>
      <c r="G15" s="3072"/>
      <c r="H15" s="3047"/>
      <c r="I15" s="3048"/>
      <c r="J15" s="3466">
        <v>2</v>
      </c>
      <c r="K15" s="3467"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76" t="s">
        <v>3070</v>
      </c>
      <c r="C16" s="3477"/>
      <c r="D16" s="3107">
        <f>D6*E16</f>
        <v>0</v>
      </c>
      <c r="E16" s="3108"/>
      <c r="F16" s="3093" t="s">
        <v>3071</v>
      </c>
      <c r="G16" s="3072"/>
      <c r="H16" s="3047"/>
      <c r="I16" s="3048"/>
      <c r="J16" s="3466"/>
      <c r="K16" s="3468"/>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78" t="s">
        <v>3073</v>
      </c>
      <c r="C17" s="3479"/>
      <c r="D17" s="3110">
        <f>ROUND(D6*E17,0)</f>
        <v>0</v>
      </c>
      <c r="E17" s="3111"/>
      <c r="F17" s="3112" t="s">
        <v>3074</v>
      </c>
      <c r="G17" s="3072"/>
      <c r="H17" s="3047"/>
      <c r="I17" s="3048"/>
      <c r="J17" s="3466"/>
      <c r="K17" s="3468"/>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66"/>
      <c r="K18" s="3468"/>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66"/>
      <c r="K19" s="3469"/>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66">
        <v>3</v>
      </c>
      <c r="K20" s="3467"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66"/>
      <c r="K21" s="3468"/>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66"/>
      <c r="K22" s="3468"/>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66"/>
      <c r="K23" s="3468"/>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66"/>
      <c r="K24" s="3469"/>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70">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7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72" t="s">
        <v>3006</v>
      </c>
      <c r="K32" s="3473"/>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74" t="s">
        <v>3016</v>
      </c>
      <c r="K33" s="3475"/>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74" t="s">
        <v>3018</v>
      </c>
      <c r="K34" s="347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66">
        <v>1</v>
      </c>
      <c r="K36" s="3467"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66"/>
      <c r="K37" s="3468"/>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66"/>
      <c r="K38" s="3468"/>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66"/>
      <c r="K39" s="3468"/>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66"/>
      <c r="K40" s="3469"/>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70">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7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2290</v>
      </c>
      <c r="C1" s="1377" t="s">
        <v>2291</v>
      </c>
      <c r="D1" s="1364"/>
      <c r="E1" s="2512"/>
      <c r="F1" s="2033" t="s">
        <v>2292</v>
      </c>
      <c r="G1" s="1374" t="s">
        <v>2293</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27069.539999999997</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1" t="s">
        <v>2296</v>
      </c>
      <c r="B4" s="362"/>
      <c r="C4" s="3503" t="s">
        <v>2297</v>
      </c>
      <c r="D4" s="3504"/>
      <c r="E4" s="3505" t="s">
        <v>2298</v>
      </c>
      <c r="F4" s="3506"/>
      <c r="G4" s="3503" t="s">
        <v>2299</v>
      </c>
      <c r="H4" s="3504"/>
      <c r="I4" s="3503" t="s">
        <v>2300</v>
      </c>
      <c r="J4" s="3504"/>
      <c r="K4" s="2043" t="s">
        <v>2301</v>
      </c>
      <c r="L4" s="2912"/>
      <c r="M4" s="2913"/>
      <c r="N4" s="2913"/>
      <c r="O4" s="2913"/>
      <c r="P4" s="3507" t="s">
        <v>2302</v>
      </c>
      <c r="Q4" s="3508"/>
      <c r="R4" s="3513" t="s">
        <v>2298</v>
      </c>
      <c r="S4" s="3514"/>
      <c r="T4" s="3513" t="s">
        <v>2299</v>
      </c>
      <c r="U4" s="3514"/>
      <c r="V4" s="3519" t="s">
        <v>2300</v>
      </c>
      <c r="W4" s="3519"/>
      <c r="X4" s="1508"/>
      <c r="Y4" s="3513" t="s">
        <v>2302</v>
      </c>
      <c r="Z4" s="3514"/>
      <c r="AA4" s="3500" t="s">
        <v>2298</v>
      </c>
      <c r="AB4" s="3500" t="s">
        <v>2299</v>
      </c>
      <c r="AC4" s="3500" t="s">
        <v>2300</v>
      </c>
    </row>
    <row r="5" spans="1:29" ht="15">
      <c r="A5" s="364"/>
      <c r="B5" s="365"/>
      <c r="C5" s="3522" t="s">
        <v>2303</v>
      </c>
      <c r="D5" s="3523"/>
      <c r="E5" s="3529" t="s">
        <v>2304</v>
      </c>
      <c r="F5" s="3530"/>
      <c r="G5" s="3522" t="s">
        <v>2305</v>
      </c>
      <c r="H5" s="3523"/>
      <c r="I5" s="3522" t="s">
        <v>2306</v>
      </c>
      <c r="J5" s="3523"/>
      <c r="K5" s="2044"/>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2044"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524" t="s">
        <v>2310</v>
      </c>
      <c r="Q7" s="3526"/>
      <c r="R7" s="710" t="s">
        <v>23</v>
      </c>
      <c r="S7" s="711">
        <f t="shared" ref="S7:S15" si="0">F7</f>
        <v>0</v>
      </c>
      <c r="T7" s="710" t="s">
        <v>23</v>
      </c>
      <c r="U7" s="711">
        <f t="shared" ref="U7:U15" si="1">H7</f>
        <v>0</v>
      </c>
      <c r="V7" s="710" t="s">
        <v>23</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524" t="s">
        <v>2313</v>
      </c>
      <c r="Q8" s="3525"/>
      <c r="R8" s="710" t="s">
        <v>23</v>
      </c>
      <c r="S8" s="711">
        <f t="shared" si="0"/>
        <v>0</v>
      </c>
      <c r="T8" s="710" t="s">
        <v>23</v>
      </c>
      <c r="U8" s="711">
        <f t="shared" si="1"/>
        <v>0</v>
      </c>
      <c r="V8" s="710" t="s">
        <v>23</v>
      </c>
      <c r="W8" s="711">
        <f t="shared" si="2"/>
        <v>0</v>
      </c>
      <c r="X8" s="712"/>
      <c r="Y8" s="3524" t="s">
        <v>2313</v>
      </c>
      <c r="Z8" s="352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99"/>
      <c r="Q11" s="1496"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499"/>
      <c r="Q12" s="1496">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499"/>
      <c r="Q13" s="1496">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499"/>
      <c r="Q14" s="1496">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97" t="s">
        <v>2321</v>
      </c>
      <c r="Q15" s="1505" t="str">
        <f t="shared" si="6"/>
        <v>居住社区成熟度</v>
      </c>
      <c r="R15" s="714" t="s">
        <v>21</v>
      </c>
      <c r="S15" s="715">
        <f t="shared" si="0"/>
        <v>100</v>
      </c>
      <c r="T15" s="714" t="s">
        <v>21</v>
      </c>
      <c r="U15" s="715">
        <f t="shared" si="1"/>
        <v>100</v>
      </c>
      <c r="V15" s="714" t="s">
        <v>21</v>
      </c>
      <c r="W15" s="715">
        <f t="shared" si="2"/>
        <v>100</v>
      </c>
      <c r="X15" s="1508"/>
      <c r="Y15" s="3490" t="s">
        <v>2321</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9"/>
      <c r="M16" s="2913"/>
      <c r="N16" s="2913"/>
      <c r="O16" s="2913"/>
      <c r="P16" s="3498"/>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98"/>
      <c r="Q17" s="1505" t="str">
        <f>B17</f>
        <v>交通便捷度</v>
      </c>
      <c r="R17" s="714" t="s">
        <v>21</v>
      </c>
      <c r="S17" s="715">
        <f>F17</f>
        <v>100</v>
      </c>
      <c r="T17" s="714" t="s">
        <v>21</v>
      </c>
      <c r="U17" s="715">
        <f>H17</f>
        <v>100</v>
      </c>
      <c r="V17" s="714" t="s">
        <v>21</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9"/>
      <c r="M18" s="2913"/>
      <c r="N18" s="2913"/>
      <c r="O18" s="2913"/>
      <c r="P18" s="3498"/>
      <c r="Q18" s="1505"/>
      <c r="R18" s="714"/>
      <c r="S18" s="715"/>
      <c r="T18" s="714"/>
      <c r="U18" s="715"/>
      <c r="V18" s="714"/>
      <c r="W18" s="715"/>
      <c r="X18" s="1508"/>
      <c r="Y18" s="3491"/>
      <c r="Z18" s="1509"/>
      <c r="AA18" s="1506">
        <v>1</v>
      </c>
      <c r="AB18" s="1506">
        <v>1</v>
      </c>
      <c r="AC18" s="1506">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98"/>
      <c r="Q19" s="1505" t="str">
        <f>B19</f>
        <v>公共配套设施</v>
      </c>
      <c r="R19" s="714" t="s">
        <v>21</v>
      </c>
      <c r="S19" s="715">
        <f>F19</f>
        <v>100</v>
      </c>
      <c r="T19" s="714" t="s">
        <v>21</v>
      </c>
      <c r="U19" s="715">
        <f>H19</f>
        <v>100</v>
      </c>
      <c r="V19" s="714" t="s">
        <v>21</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9"/>
      <c r="M20" s="2913"/>
      <c r="N20" s="2913"/>
      <c r="O20" s="2913"/>
      <c r="P20" s="3498"/>
      <c r="Q20" s="1505"/>
      <c r="R20" s="714"/>
      <c r="S20" s="715"/>
      <c r="T20" s="714"/>
      <c r="U20" s="715"/>
      <c r="V20" s="714"/>
      <c r="W20" s="715"/>
      <c r="X20" s="1508"/>
      <c r="Y20" s="3491"/>
      <c r="Z20" s="1509"/>
      <c r="AA20" s="1506">
        <v>1</v>
      </c>
      <c r="AB20" s="1506">
        <v>1</v>
      </c>
      <c r="AC20" s="1506">
        <v>1</v>
      </c>
    </row>
    <row r="21" spans="1:29" ht="28.5">
      <c r="A21" s="387"/>
      <c r="B21" s="1264"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7"/>
      <c r="G22" s="2058"/>
      <c r="H22" s="407"/>
      <c r="I22" s="406"/>
      <c r="J22" s="407"/>
      <c r="K22" s="2059"/>
      <c r="L22" s="2919"/>
      <c r="M22" s="2913"/>
      <c r="N22" s="2913"/>
      <c r="O22" s="2913"/>
      <c r="P22" s="3498"/>
      <c r="Q22" s="1505"/>
      <c r="R22" s="714"/>
      <c r="S22" s="715"/>
      <c r="T22" s="714"/>
      <c r="U22" s="715"/>
      <c r="V22" s="714"/>
      <c r="W22" s="715"/>
      <c r="X22" s="1508"/>
      <c r="Y22" s="3491"/>
      <c r="Z22" s="1509"/>
      <c r="AA22" s="1506">
        <v>1</v>
      </c>
      <c r="AB22" s="1506">
        <v>1</v>
      </c>
      <c r="AC22" s="1506">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98"/>
      <c r="Q23" s="1505" t="str">
        <f>B23</f>
        <v>自然及人文环境</v>
      </c>
      <c r="R23" s="714" t="s">
        <v>21</v>
      </c>
      <c r="S23" s="715">
        <f>F23</f>
        <v>100</v>
      </c>
      <c r="T23" s="714" t="s">
        <v>21</v>
      </c>
      <c r="U23" s="715">
        <f>H23</f>
        <v>100</v>
      </c>
      <c r="V23" s="714" t="s">
        <v>21</v>
      </c>
      <c r="W23" s="715">
        <f>J23</f>
        <v>100</v>
      </c>
      <c r="X23" s="1508"/>
      <c r="Y23" s="3491"/>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9"/>
      <c r="M24" s="2913"/>
      <c r="N24" s="2913"/>
      <c r="O24" s="2913"/>
      <c r="P24" s="3498"/>
      <c r="Q24" s="1505"/>
      <c r="R24" s="714"/>
      <c r="S24" s="715"/>
      <c r="T24" s="714"/>
      <c r="U24" s="715"/>
      <c r="V24" s="714"/>
      <c r="W24" s="715"/>
      <c r="X24" s="1508"/>
      <c r="Y24" s="3491"/>
      <c r="Z24" s="1509"/>
      <c r="AA24" s="1506">
        <v>1</v>
      </c>
      <c r="AB24" s="1506">
        <v>1</v>
      </c>
      <c r="AC24" s="1506">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49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1"/>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498"/>
      <c r="Q26" s="1505" t="str">
        <f t="shared" si="11"/>
        <v>朝向</v>
      </c>
      <c r="R26" s="714" t="s">
        <v>21</v>
      </c>
      <c r="S26" s="715">
        <f t="shared" si="12"/>
        <v>100</v>
      </c>
      <c r="T26" s="714" t="s">
        <v>21</v>
      </c>
      <c r="U26" s="715">
        <f t="shared" si="13"/>
        <v>100</v>
      </c>
      <c r="V26" s="714" t="s">
        <v>21</v>
      </c>
      <c r="W26" s="715">
        <f t="shared" si="14"/>
        <v>100</v>
      </c>
      <c r="X26" s="1508"/>
      <c r="Y26" s="3491"/>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498"/>
      <c r="Q27" s="1496">
        <f t="shared" si="11"/>
        <v>111</v>
      </c>
      <c r="R27" s="710" t="s">
        <v>21</v>
      </c>
      <c r="S27" s="711">
        <f t="shared" si="12"/>
        <v>100</v>
      </c>
      <c r="T27" s="710" t="s">
        <v>21</v>
      </c>
      <c r="U27" s="711">
        <f t="shared" si="13"/>
        <v>100</v>
      </c>
      <c r="V27" s="710" t="s">
        <v>21</v>
      </c>
      <c r="W27" s="711">
        <f t="shared" si="14"/>
        <v>100</v>
      </c>
      <c r="X27" s="712"/>
      <c r="Y27" s="3491"/>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498"/>
      <c r="Q28" s="1505">
        <f t="shared" si="11"/>
        <v>111</v>
      </c>
      <c r="R28" s="714" t="s">
        <v>21</v>
      </c>
      <c r="S28" s="715">
        <f t="shared" si="12"/>
        <v>100</v>
      </c>
      <c r="T28" s="714" t="s">
        <v>21</v>
      </c>
      <c r="U28" s="715">
        <f t="shared" si="13"/>
        <v>100</v>
      </c>
      <c r="V28" s="714" t="s">
        <v>21</v>
      </c>
      <c r="W28" s="715">
        <f t="shared" si="14"/>
        <v>100</v>
      </c>
      <c r="X28" s="1508"/>
      <c r="Y28" s="3491"/>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498"/>
      <c r="Q29" s="1505">
        <f t="shared" si="11"/>
        <v>111</v>
      </c>
      <c r="R29" s="714" t="s">
        <v>21</v>
      </c>
      <c r="S29" s="715">
        <f t="shared" si="12"/>
        <v>100</v>
      </c>
      <c r="T29" s="714" t="s">
        <v>21</v>
      </c>
      <c r="U29" s="715">
        <f t="shared" si="13"/>
        <v>100</v>
      </c>
      <c r="V29" s="714" t="s">
        <v>21</v>
      </c>
      <c r="W29" s="715">
        <f t="shared" si="14"/>
        <v>100</v>
      </c>
      <c r="X29" s="1508"/>
      <c r="Y29" s="3491"/>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498"/>
      <c r="Q30" s="1505">
        <f t="shared" si="11"/>
        <v>111</v>
      </c>
      <c r="R30" s="714" t="s">
        <v>21</v>
      </c>
      <c r="S30" s="715">
        <f t="shared" si="12"/>
        <v>100</v>
      </c>
      <c r="T30" s="714" t="s">
        <v>21</v>
      </c>
      <c r="U30" s="715">
        <f t="shared" si="13"/>
        <v>100</v>
      </c>
      <c r="V30" s="714" t="s">
        <v>21</v>
      </c>
      <c r="W30" s="715">
        <f t="shared" si="14"/>
        <v>100</v>
      </c>
      <c r="X30" s="1508"/>
      <c r="Y30" s="3491"/>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498"/>
      <c r="Q31" s="1505">
        <f t="shared" si="11"/>
        <v>111</v>
      </c>
      <c r="R31" s="714" t="s">
        <v>21</v>
      </c>
      <c r="S31" s="715">
        <f t="shared" si="12"/>
        <v>100</v>
      </c>
      <c r="T31" s="714" t="s">
        <v>21</v>
      </c>
      <c r="U31" s="715">
        <f t="shared" si="13"/>
        <v>100</v>
      </c>
      <c r="V31" s="714" t="s">
        <v>21</v>
      </c>
      <c r="W31" s="715">
        <f t="shared" si="14"/>
        <v>100</v>
      </c>
      <c r="X31" s="1508"/>
      <c r="Y31" s="3491"/>
      <c r="Z31" s="1509">
        <f t="shared" si="18"/>
        <v>111</v>
      </c>
      <c r="AA31" s="1506">
        <f t="shared" si="15"/>
        <v>1</v>
      </c>
      <c r="AB31" s="1506">
        <f t="shared" si="16"/>
        <v>1</v>
      </c>
      <c r="AC31" s="1506">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492" t="s">
        <v>2326</v>
      </c>
      <c r="Q32" s="1505" t="str">
        <f t="shared" si="11"/>
        <v>建筑类型</v>
      </c>
      <c r="R32" s="714" t="s">
        <v>21</v>
      </c>
      <c r="S32" s="715">
        <f t="shared" si="12"/>
        <v>100</v>
      </c>
      <c r="T32" s="714" t="s">
        <v>21</v>
      </c>
      <c r="U32" s="715">
        <f t="shared" si="13"/>
        <v>100</v>
      </c>
      <c r="V32" s="714" t="s">
        <v>21</v>
      </c>
      <c r="W32" s="715">
        <f t="shared" si="14"/>
        <v>100</v>
      </c>
      <c r="X32" s="1508"/>
      <c r="Y32" s="3495"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506" t="e">
        <f t="shared" si="15"/>
        <v>#N/A</v>
      </c>
      <c r="AB33" s="1506" t="e">
        <f t="shared" si="16"/>
        <v>#N/A</v>
      </c>
      <c r="AC33" s="1506"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93"/>
      <c r="Q34" s="1505" t="str">
        <f t="shared" si="11"/>
        <v>建筑结构</v>
      </c>
      <c r="R34" s="714" t="s">
        <v>21</v>
      </c>
      <c r="S34" s="715">
        <f t="shared" si="12"/>
        <v>100</v>
      </c>
      <c r="T34" s="714" t="s">
        <v>21</v>
      </c>
      <c r="U34" s="715">
        <f t="shared" si="13"/>
        <v>100</v>
      </c>
      <c r="V34" s="714" t="s">
        <v>21</v>
      </c>
      <c r="W34" s="715">
        <f t="shared" si="14"/>
        <v>100</v>
      </c>
      <c r="X34" s="1508"/>
      <c r="Y34" s="3495"/>
      <c r="Z34" s="1509" t="str">
        <f t="shared" si="18"/>
        <v>建筑结构</v>
      </c>
      <c r="AA34" s="1506">
        <f t="shared" si="15"/>
        <v>1</v>
      </c>
      <c r="AB34" s="1506">
        <f t="shared" si="16"/>
        <v>1</v>
      </c>
      <c r="AC34" s="1506">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493"/>
      <c r="Q35" s="1505" t="str">
        <f t="shared" si="11"/>
        <v>建筑品质</v>
      </c>
      <c r="R35" s="714" t="s">
        <v>21</v>
      </c>
      <c r="S35" s="715">
        <f t="shared" si="12"/>
        <v>100</v>
      </c>
      <c r="T35" s="714" t="s">
        <v>21</v>
      </c>
      <c r="U35" s="715">
        <f t="shared" si="13"/>
        <v>100</v>
      </c>
      <c r="V35" s="714" t="s">
        <v>21</v>
      </c>
      <c r="W35" s="715">
        <f t="shared" si="14"/>
        <v>100</v>
      </c>
      <c r="X35" s="1508"/>
      <c r="Y35" s="3495"/>
      <c r="Z35" s="1509" t="str">
        <f t="shared" si="18"/>
        <v>建筑品质</v>
      </c>
      <c r="AA35" s="1506">
        <f t="shared" si="15"/>
        <v>1</v>
      </c>
      <c r="AB35" s="1506">
        <f t="shared" si="16"/>
        <v>1</v>
      </c>
      <c r="AC35" s="1506">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493"/>
      <c r="Q36" s="1505" t="str">
        <f t="shared" si="11"/>
        <v>公共部分装修</v>
      </c>
      <c r="R36" s="714" t="s">
        <v>21</v>
      </c>
      <c r="S36" s="715">
        <f t="shared" si="12"/>
        <v>100</v>
      </c>
      <c r="T36" s="714" t="s">
        <v>21</v>
      </c>
      <c r="U36" s="715">
        <f t="shared" si="13"/>
        <v>100</v>
      </c>
      <c r="V36" s="714" t="s">
        <v>21</v>
      </c>
      <c r="W36" s="715">
        <f t="shared" si="14"/>
        <v>100</v>
      </c>
      <c r="X36" s="1508"/>
      <c r="Y36" s="3495"/>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93"/>
      <c r="Q37" s="1496"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493" t="s">
        <v>2326</v>
      </c>
      <c r="Q38" s="1505" t="str">
        <f t="shared" si="11"/>
        <v>物业管理</v>
      </c>
      <c r="R38" s="714" t="s">
        <v>21</v>
      </c>
      <c r="S38" s="715">
        <f t="shared" si="12"/>
        <v>100</v>
      </c>
      <c r="T38" s="714" t="s">
        <v>21</v>
      </c>
      <c r="U38" s="715">
        <f t="shared" si="13"/>
        <v>100</v>
      </c>
      <c r="V38" s="714" t="s">
        <v>21</v>
      </c>
      <c r="W38" s="715">
        <f t="shared" si="14"/>
        <v>100</v>
      </c>
      <c r="X38" s="1508"/>
      <c r="Y38" s="3495" t="s">
        <v>2326</v>
      </c>
      <c r="Z38" s="1509" t="str">
        <f t="shared" si="18"/>
        <v>物业管理</v>
      </c>
      <c r="AA38" s="1506">
        <f t="shared" si="15"/>
        <v>1</v>
      </c>
      <c r="AB38" s="1506">
        <f t="shared" si="16"/>
        <v>1</v>
      </c>
      <c r="AC38" s="1506">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493"/>
      <c r="Q39" s="1505" t="str">
        <f t="shared" si="11"/>
        <v>市政基础设施</v>
      </c>
      <c r="R39" s="714" t="s">
        <v>21</v>
      </c>
      <c r="S39" s="715">
        <f t="shared" si="12"/>
        <v>100</v>
      </c>
      <c r="T39" s="714" t="s">
        <v>21</v>
      </c>
      <c r="U39" s="715">
        <f t="shared" si="13"/>
        <v>100</v>
      </c>
      <c r="V39" s="714" t="s">
        <v>21</v>
      </c>
      <c r="W39" s="715">
        <f t="shared" si="14"/>
        <v>100</v>
      </c>
      <c r="X39" s="1508"/>
      <c r="Y39" s="3495"/>
      <c r="Z39" s="1509" t="str">
        <f t="shared" si="18"/>
        <v>市政基础设施</v>
      </c>
      <c r="AA39" s="1506">
        <f t="shared" si="15"/>
        <v>1</v>
      </c>
      <c r="AB39" s="1506">
        <f t="shared" si="16"/>
        <v>1</v>
      </c>
      <c r="AC39" s="1506">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493"/>
      <c r="Q40" s="1505" t="str">
        <f t="shared" si="11"/>
        <v>房型</v>
      </c>
      <c r="R40" s="714" t="s">
        <v>21</v>
      </c>
      <c r="S40" s="715">
        <f t="shared" si="12"/>
        <v>100</v>
      </c>
      <c r="T40" s="714" t="s">
        <v>21</v>
      </c>
      <c r="U40" s="715">
        <f t="shared" si="13"/>
        <v>100</v>
      </c>
      <c r="V40" s="714" t="s">
        <v>21</v>
      </c>
      <c r="W40" s="715">
        <f t="shared" si="14"/>
        <v>100</v>
      </c>
      <c r="X40" s="1508"/>
      <c r="Y40" s="3495"/>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506">
        <f t="shared" si="15"/>
        <v>1</v>
      </c>
      <c r="AB41" s="1506">
        <f t="shared" si="16"/>
        <v>1</v>
      </c>
      <c r="AC41" s="1506">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493"/>
      <c r="Q42" s="1505" t="str">
        <f t="shared" si="11"/>
        <v>内部装修</v>
      </c>
      <c r="R42" s="714" t="s">
        <v>21</v>
      </c>
      <c r="S42" s="715">
        <f t="shared" si="12"/>
        <v>100</v>
      </c>
      <c r="T42" s="714" t="s">
        <v>21</v>
      </c>
      <c r="U42" s="715">
        <f t="shared" si="13"/>
        <v>100</v>
      </c>
      <c r="V42" s="714" t="s">
        <v>21</v>
      </c>
      <c r="W42" s="715">
        <f t="shared" si="14"/>
        <v>100</v>
      </c>
      <c r="X42" s="1508"/>
      <c r="Y42" s="3495"/>
      <c r="Z42" s="1509" t="str">
        <f t="shared" si="18"/>
        <v>内部装修</v>
      </c>
      <c r="AA42" s="1506">
        <f t="shared" si="15"/>
        <v>1</v>
      </c>
      <c r="AB42" s="1506">
        <f t="shared" si="16"/>
        <v>1</v>
      </c>
      <c r="AC42" s="1506">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493"/>
      <c r="Q43" s="1505" t="str">
        <f t="shared" si="11"/>
        <v>内部装修维护情况</v>
      </c>
      <c r="R43" s="714" t="s">
        <v>21</v>
      </c>
      <c r="S43" s="715">
        <f t="shared" si="12"/>
        <v>100</v>
      </c>
      <c r="T43" s="714" t="s">
        <v>21</v>
      </c>
      <c r="U43" s="715">
        <f t="shared" si="13"/>
        <v>100</v>
      </c>
      <c r="V43" s="714" t="s">
        <v>21</v>
      </c>
      <c r="W43" s="715">
        <f t="shared" si="14"/>
        <v>100</v>
      </c>
      <c r="X43" s="1508"/>
      <c r="Y43" s="3495"/>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493"/>
      <c r="Q44" s="1496">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493"/>
      <c r="Q45" s="1505">
        <f t="shared" si="11"/>
        <v>111</v>
      </c>
      <c r="R45" s="714" t="s">
        <v>21</v>
      </c>
      <c r="S45" s="715">
        <f t="shared" si="12"/>
        <v>100</v>
      </c>
      <c r="T45" s="714" t="s">
        <v>21</v>
      </c>
      <c r="U45" s="715">
        <f t="shared" si="13"/>
        <v>100</v>
      </c>
      <c r="V45" s="714" t="s">
        <v>21</v>
      </c>
      <c r="W45" s="715">
        <f t="shared" si="14"/>
        <v>100</v>
      </c>
      <c r="X45" s="1508"/>
      <c r="Y45" s="3495"/>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494"/>
      <c r="Q46" s="1505">
        <f t="shared" si="11"/>
        <v>111</v>
      </c>
      <c r="R46" s="714" t="s">
        <v>20</v>
      </c>
      <c r="S46" s="715">
        <f t="shared" si="12"/>
        <v>100</v>
      </c>
      <c r="T46" s="714" t="s">
        <v>20</v>
      </c>
      <c r="U46" s="715">
        <f t="shared" si="13"/>
        <v>100</v>
      </c>
      <c r="V46" s="714" t="s">
        <v>20</v>
      </c>
      <c r="W46" s="715">
        <f t="shared" si="14"/>
        <v>100</v>
      </c>
      <c r="X46" s="1508"/>
      <c r="Y46" s="3496"/>
      <c r="Z46" s="1509">
        <f t="shared" si="18"/>
        <v>111</v>
      </c>
      <c r="AA46" s="1506">
        <f t="shared" si="15"/>
        <v>1</v>
      </c>
      <c r="AB46" s="1506">
        <f t="shared" si="16"/>
        <v>1</v>
      </c>
      <c r="AC46" s="1506">
        <f t="shared" si="17"/>
        <v>1</v>
      </c>
    </row>
    <row r="47" spans="1:29" ht="15">
      <c r="A47" s="438" t="s">
        <v>2338</v>
      </c>
      <c r="B47" s="439"/>
      <c r="C47" s="1287" t="s">
        <v>19</v>
      </c>
      <c r="D47" s="1288"/>
      <c r="E47" s="1289"/>
      <c r="F47" s="1290"/>
      <c r="G47" s="1291"/>
      <c r="H47" s="1292"/>
      <c r="I47" s="1289"/>
      <c r="J47" s="1292"/>
      <c r="K47" s="2068"/>
      <c r="L47" s="2921"/>
      <c r="M47" s="2922"/>
      <c r="N47" s="2913"/>
      <c r="O47" s="2922"/>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2339</v>
      </c>
      <c r="B48" s="446"/>
      <c r="C48" s="1293" t="e">
        <f>R49</f>
        <v>#DIV/0!</v>
      </c>
      <c r="D48" s="2506" t="s">
        <v>2819</v>
      </c>
      <c r="E48" s="1294" t="e">
        <f>R48</f>
        <v>#DIV/0!</v>
      </c>
      <c r="F48" s="2507"/>
      <c r="G48" s="1293" t="e">
        <f>T48</f>
        <v>#DIV/0!</v>
      </c>
      <c r="H48" s="2507"/>
      <c r="I48" s="1294" t="e">
        <f>V48</f>
        <v>#DIV/0!</v>
      </c>
      <c r="J48" s="2507"/>
      <c r="K48" s="2508">
        <f>F48+H48+J48</f>
        <v>0</v>
      </c>
      <c r="L48" s="2921"/>
      <c r="M48" s="2922"/>
      <c r="N48" s="2922"/>
      <c r="O48" s="2922"/>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2340</v>
      </c>
      <c r="B49" s="450"/>
      <c r="C49" s="1295" t="e">
        <f>R49</f>
        <v>#DIV/0!</v>
      </c>
      <c r="D49" s="1296"/>
      <c r="E49" s="1296"/>
      <c r="F49" s="1296"/>
      <c r="G49" s="1296"/>
      <c r="H49" s="1296"/>
      <c r="I49" s="1296"/>
      <c r="J49" s="1296"/>
      <c r="K49" s="2069"/>
      <c r="L49" s="2921"/>
      <c r="M49" s="2922"/>
      <c r="N49" s="2922"/>
      <c r="O49" s="2922"/>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1"/>
      <c r="L57" s="1072"/>
      <c r="M57" s="1070"/>
      <c r="N57" s="1070"/>
      <c r="O57" s="1070"/>
      <c r="P57" s="2072"/>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2349</v>
      </c>
      <c r="B63" s="485" t="s">
        <v>2315</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2371</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2372</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2324</v>
      </c>
      <c r="B100" s="485" t="s">
        <v>2373</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2375</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2376</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2377</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2378</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2379</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2380</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2335</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2381</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7">
        <f>ROUNDUP((J139-1)/2,0)</f>
        <v>10</v>
      </c>
      <c r="K140" s="1008">
        <v>100</v>
      </c>
    </row>
    <row r="141" spans="1:17" ht="15">
      <c r="B141" s="1003">
        <v>4</v>
      </c>
      <c r="C141" s="1004">
        <v>102</v>
      </c>
      <c r="D141" s="1004"/>
      <c r="E141" s="1005"/>
      <c r="F141" s="1006">
        <v>101.5</v>
      </c>
      <c r="G141" s="1004"/>
      <c r="H141" s="1007"/>
      <c r="I141" s="2096" t="s">
        <v>2395</v>
      </c>
      <c r="J141" s="277">
        <v>1</v>
      </c>
      <c r="K141" s="1009">
        <f>ROUND(100+(J141-J140)*K139*100,1)</f>
        <v>96.4</v>
      </c>
    </row>
    <row r="142" spans="1:17" ht="15">
      <c r="B142" s="1003">
        <v>3</v>
      </c>
      <c r="C142" s="1004">
        <v>103</v>
      </c>
      <c r="D142" s="1004"/>
      <c r="E142" s="1005"/>
      <c r="F142" s="1006">
        <v>101</v>
      </c>
      <c r="G142" s="1004"/>
      <c r="H142" s="1007"/>
      <c r="I142" s="2096" t="s">
        <v>2396</v>
      </c>
      <c r="J142" s="277">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估价对象为北京市房地产，为所有。根据《国有土地使用证》[]，估价对象（分摊）出让国有建设用地使用权面积为7552.72平方米，建筑面积为27069.54平方米。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估价对象为北京市房地产,属开发建设的，该项目尚在开发建设中。根据《国有土地使用证》[]，估价对象（分摊）出让国有建设用地使用权面积为7552.72平方米，规划建筑面积为27069.54平方米。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2022年2月23日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2403</v>
      </c>
      <c r="C1" s="1377" t="s">
        <v>2291</v>
      </c>
      <c r="D1" s="1364"/>
      <c r="E1" s="2511"/>
      <c r="F1" s="2033"/>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8" customFormat="1" ht="28.5" customHeight="1" thickBot="1">
      <c r="A3" s="209" t="s">
        <v>2090</v>
      </c>
      <c r="B3" s="566" t="e">
        <f ca="1">IF(C2="——",C49,ROUND(B2*10000/D3,0))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19"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19"/>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19"/>
      <c r="AC6" s="350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99"/>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99"/>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99"/>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99"/>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97" t="s">
        <v>2321</v>
      </c>
      <c r="Q15" s="1505" t="str">
        <f t="shared" si="6"/>
        <v>商业繁华度</v>
      </c>
      <c r="R15" s="714" t="s">
        <v>17</v>
      </c>
      <c r="S15" s="715">
        <f t="shared" si="0"/>
        <v>100</v>
      </c>
      <c r="T15" s="714" t="s">
        <v>17</v>
      </c>
      <c r="U15" s="715">
        <f t="shared" si="1"/>
        <v>100</v>
      </c>
      <c r="V15" s="714" t="s">
        <v>17</v>
      </c>
      <c r="W15" s="715">
        <f t="shared" si="2"/>
        <v>100</v>
      </c>
      <c r="X15" s="1508"/>
      <c r="Y15" s="3490"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98"/>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9"/>
      <c r="M18" s="2913"/>
      <c r="N18" s="2913"/>
      <c r="O18" s="2913"/>
      <c r="P18" s="3498"/>
      <c r="Q18" s="1505"/>
      <c r="R18" s="714"/>
      <c r="S18" s="715"/>
      <c r="T18" s="714"/>
      <c r="U18" s="715"/>
      <c r="V18" s="714"/>
      <c r="W18" s="715"/>
      <c r="X18" s="1508"/>
      <c r="Y18" s="3491"/>
      <c r="Z18" s="1509"/>
      <c r="AA18" s="1506">
        <v>1</v>
      </c>
      <c r="AB18" s="1506">
        <v>1</v>
      </c>
      <c r="AC18" s="1506">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9"/>
      <c r="M20" s="2913"/>
      <c r="N20" s="2913"/>
      <c r="O20" s="2913"/>
      <c r="P20" s="3498"/>
      <c r="Q20" s="1505"/>
      <c r="R20" s="714"/>
      <c r="S20" s="715"/>
      <c r="T20" s="714"/>
      <c r="U20" s="715"/>
      <c r="V20" s="714"/>
      <c r="W20" s="715"/>
      <c r="X20" s="1508"/>
      <c r="Y20" s="3491"/>
      <c r="Z20" s="1509"/>
      <c r="AA20" s="1506">
        <v>1</v>
      </c>
      <c r="AB20" s="1506">
        <v>1</v>
      </c>
      <c r="AC20" s="1506">
        <v>1</v>
      </c>
    </row>
    <row r="21" spans="1:29" ht="28.5">
      <c r="A21" s="387"/>
      <c r="B21" s="1264"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2919"/>
      <c r="M22" s="2913"/>
      <c r="N22" s="2913"/>
      <c r="O22" s="2913"/>
      <c r="P22" s="3498"/>
      <c r="Q22" s="1505"/>
      <c r="R22" s="714"/>
      <c r="S22" s="715"/>
      <c r="T22" s="714"/>
      <c r="U22" s="715"/>
      <c r="V22" s="714"/>
      <c r="W22" s="715"/>
      <c r="X22" s="1508"/>
      <c r="Y22" s="3491"/>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98"/>
      <c r="Q23" s="1505" t="str">
        <f>B23</f>
        <v>自然及人文环境</v>
      </c>
      <c r="R23" s="714" t="s">
        <v>17</v>
      </c>
      <c r="S23" s="715">
        <f>F23</f>
        <v>100</v>
      </c>
      <c r="T23" s="714" t="s">
        <v>17</v>
      </c>
      <c r="U23" s="715">
        <f>H23</f>
        <v>100</v>
      </c>
      <c r="V23" s="714" t="s">
        <v>17</v>
      </c>
      <c r="W23" s="715">
        <f>J23</f>
        <v>100</v>
      </c>
      <c r="X23" s="1508"/>
      <c r="Y23" s="3491"/>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9"/>
      <c r="M24" s="2913"/>
      <c r="N24" s="2913"/>
      <c r="O24" s="2913"/>
      <c r="P24" s="3498"/>
      <c r="Q24" s="1505"/>
      <c r="R24" s="714"/>
      <c r="S24" s="715"/>
      <c r="T24" s="714"/>
      <c r="U24" s="715"/>
      <c r="V24" s="714"/>
      <c r="W24" s="715"/>
      <c r="X24" s="1508"/>
      <c r="Y24" s="3491"/>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98"/>
      <c r="Q25" s="1505" t="str">
        <f t="shared" ref="Q25:Q46" si="11">B25</f>
        <v>临街状况</v>
      </c>
      <c r="R25" s="714" t="s">
        <v>17</v>
      </c>
      <c r="S25" s="715">
        <f>F25</f>
        <v>100</v>
      </c>
      <c r="T25" s="714" t="s">
        <v>17</v>
      </c>
      <c r="U25" s="715">
        <f>H25</f>
        <v>100</v>
      </c>
      <c r="V25" s="714" t="s">
        <v>17</v>
      </c>
      <c r="W25" s="715">
        <f>J25</f>
        <v>100</v>
      </c>
      <c r="X25" s="1508"/>
      <c r="Y25" s="3491"/>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98"/>
      <c r="Q26" s="1505" t="str">
        <f t="shared" si="11"/>
        <v>平面位置/可视性</v>
      </c>
      <c r="R26" s="714" t="s">
        <v>17</v>
      </c>
      <c r="S26" s="715">
        <f>F26</f>
        <v>100</v>
      </c>
      <c r="T26" s="714" t="s">
        <v>17</v>
      </c>
      <c r="U26" s="715">
        <f>H26</f>
        <v>100</v>
      </c>
      <c r="V26" s="714" t="s">
        <v>17</v>
      </c>
      <c r="W26" s="715">
        <f>J26</f>
        <v>100</v>
      </c>
      <c r="X26" s="1508"/>
      <c r="Y26" s="3491"/>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98"/>
      <c r="Q27" s="1496" t="str">
        <f t="shared" si="11"/>
        <v>人流量</v>
      </c>
      <c r="R27" s="710" t="s">
        <v>17</v>
      </c>
      <c r="S27" s="711">
        <f>F27</f>
        <v>100</v>
      </c>
      <c r="T27" s="710" t="s">
        <v>17</v>
      </c>
      <c r="U27" s="711">
        <f>H27</f>
        <v>100</v>
      </c>
      <c r="V27" s="710" t="s">
        <v>17</v>
      </c>
      <c r="W27" s="711">
        <f>J27</f>
        <v>100</v>
      </c>
      <c r="X27" s="712"/>
      <c r="Y27" s="3491"/>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9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1"/>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98"/>
      <c r="Q29" s="1505">
        <f t="shared" si="11"/>
        <v>111</v>
      </c>
      <c r="R29" s="714" t="s">
        <v>17</v>
      </c>
      <c r="S29" s="715">
        <f t="shared" si="12"/>
        <v>100</v>
      </c>
      <c r="T29" s="714" t="s">
        <v>17</v>
      </c>
      <c r="U29" s="715">
        <f t="shared" si="13"/>
        <v>100</v>
      </c>
      <c r="V29" s="714" t="s">
        <v>17</v>
      </c>
      <c r="W29" s="715">
        <f t="shared" si="14"/>
        <v>100</v>
      </c>
      <c r="X29" s="1508"/>
      <c r="Y29" s="3491"/>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1506">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492" t="s">
        <v>2326</v>
      </c>
      <c r="Q32" s="1505" t="str">
        <f t="shared" si="11"/>
        <v>商业类型</v>
      </c>
      <c r="R32" s="714" t="s">
        <v>17</v>
      </c>
      <c r="S32" s="715">
        <f t="shared" si="12"/>
        <v>100</v>
      </c>
      <c r="T32" s="714" t="s">
        <v>17</v>
      </c>
      <c r="U32" s="715">
        <f t="shared" si="13"/>
        <v>100</v>
      </c>
      <c r="V32" s="714" t="s">
        <v>17</v>
      </c>
      <c r="W32" s="715">
        <f t="shared" si="14"/>
        <v>100</v>
      </c>
      <c r="X32" s="1508"/>
      <c r="Y32" s="3495"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93"/>
      <c r="Q34" s="1505" t="str">
        <f t="shared" si="11"/>
        <v>建筑结构</v>
      </c>
      <c r="R34" s="714" t="s">
        <v>17</v>
      </c>
      <c r="S34" s="715">
        <f t="shared" si="12"/>
        <v>100</v>
      </c>
      <c r="T34" s="714" t="s">
        <v>17</v>
      </c>
      <c r="U34" s="715">
        <f t="shared" si="13"/>
        <v>100</v>
      </c>
      <c r="V34" s="714" t="s">
        <v>17</v>
      </c>
      <c r="W34" s="715">
        <f t="shared" si="14"/>
        <v>100</v>
      </c>
      <c r="X34" s="1508"/>
      <c r="Y34" s="3495"/>
      <c r="Z34" s="1509" t="str">
        <f t="shared" si="15"/>
        <v>建筑结构</v>
      </c>
      <c r="AA34" s="1506">
        <f t="shared" si="3"/>
        <v>1</v>
      </c>
      <c r="AB34" s="1506">
        <f t="shared" si="4"/>
        <v>1</v>
      </c>
      <c r="AC34" s="1506">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493"/>
      <c r="Q35" s="1505" t="str">
        <f t="shared" si="11"/>
        <v>公共部分装修</v>
      </c>
      <c r="R35" s="714" t="s">
        <v>17</v>
      </c>
      <c r="S35" s="715">
        <f t="shared" si="12"/>
        <v>100</v>
      </c>
      <c r="T35" s="714" t="s">
        <v>17</v>
      </c>
      <c r="U35" s="715">
        <f t="shared" si="13"/>
        <v>100</v>
      </c>
      <c r="V35" s="714" t="s">
        <v>17</v>
      </c>
      <c r="W35" s="715">
        <f t="shared" si="14"/>
        <v>100</v>
      </c>
      <c r="X35" s="1508"/>
      <c r="Y35" s="3495"/>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93"/>
      <c r="Q36" s="1505" t="str">
        <f t="shared" si="11"/>
        <v>成新度</v>
      </c>
      <c r="R36" s="714" t="s">
        <v>17</v>
      </c>
      <c r="S36" s="715" t="e">
        <f t="shared" si="12"/>
        <v>#N/A</v>
      </c>
      <c r="T36" s="714" t="s">
        <v>17</v>
      </c>
      <c r="U36" s="715" t="e">
        <f t="shared" si="13"/>
        <v>#N/A</v>
      </c>
      <c r="V36" s="714" t="s">
        <v>17</v>
      </c>
      <c r="W36" s="715" t="e">
        <f t="shared" si="14"/>
        <v>#N/A</v>
      </c>
      <c r="X36" s="1508"/>
      <c r="Y36" s="3495"/>
      <c r="Z36" s="1509" t="str">
        <f t="shared" si="15"/>
        <v>成新度</v>
      </c>
      <c r="AA36" s="1506" t="e">
        <f t="shared" si="3"/>
        <v>#N/A</v>
      </c>
      <c r="AB36" s="1506" t="e">
        <f t="shared" si="4"/>
        <v>#N/A</v>
      </c>
      <c r="AC36" s="1506"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493"/>
      <c r="Q37" s="1496"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493" t="s">
        <v>2326</v>
      </c>
      <c r="Q38" s="1505" t="str">
        <f t="shared" si="11"/>
        <v>业态</v>
      </c>
      <c r="R38" s="714" t="s">
        <v>17</v>
      </c>
      <c r="S38" s="715">
        <f t="shared" si="12"/>
        <v>100</v>
      </c>
      <c r="T38" s="714" t="s">
        <v>17</v>
      </c>
      <c r="U38" s="715">
        <f t="shared" si="13"/>
        <v>100</v>
      </c>
      <c r="V38" s="714" t="s">
        <v>17</v>
      </c>
      <c r="W38" s="715">
        <f t="shared" si="14"/>
        <v>100</v>
      </c>
      <c r="X38" s="1508"/>
      <c r="Y38" s="3495" t="s">
        <v>2326</v>
      </c>
      <c r="Z38" s="1509" t="str">
        <f t="shared" si="15"/>
        <v>业态</v>
      </c>
      <c r="AA38" s="1506">
        <f t="shared" si="3"/>
        <v>1</v>
      </c>
      <c r="AB38" s="1506">
        <f t="shared" si="4"/>
        <v>1</v>
      </c>
      <c r="AC38" s="1506">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493"/>
      <c r="Q39" s="1505" t="str">
        <f t="shared" si="11"/>
        <v>层高</v>
      </c>
      <c r="R39" s="714" t="s">
        <v>17</v>
      </c>
      <c r="S39" s="715">
        <f t="shared" si="12"/>
        <v>100</v>
      </c>
      <c r="T39" s="714" t="s">
        <v>17</v>
      </c>
      <c r="U39" s="715">
        <f t="shared" si="13"/>
        <v>100</v>
      </c>
      <c r="V39" s="714" t="s">
        <v>17</v>
      </c>
      <c r="W39" s="715">
        <f t="shared" si="14"/>
        <v>100</v>
      </c>
      <c r="X39" s="1508"/>
      <c r="Y39" s="3495"/>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93"/>
      <c r="Q40" s="1505" t="str">
        <f t="shared" si="11"/>
        <v>单套建筑面积</v>
      </c>
      <c r="R40" s="714" t="s">
        <v>17</v>
      </c>
      <c r="S40" s="715">
        <f t="shared" si="12"/>
        <v>100</v>
      </c>
      <c r="T40" s="714" t="s">
        <v>17</v>
      </c>
      <c r="U40" s="715">
        <f t="shared" si="13"/>
        <v>100</v>
      </c>
      <c r="V40" s="714" t="s">
        <v>17</v>
      </c>
      <c r="W40" s="715">
        <f t="shared" si="14"/>
        <v>100</v>
      </c>
      <c r="X40" s="1508"/>
      <c r="Y40" s="3495"/>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506">
        <f t="shared" si="3"/>
        <v>1</v>
      </c>
      <c r="AB41" s="1506">
        <f t="shared" si="4"/>
        <v>1</v>
      </c>
      <c r="AC41" s="1506">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493"/>
      <c r="Q42" s="1505" t="str">
        <f t="shared" si="11"/>
        <v>内部装修</v>
      </c>
      <c r="R42" s="714" t="s">
        <v>17</v>
      </c>
      <c r="S42" s="715">
        <f t="shared" si="12"/>
        <v>100</v>
      </c>
      <c r="T42" s="714" t="s">
        <v>17</v>
      </c>
      <c r="U42" s="715">
        <f t="shared" si="13"/>
        <v>100</v>
      </c>
      <c r="V42" s="714" t="s">
        <v>17</v>
      </c>
      <c r="W42" s="715">
        <f t="shared" si="14"/>
        <v>100</v>
      </c>
      <c r="X42" s="1508"/>
      <c r="Y42" s="3495"/>
      <c r="Z42" s="1509" t="str">
        <f t="shared" si="15"/>
        <v>内部装修</v>
      </c>
      <c r="AA42" s="1506">
        <f t="shared" si="3"/>
        <v>1</v>
      </c>
      <c r="AB42" s="1506">
        <f t="shared" si="4"/>
        <v>1</v>
      </c>
      <c r="AC42" s="1506">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493"/>
      <c r="Q43" s="1505" t="str">
        <f t="shared" si="11"/>
        <v>内部装修维护情况</v>
      </c>
      <c r="R43" s="714" t="s">
        <v>17</v>
      </c>
      <c r="S43" s="715">
        <f t="shared" si="12"/>
        <v>100</v>
      </c>
      <c r="T43" s="714" t="s">
        <v>17</v>
      </c>
      <c r="U43" s="715">
        <f t="shared" si="13"/>
        <v>100</v>
      </c>
      <c r="V43" s="714" t="s">
        <v>17</v>
      </c>
      <c r="W43" s="715">
        <f t="shared" si="14"/>
        <v>100</v>
      </c>
      <c r="X43" s="1508"/>
      <c r="Y43" s="3495"/>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93"/>
      <c r="Q44" s="1496">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93"/>
      <c r="Q45" s="1505">
        <f t="shared" si="11"/>
        <v>111</v>
      </c>
      <c r="R45" s="714" t="s">
        <v>17</v>
      </c>
      <c r="S45" s="715">
        <f t="shared" si="12"/>
        <v>100</v>
      </c>
      <c r="T45" s="714" t="s">
        <v>17</v>
      </c>
      <c r="U45" s="715">
        <f t="shared" si="13"/>
        <v>100</v>
      </c>
      <c r="V45" s="714" t="s">
        <v>17</v>
      </c>
      <c r="W45" s="715">
        <f t="shared" si="14"/>
        <v>100</v>
      </c>
      <c r="X45" s="1508"/>
      <c r="Y45" s="3495"/>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94"/>
      <c r="Q46" s="1505">
        <f t="shared" si="11"/>
        <v>111</v>
      </c>
      <c r="R46" s="714" t="s">
        <v>17</v>
      </c>
      <c r="S46" s="715">
        <f t="shared" si="12"/>
        <v>100</v>
      </c>
      <c r="T46" s="714" t="s">
        <v>17</v>
      </c>
      <c r="U46" s="715">
        <f t="shared" si="13"/>
        <v>100</v>
      </c>
      <c r="V46" s="714" t="s">
        <v>17</v>
      </c>
      <c r="W46" s="715">
        <f t="shared" si="14"/>
        <v>100</v>
      </c>
      <c r="X46" s="1508"/>
      <c r="Y46" s="3496"/>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88" t="str">
        <f>A47</f>
        <v>成交单价（元/平方米）</v>
      </c>
      <c r="Q47" s="3488"/>
      <c r="R47" s="3519">
        <f>E47</f>
        <v>0</v>
      </c>
      <c r="S47" s="3519"/>
      <c r="T47" s="3519">
        <f>G47</f>
        <v>0</v>
      </c>
      <c r="U47" s="3519"/>
      <c r="V47" s="3519">
        <f>I47</f>
        <v>0</v>
      </c>
      <c r="W47" s="3519"/>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2"/>
      <c r="M57" s="1070"/>
      <c r="N57" s="1070"/>
      <c r="O57" s="1070"/>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708"/>
      <c r="Q3" s="708"/>
      <c r="R3" s="708"/>
      <c r="S3" s="708"/>
      <c r="T3" s="708"/>
      <c r="U3" s="708"/>
      <c r="V3" s="708"/>
      <c r="W3" s="708"/>
      <c r="X3" s="708"/>
      <c r="Y3" s="708"/>
      <c r="Z3" s="708"/>
      <c r="AA3" s="708"/>
      <c r="AB3" s="708"/>
      <c r="AC3" s="709"/>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37" t="s">
        <v>2412</v>
      </c>
      <c r="Q4" s="3538"/>
      <c r="R4" s="3541" t="s">
        <v>2408</v>
      </c>
      <c r="S4" s="3542"/>
      <c r="T4" s="3541" t="s">
        <v>2409</v>
      </c>
      <c r="U4" s="3542"/>
      <c r="V4" s="3543" t="s">
        <v>2410</v>
      </c>
      <c r="W4" s="3543"/>
      <c r="X4" s="2112"/>
      <c r="Y4" s="3541" t="s">
        <v>2412</v>
      </c>
      <c r="Z4" s="3542"/>
      <c r="AA4" s="3545" t="s">
        <v>2408</v>
      </c>
      <c r="AB4" s="3545" t="s">
        <v>2409</v>
      </c>
      <c r="AC4" s="3534" t="s">
        <v>2410</v>
      </c>
    </row>
    <row r="5" spans="1:29" ht="15">
      <c r="A5" s="364"/>
      <c r="B5" s="365"/>
      <c r="C5" s="3522" t="s">
        <v>2303</v>
      </c>
      <c r="D5" s="3523"/>
      <c r="E5" s="3529" t="s">
        <v>2304</v>
      </c>
      <c r="F5" s="3530"/>
      <c r="G5" s="3522" t="s">
        <v>2305</v>
      </c>
      <c r="H5" s="3523"/>
      <c r="I5" s="3522" t="s">
        <v>2306</v>
      </c>
      <c r="J5" s="3523"/>
      <c r="K5" s="567"/>
      <c r="L5" s="2912"/>
      <c r="M5" s="2913"/>
      <c r="N5" s="2913"/>
      <c r="O5" s="2913"/>
      <c r="P5" s="3539"/>
      <c r="Q5" s="3510"/>
      <c r="R5" s="3515"/>
      <c r="S5" s="3516"/>
      <c r="T5" s="3515"/>
      <c r="U5" s="3516"/>
      <c r="V5" s="3519"/>
      <c r="W5" s="3519"/>
      <c r="X5" s="1508"/>
      <c r="Y5" s="3515"/>
      <c r="Z5" s="3516"/>
      <c r="AA5" s="3501"/>
      <c r="AB5" s="3501"/>
      <c r="AC5" s="3535"/>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40"/>
      <c r="Q6" s="3512"/>
      <c r="R6" s="3515"/>
      <c r="S6" s="3516"/>
      <c r="T6" s="3517"/>
      <c r="U6" s="3518"/>
      <c r="V6" s="3519"/>
      <c r="W6" s="3519"/>
      <c r="X6" s="1508"/>
      <c r="Y6" s="3517"/>
      <c r="Z6" s="3518"/>
      <c r="AA6" s="3502"/>
      <c r="AB6" s="3502"/>
      <c r="AC6" s="3536"/>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4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44" t="s">
        <v>2313</v>
      </c>
      <c r="Q8" s="3525"/>
      <c r="R8" s="710" t="s">
        <v>17</v>
      </c>
      <c r="S8" s="711">
        <f t="shared" si="0"/>
        <v>0</v>
      </c>
      <c r="T8" s="710" t="s">
        <v>17</v>
      </c>
      <c r="U8" s="711">
        <f t="shared" si="1"/>
        <v>0</v>
      </c>
      <c r="V8" s="710" t="s">
        <v>17</v>
      </c>
      <c r="W8" s="711">
        <f t="shared" si="2"/>
        <v>0</v>
      </c>
      <c r="X8" s="712"/>
      <c r="Y8" s="3524" t="s">
        <v>2313</v>
      </c>
      <c r="Z8" s="3525"/>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99"/>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99"/>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99"/>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99"/>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97" t="s">
        <v>2321</v>
      </c>
      <c r="Q15" s="1505" t="str">
        <f t="shared" si="6"/>
        <v>办公集聚程度</v>
      </c>
      <c r="R15" s="714" t="s">
        <v>17</v>
      </c>
      <c r="S15" s="715">
        <f t="shared" si="0"/>
        <v>100</v>
      </c>
      <c r="T15" s="714" t="s">
        <v>17</v>
      </c>
      <c r="U15" s="715">
        <f t="shared" si="1"/>
        <v>100</v>
      </c>
      <c r="V15" s="714" t="s">
        <v>17</v>
      </c>
      <c r="W15" s="715">
        <f t="shared" si="2"/>
        <v>100</v>
      </c>
      <c r="X15" s="1508"/>
      <c r="Y15" s="3490" t="s">
        <v>2321</v>
      </c>
      <c r="Z15" s="1509" t="str">
        <f t="shared" si="7"/>
        <v>办公集聚程度</v>
      </c>
      <c r="AA15" s="1506">
        <f t="shared" si="3"/>
        <v>1</v>
      </c>
      <c r="AB15" s="1506">
        <f t="shared" si="4"/>
        <v>1</v>
      </c>
      <c r="AC15" s="2116">
        <f t="shared" si="5"/>
        <v>1</v>
      </c>
    </row>
    <row r="16" spans="1:29" ht="15">
      <c r="A16" s="387"/>
      <c r="B16" s="586"/>
      <c r="C16" s="2058"/>
      <c r="D16" s="407"/>
      <c r="E16" s="406"/>
      <c r="F16" s="407"/>
      <c r="G16" s="2058"/>
      <c r="H16" s="409"/>
      <c r="I16" s="406"/>
      <c r="J16" s="407"/>
      <c r="K16" s="572"/>
      <c r="L16" s="2919"/>
      <c r="M16" s="2913"/>
      <c r="N16" s="2913"/>
      <c r="O16" s="2913"/>
      <c r="P16" s="3498"/>
      <c r="Q16" s="1505"/>
      <c r="R16" s="714"/>
      <c r="S16" s="715"/>
      <c r="T16" s="714"/>
      <c r="U16" s="715"/>
      <c r="V16" s="714"/>
      <c r="W16" s="715"/>
      <c r="X16" s="1508"/>
      <c r="Y16" s="3491"/>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2116">
        <f t="shared" si="5"/>
        <v>1</v>
      </c>
    </row>
    <row r="18" spans="1:29" ht="15">
      <c r="A18" s="387"/>
      <c r="B18" s="588"/>
      <c r="C18" s="2118"/>
      <c r="D18" s="409"/>
      <c r="E18" s="2056"/>
      <c r="F18" s="409"/>
      <c r="G18" s="2057"/>
      <c r="H18" s="407"/>
      <c r="I18" s="2057"/>
      <c r="J18" s="407"/>
      <c r="K18" s="572"/>
      <c r="L18" s="2919"/>
      <c r="M18" s="2913"/>
      <c r="N18" s="2913"/>
      <c r="O18" s="2913"/>
      <c r="P18" s="3498"/>
      <c r="Q18" s="1505"/>
      <c r="R18" s="714"/>
      <c r="S18" s="715"/>
      <c r="T18" s="714"/>
      <c r="U18" s="715"/>
      <c r="V18" s="714"/>
      <c r="W18" s="715"/>
      <c r="X18" s="1508"/>
      <c r="Y18" s="3491"/>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2116">
        <f t="shared" si="5"/>
        <v>1</v>
      </c>
    </row>
    <row r="20" spans="1:29" ht="15">
      <c r="A20" s="387"/>
      <c r="B20" s="588"/>
      <c r="C20" s="2058"/>
      <c r="D20" s="407"/>
      <c r="E20" s="2051"/>
      <c r="F20" s="407"/>
      <c r="G20" s="2052"/>
      <c r="H20" s="407"/>
      <c r="I20" s="2052"/>
      <c r="J20" s="407"/>
      <c r="K20" s="572"/>
      <c r="L20" s="2919"/>
      <c r="M20" s="2913"/>
      <c r="N20" s="2913"/>
      <c r="O20" s="2913"/>
      <c r="P20" s="3498"/>
      <c r="Q20" s="1505"/>
      <c r="R20" s="714"/>
      <c r="S20" s="715"/>
      <c r="T20" s="714"/>
      <c r="U20" s="715"/>
      <c r="V20" s="714"/>
      <c r="W20" s="715"/>
      <c r="X20" s="1508"/>
      <c r="Y20" s="3491"/>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8"/>
      <c r="H22" s="407"/>
      <c r="I22" s="2058"/>
      <c r="J22" s="407"/>
      <c r="K22" s="1263"/>
      <c r="L22" s="2919"/>
      <c r="M22" s="2913"/>
      <c r="N22" s="2913"/>
      <c r="O22" s="2913"/>
      <c r="P22" s="3498"/>
      <c r="Q22" s="1505"/>
      <c r="R22" s="714"/>
      <c r="S22" s="715"/>
      <c r="T22" s="714"/>
      <c r="U22" s="715"/>
      <c r="V22" s="714"/>
      <c r="W22" s="715"/>
      <c r="X22" s="1508"/>
      <c r="Y22" s="3491"/>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98"/>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2116">
        <f t="shared" si="5"/>
        <v>1</v>
      </c>
    </row>
    <row r="24" spans="1:29" ht="15">
      <c r="A24" s="387"/>
      <c r="B24" s="589"/>
      <c r="C24" s="2058"/>
      <c r="D24" s="407"/>
      <c r="E24" s="2051"/>
      <c r="F24" s="407"/>
      <c r="G24" s="2052"/>
      <c r="H24" s="407"/>
      <c r="I24" s="2052"/>
      <c r="J24" s="407"/>
      <c r="K24" s="572"/>
      <c r="L24" s="2919"/>
      <c r="M24" s="2913"/>
      <c r="N24" s="2913"/>
      <c r="O24" s="2913"/>
      <c r="P24" s="3498"/>
      <c r="Q24" s="1505"/>
      <c r="R24" s="714"/>
      <c r="S24" s="715"/>
      <c r="T24" s="714"/>
      <c r="U24" s="715"/>
      <c r="V24" s="714"/>
      <c r="W24" s="715"/>
      <c r="X24" s="1508"/>
      <c r="Y24" s="3491"/>
      <c r="Z24" s="1509"/>
      <c r="AA24" s="1506">
        <v>1</v>
      </c>
      <c r="AB24" s="1506">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498"/>
      <c r="Q25" s="1505" t="str">
        <f>B25</f>
        <v>毗邻道路的类型与等级</v>
      </c>
      <c r="R25" s="714" t="s">
        <v>17</v>
      </c>
      <c r="S25" s="715">
        <f>F25</f>
        <v>100</v>
      </c>
      <c r="T25" s="714" t="s">
        <v>17</v>
      </c>
      <c r="U25" s="715">
        <f>H25</f>
        <v>100</v>
      </c>
      <c r="V25" s="714" t="s">
        <v>17</v>
      </c>
      <c r="W25" s="715">
        <f>J25</f>
        <v>100</v>
      </c>
      <c r="X25" s="1508"/>
      <c r="Y25" s="3491"/>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98"/>
      <c r="Q26" s="1505"/>
      <c r="R26" s="714"/>
      <c r="S26" s="715"/>
      <c r="T26" s="714"/>
      <c r="U26" s="715"/>
      <c r="V26" s="714"/>
      <c r="W26" s="715"/>
      <c r="X26" s="1508"/>
      <c r="Y26" s="3491"/>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98"/>
      <c r="Q27" s="1505" t="str">
        <f t="shared" ref="Q27:Q47" si="11">B27</f>
        <v>楼层</v>
      </c>
      <c r="R27" s="714" t="s">
        <v>17</v>
      </c>
      <c r="S27" s="715">
        <f>F27</f>
        <v>100</v>
      </c>
      <c r="T27" s="714" t="s">
        <v>17</v>
      </c>
      <c r="U27" s="715">
        <f>H27</f>
        <v>100</v>
      </c>
      <c r="V27" s="714" t="s">
        <v>17</v>
      </c>
      <c r="W27" s="715">
        <f>J27</f>
        <v>100</v>
      </c>
      <c r="X27" s="1508"/>
      <c r="Y27" s="3491"/>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98"/>
      <c r="Q28" s="1496" t="str">
        <f t="shared" si="11"/>
        <v>朝向</v>
      </c>
      <c r="R28" s="710" t="s">
        <v>17</v>
      </c>
      <c r="S28" s="711">
        <f>F28</f>
        <v>100</v>
      </c>
      <c r="T28" s="710" t="s">
        <v>17</v>
      </c>
      <c r="U28" s="711">
        <f>H28</f>
        <v>100</v>
      </c>
      <c r="V28" s="710" t="s">
        <v>17</v>
      </c>
      <c r="W28" s="711">
        <f>J28</f>
        <v>100</v>
      </c>
      <c r="X28" s="712"/>
      <c r="Y28" s="3491"/>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98"/>
      <c r="Q29" s="1505">
        <f t="shared" si="11"/>
        <v>111</v>
      </c>
      <c r="R29" s="714" t="s">
        <v>17</v>
      </c>
      <c r="S29" s="715">
        <f t="shared" ref="S29:S47" si="12">F29</f>
        <v>100</v>
      </c>
      <c r="T29" s="714" t="s">
        <v>17</v>
      </c>
      <c r="U29" s="715">
        <f t="shared" ref="U29:U47" si="13">H29</f>
        <v>100</v>
      </c>
      <c r="V29" s="714" t="s">
        <v>17</v>
      </c>
      <c r="W29" s="715">
        <f t="shared" ref="W29:W47" si="14">J29</f>
        <v>100</v>
      </c>
      <c r="X29" s="1508"/>
      <c r="Y29" s="3491"/>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98"/>
      <c r="Q32" s="1505">
        <f t="shared" si="11"/>
        <v>111</v>
      </c>
      <c r="R32" s="714" t="s">
        <v>17</v>
      </c>
      <c r="S32" s="715">
        <f t="shared" si="12"/>
        <v>100</v>
      </c>
      <c r="T32" s="714" t="s">
        <v>17</v>
      </c>
      <c r="U32" s="715">
        <f t="shared" si="13"/>
        <v>100</v>
      </c>
      <c r="V32" s="714" t="s">
        <v>17</v>
      </c>
      <c r="W32" s="715">
        <f t="shared" si="14"/>
        <v>100</v>
      </c>
      <c r="X32" s="1508"/>
      <c r="Y32" s="3491"/>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92" t="s">
        <v>2326</v>
      </c>
      <c r="Q33" s="1505" t="str">
        <f t="shared" si="11"/>
        <v>建筑类型</v>
      </c>
      <c r="R33" s="714" t="s">
        <v>17</v>
      </c>
      <c r="S33" s="715">
        <f t="shared" si="12"/>
        <v>100</v>
      </c>
      <c r="T33" s="714" t="s">
        <v>17</v>
      </c>
      <c r="U33" s="715">
        <f t="shared" si="13"/>
        <v>100</v>
      </c>
      <c r="V33" s="714" t="s">
        <v>17</v>
      </c>
      <c r="W33" s="715">
        <f t="shared" si="14"/>
        <v>100</v>
      </c>
      <c r="X33" s="1508"/>
      <c r="Y33" s="3495"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93"/>
      <c r="Q35" s="1505" t="str">
        <f t="shared" si="11"/>
        <v>建筑结构</v>
      </c>
      <c r="R35" s="714" t="s">
        <v>17</v>
      </c>
      <c r="S35" s="715">
        <f t="shared" si="12"/>
        <v>100</v>
      </c>
      <c r="T35" s="714" t="s">
        <v>17</v>
      </c>
      <c r="U35" s="715">
        <f t="shared" si="13"/>
        <v>100</v>
      </c>
      <c r="V35" s="714" t="s">
        <v>17</v>
      </c>
      <c r="W35" s="715">
        <f t="shared" si="14"/>
        <v>100</v>
      </c>
      <c r="X35" s="1508"/>
      <c r="Y35" s="3495"/>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93"/>
      <c r="Q36" s="1505" t="str">
        <f t="shared" si="11"/>
        <v>公共部分装修</v>
      </c>
      <c r="R36" s="714" t="s">
        <v>17</v>
      </c>
      <c r="S36" s="715">
        <f t="shared" si="12"/>
        <v>100</v>
      </c>
      <c r="T36" s="714" t="s">
        <v>17</v>
      </c>
      <c r="U36" s="715">
        <f t="shared" si="13"/>
        <v>100</v>
      </c>
      <c r="V36" s="714" t="s">
        <v>17</v>
      </c>
      <c r="W36" s="715">
        <f t="shared" si="14"/>
        <v>100</v>
      </c>
      <c r="X36" s="1508"/>
      <c r="Y36" s="3495"/>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93"/>
      <c r="Q37" s="1505" t="str">
        <f t="shared" si="11"/>
        <v>成新度</v>
      </c>
      <c r="R37" s="714" t="s">
        <v>17</v>
      </c>
      <c r="S37" s="715" t="e">
        <f t="shared" si="12"/>
        <v>#N/A</v>
      </c>
      <c r="T37" s="714" t="s">
        <v>17</v>
      </c>
      <c r="U37" s="715" t="e">
        <f t="shared" si="13"/>
        <v>#N/A</v>
      </c>
      <c r="V37" s="714" t="s">
        <v>17</v>
      </c>
      <c r="W37" s="715" t="e">
        <f t="shared" si="14"/>
        <v>#N/A</v>
      </c>
      <c r="X37" s="1508"/>
      <c r="Y37" s="3495"/>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93"/>
      <c r="Q38" s="1496"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93" t="s">
        <v>2326</v>
      </c>
      <c r="Q39" s="1505" t="str">
        <f t="shared" si="11"/>
        <v>物业管理</v>
      </c>
      <c r="R39" s="714" t="s">
        <v>17</v>
      </c>
      <c r="S39" s="715">
        <f t="shared" si="12"/>
        <v>100</v>
      </c>
      <c r="T39" s="714" t="s">
        <v>17</v>
      </c>
      <c r="U39" s="715">
        <f t="shared" si="13"/>
        <v>100</v>
      </c>
      <c r="V39" s="714" t="s">
        <v>17</v>
      </c>
      <c r="W39" s="715">
        <f t="shared" si="14"/>
        <v>100</v>
      </c>
      <c r="X39" s="1508"/>
      <c r="Y39" s="3495"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93"/>
      <c r="Q40" s="1505" t="str">
        <f t="shared" si="11"/>
        <v>市政基础设施</v>
      </c>
      <c r="R40" s="714" t="s">
        <v>17</v>
      </c>
      <c r="S40" s="715">
        <f t="shared" si="12"/>
        <v>100</v>
      </c>
      <c r="T40" s="714" t="s">
        <v>17</v>
      </c>
      <c r="U40" s="715">
        <f t="shared" si="13"/>
        <v>100</v>
      </c>
      <c r="V40" s="714" t="s">
        <v>17</v>
      </c>
      <c r="W40" s="715">
        <f t="shared" si="14"/>
        <v>100</v>
      </c>
      <c r="X40" s="1508"/>
      <c r="Y40" s="3495"/>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93"/>
      <c r="Q41" s="1505" t="str">
        <f t="shared" si="11"/>
        <v>层高</v>
      </c>
      <c r="R41" s="714" t="s">
        <v>17</v>
      </c>
      <c r="S41" s="715">
        <f t="shared" si="12"/>
        <v>100</v>
      </c>
      <c r="T41" s="714" t="s">
        <v>17</v>
      </c>
      <c r="U41" s="715">
        <f t="shared" si="13"/>
        <v>100</v>
      </c>
      <c r="V41" s="714" t="s">
        <v>17</v>
      </c>
      <c r="W41" s="715">
        <f t="shared" si="14"/>
        <v>100</v>
      </c>
      <c r="X41" s="1508"/>
      <c r="Y41" s="3495"/>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93"/>
      <c r="Q43" s="1505" t="str">
        <f t="shared" si="11"/>
        <v>内部装修</v>
      </c>
      <c r="R43" s="714" t="s">
        <v>17</v>
      </c>
      <c r="S43" s="715">
        <f t="shared" si="12"/>
        <v>100</v>
      </c>
      <c r="T43" s="714" t="s">
        <v>17</v>
      </c>
      <c r="U43" s="715">
        <f t="shared" si="13"/>
        <v>100</v>
      </c>
      <c r="V43" s="714" t="s">
        <v>17</v>
      </c>
      <c r="W43" s="715">
        <f t="shared" si="14"/>
        <v>100</v>
      </c>
      <c r="X43" s="1508"/>
      <c r="Y43" s="3495"/>
      <c r="Z43" s="1509" t="str">
        <f t="shared" si="15"/>
        <v>内部装修</v>
      </c>
      <c r="AA43" s="1506">
        <f t="shared" si="3"/>
        <v>1</v>
      </c>
      <c r="AB43" s="1506">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493"/>
      <c r="Q44" s="1505" t="str">
        <f t="shared" si="11"/>
        <v>内部装修维护情况</v>
      </c>
      <c r="R44" s="714" t="s">
        <v>17</v>
      </c>
      <c r="S44" s="715">
        <f t="shared" si="12"/>
        <v>100</v>
      </c>
      <c r="T44" s="714" t="s">
        <v>17</v>
      </c>
      <c r="U44" s="715">
        <f t="shared" si="13"/>
        <v>100</v>
      </c>
      <c r="V44" s="714" t="s">
        <v>17</v>
      </c>
      <c r="W44" s="715">
        <f t="shared" si="14"/>
        <v>100</v>
      </c>
      <c r="X44" s="1508"/>
      <c r="Y44" s="3495"/>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93"/>
      <c r="Q45" s="1496">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93"/>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94"/>
      <c r="Q47" s="1505">
        <f t="shared" si="11"/>
        <v>111</v>
      </c>
      <c r="R47" s="714" t="s">
        <v>17</v>
      </c>
      <c r="S47" s="715">
        <f t="shared" si="12"/>
        <v>100</v>
      </c>
      <c r="T47" s="714" t="s">
        <v>17</v>
      </c>
      <c r="U47" s="715">
        <f t="shared" si="13"/>
        <v>100</v>
      </c>
      <c r="V47" s="714" t="s">
        <v>17</v>
      </c>
      <c r="W47" s="715">
        <f t="shared" si="14"/>
        <v>100</v>
      </c>
      <c r="X47" s="1508"/>
      <c r="Y47" s="3496"/>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99"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99"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2"/>
      <c r="M58" s="1070"/>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27069.539999999997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1043"/>
      <c r="M4" s="1044"/>
      <c r="N4" s="1044"/>
      <c r="O4" s="1044"/>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1043"/>
      <c r="M5" s="1044"/>
      <c r="N5" s="1044"/>
      <c r="O5" s="1044"/>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1043"/>
      <c r="M6" s="1044"/>
      <c r="N6" s="1044"/>
      <c r="O6" s="1044"/>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524" t="s">
        <v>2313</v>
      </c>
      <c r="Q8" s="3525"/>
      <c r="R8" s="710" t="s">
        <v>17</v>
      </c>
      <c r="S8" s="711">
        <f t="shared" si="0"/>
        <v>0</v>
      </c>
      <c r="T8" s="710" t="s">
        <v>17</v>
      </c>
      <c r="U8" s="711">
        <f t="shared" si="1"/>
        <v>0</v>
      </c>
      <c r="V8" s="710" t="s">
        <v>17</v>
      </c>
      <c r="W8" s="711">
        <f t="shared" si="2"/>
        <v>0</v>
      </c>
      <c r="X8" s="712"/>
      <c r="Y8" s="3524" t="s">
        <v>2313</v>
      </c>
      <c r="Z8" s="352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5"/>
      <c r="M12" s="1046"/>
      <c r="N12" s="1046"/>
      <c r="O12" s="1047"/>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3"/>
      <c r="M13" s="1044"/>
      <c r="N13" s="1044"/>
      <c r="O13" s="1052"/>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3"/>
      <c r="M14" s="1044"/>
      <c r="N14" s="1044"/>
      <c r="O14" s="1052"/>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90" t="s">
        <v>2321</v>
      </c>
      <c r="Q15" s="1505" t="str">
        <f t="shared" si="6"/>
        <v>产业集聚程度</v>
      </c>
      <c r="R15" s="714" t="s">
        <v>17</v>
      </c>
      <c r="S15" s="715">
        <f t="shared" si="0"/>
        <v>100</v>
      </c>
      <c r="T15" s="714" t="s">
        <v>17</v>
      </c>
      <c r="U15" s="715">
        <f t="shared" si="1"/>
        <v>100</v>
      </c>
      <c r="V15" s="714" t="s">
        <v>17</v>
      </c>
      <c r="W15" s="715">
        <f t="shared" si="2"/>
        <v>100</v>
      </c>
      <c r="X15" s="1508"/>
      <c r="Y15" s="3490"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3"/>
      <c r="M16" s="1044"/>
      <c r="N16" s="1044"/>
      <c r="O16" s="1052"/>
      <c r="P16" s="3491"/>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3"/>
      <c r="M18" s="1044"/>
      <c r="N18" s="1044"/>
      <c r="O18" s="1052"/>
      <c r="P18" s="3491"/>
      <c r="Q18" s="1505"/>
      <c r="R18" s="714"/>
      <c r="S18" s="715"/>
      <c r="T18" s="714"/>
      <c r="U18" s="715"/>
      <c r="V18" s="714"/>
      <c r="W18" s="715"/>
      <c r="X18" s="1508"/>
      <c r="Y18" s="3491"/>
      <c r="Z18" s="1509"/>
      <c r="AA18" s="1506">
        <v>1</v>
      </c>
      <c r="AB18" s="1506">
        <v>1</v>
      </c>
      <c r="AC18" s="1506">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91"/>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3"/>
      <c r="M20" s="1044"/>
      <c r="N20" s="1044"/>
      <c r="O20" s="1052"/>
      <c r="P20" s="3491"/>
      <c r="Q20" s="1505"/>
      <c r="R20" s="714"/>
      <c r="S20" s="715"/>
      <c r="T20" s="714"/>
      <c r="U20" s="715"/>
      <c r="V20" s="714"/>
      <c r="W20" s="715"/>
      <c r="X20" s="1508"/>
      <c r="Y20" s="3491"/>
      <c r="Z20" s="1509"/>
      <c r="AA20" s="1506">
        <v>1</v>
      </c>
      <c r="AB20" s="1506">
        <v>1</v>
      </c>
      <c r="AC20" s="1506">
        <v>1</v>
      </c>
    </row>
    <row r="21" spans="1:29" ht="28.5">
      <c r="A21" s="387"/>
      <c r="B21" s="1264"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91"/>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1053"/>
      <c r="M22" s="1044"/>
      <c r="N22" s="1044"/>
      <c r="O22" s="1052"/>
      <c r="P22" s="3491"/>
      <c r="Q22" s="1505"/>
      <c r="R22" s="714"/>
      <c r="S22" s="715"/>
      <c r="T22" s="714"/>
      <c r="U22" s="715"/>
      <c r="V22" s="714"/>
      <c r="W22" s="715"/>
      <c r="X22" s="1508"/>
      <c r="Y22" s="3491"/>
      <c r="Z22" s="1509"/>
      <c r="AA22" s="1506">
        <v>1</v>
      </c>
      <c r="AB22" s="1506">
        <v>1</v>
      </c>
      <c r="AC22" s="1506">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91"/>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1506">
        <f t="shared" si="5"/>
        <v>1</v>
      </c>
    </row>
    <row r="24" spans="1:29" ht="15">
      <c r="A24" s="387"/>
      <c r="B24" s="1264"/>
      <c r="C24" s="406"/>
      <c r="D24" s="407"/>
      <c r="E24" s="2052"/>
      <c r="F24" s="408"/>
      <c r="G24" s="2051"/>
      <c r="H24" s="407"/>
      <c r="I24" s="2052"/>
      <c r="J24" s="407"/>
      <c r="K24" s="572"/>
      <c r="L24" s="1053"/>
      <c r="M24" s="1044"/>
      <c r="N24" s="1044"/>
      <c r="O24" s="1052"/>
      <c r="P24" s="3491"/>
      <c r="Q24" s="1505"/>
      <c r="R24" s="714"/>
      <c r="S24" s="715"/>
      <c r="T24" s="714"/>
      <c r="U24" s="715"/>
      <c r="V24" s="714"/>
      <c r="W24" s="715"/>
      <c r="X24" s="1508"/>
      <c r="Y24" s="3491"/>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91"/>
      <c r="Q25" s="1505">
        <f>B25</f>
        <v>111</v>
      </c>
      <c r="R25" s="714" t="s">
        <v>17</v>
      </c>
      <c r="S25" s="715">
        <f>F25</f>
        <v>100</v>
      </c>
      <c r="T25" s="714" t="s">
        <v>17</v>
      </c>
      <c r="U25" s="715">
        <f>H25</f>
        <v>100</v>
      </c>
      <c r="V25" s="714" t="s">
        <v>17</v>
      </c>
      <c r="W25" s="715">
        <f>J25</f>
        <v>100</v>
      </c>
      <c r="X25" s="1508"/>
      <c r="Y25" s="3491"/>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91"/>
      <c r="Q26" s="1505">
        <f t="shared" ref="Q26:Q40" si="11">B26</f>
        <v>111</v>
      </c>
      <c r="R26" s="714" t="s">
        <v>17</v>
      </c>
      <c r="S26" s="715">
        <f>F26</f>
        <v>100</v>
      </c>
      <c r="T26" s="714" t="s">
        <v>17</v>
      </c>
      <c r="U26" s="715">
        <f>H26</f>
        <v>100</v>
      </c>
      <c r="V26" s="714" t="s">
        <v>17</v>
      </c>
      <c r="W26" s="715">
        <f>J26</f>
        <v>100</v>
      </c>
      <c r="X26" s="1508"/>
      <c r="Y26" s="3491"/>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91"/>
      <c r="Q27" s="1496">
        <f t="shared" si="11"/>
        <v>111</v>
      </c>
      <c r="R27" s="710" t="s">
        <v>17</v>
      </c>
      <c r="S27" s="711">
        <f>F27</f>
        <v>100</v>
      </c>
      <c r="T27" s="710" t="s">
        <v>17</v>
      </c>
      <c r="U27" s="711">
        <f>H27</f>
        <v>100</v>
      </c>
      <c r="V27" s="710" t="s">
        <v>17</v>
      </c>
      <c r="W27" s="711">
        <f>J27</f>
        <v>100</v>
      </c>
      <c r="X27" s="712"/>
      <c r="Y27" s="3491"/>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91"/>
      <c r="Q28" s="1505">
        <f t="shared" si="11"/>
        <v>111</v>
      </c>
      <c r="R28" s="714" t="s">
        <v>17</v>
      </c>
      <c r="S28" s="715">
        <f t="shared" ref="S28:S40" si="12">F28</f>
        <v>100</v>
      </c>
      <c r="T28" s="714" t="s">
        <v>17</v>
      </c>
      <c r="U28" s="715">
        <f t="shared" ref="U28:U40" si="13">H28</f>
        <v>100</v>
      </c>
      <c r="V28" s="714" t="s">
        <v>17</v>
      </c>
      <c r="W28" s="715">
        <f t="shared" ref="W28:W40" si="14">J28</f>
        <v>100</v>
      </c>
      <c r="X28" s="1508"/>
      <c r="Y28" s="3491"/>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3"/>
      <c r="M29" s="1044"/>
      <c r="N29" s="1044"/>
      <c r="O29" s="1052"/>
      <c r="P29" s="3546" t="s">
        <v>2326</v>
      </c>
      <c r="Q29" s="1505" t="str">
        <f t="shared" si="11"/>
        <v>建筑类型</v>
      </c>
      <c r="R29" s="714" t="s">
        <v>17</v>
      </c>
      <c r="S29" s="715">
        <f t="shared" si="12"/>
        <v>100</v>
      </c>
      <c r="T29" s="714" t="s">
        <v>17</v>
      </c>
      <c r="U29" s="715">
        <f t="shared" si="13"/>
        <v>100</v>
      </c>
      <c r="V29" s="714" t="s">
        <v>17</v>
      </c>
      <c r="W29" s="715">
        <f t="shared" si="14"/>
        <v>100</v>
      </c>
      <c r="X29" s="1508"/>
      <c r="Y29" s="3495"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95"/>
      <c r="Q31" s="1505" t="str">
        <f t="shared" si="11"/>
        <v>建筑结构</v>
      </c>
      <c r="R31" s="714" t="s">
        <v>17</v>
      </c>
      <c r="S31" s="715">
        <f t="shared" si="12"/>
        <v>100</v>
      </c>
      <c r="T31" s="714" t="s">
        <v>17</v>
      </c>
      <c r="U31" s="715">
        <f t="shared" si="13"/>
        <v>100</v>
      </c>
      <c r="V31" s="714" t="s">
        <v>17</v>
      </c>
      <c r="W31" s="715">
        <f t="shared" si="14"/>
        <v>100</v>
      </c>
      <c r="X31" s="1508"/>
      <c r="Y31" s="3495"/>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95"/>
      <c r="Q32" s="1505" t="str">
        <f t="shared" si="11"/>
        <v>公共部分装修</v>
      </c>
      <c r="R32" s="714" t="s">
        <v>17</v>
      </c>
      <c r="S32" s="715">
        <f t="shared" si="12"/>
        <v>100</v>
      </c>
      <c r="T32" s="714" t="s">
        <v>17</v>
      </c>
      <c r="U32" s="715">
        <f t="shared" si="13"/>
        <v>100</v>
      </c>
      <c r="V32" s="714" t="s">
        <v>17</v>
      </c>
      <c r="W32" s="715">
        <f t="shared" si="14"/>
        <v>100</v>
      </c>
      <c r="X32" s="1508"/>
      <c r="Y32" s="3495"/>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95"/>
      <c r="Q33" s="1505" t="str">
        <f t="shared" si="11"/>
        <v>成新度</v>
      </c>
      <c r="R33" s="714" t="s">
        <v>17</v>
      </c>
      <c r="S33" s="715" t="e">
        <f t="shared" si="12"/>
        <v>#N/A</v>
      </c>
      <c r="T33" s="714" t="s">
        <v>17</v>
      </c>
      <c r="U33" s="715" t="e">
        <f t="shared" si="13"/>
        <v>#N/A</v>
      </c>
      <c r="V33" s="714" t="s">
        <v>17</v>
      </c>
      <c r="W33" s="715" t="e">
        <f t="shared" si="14"/>
        <v>#N/A</v>
      </c>
      <c r="X33" s="1508"/>
      <c r="Y33" s="3495"/>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95"/>
      <c r="Q34" s="1496"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95" t="s">
        <v>2326</v>
      </c>
      <c r="Q35" s="1505" t="str">
        <f t="shared" si="11"/>
        <v>市政基础设施</v>
      </c>
      <c r="R35" s="714" t="s">
        <v>17</v>
      </c>
      <c r="S35" s="715">
        <f t="shared" si="12"/>
        <v>100</v>
      </c>
      <c r="T35" s="714" t="s">
        <v>17</v>
      </c>
      <c r="U35" s="715">
        <f t="shared" si="13"/>
        <v>100</v>
      </c>
      <c r="V35" s="714" t="s">
        <v>17</v>
      </c>
      <c r="W35" s="715">
        <f t="shared" si="14"/>
        <v>100</v>
      </c>
      <c r="X35" s="1508"/>
      <c r="Y35" s="3495"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95"/>
      <c r="Q36" s="1505" t="str">
        <f t="shared" si="11"/>
        <v>内部装修</v>
      </c>
      <c r="R36" s="714" t="s">
        <v>17</v>
      </c>
      <c r="S36" s="715">
        <f t="shared" si="12"/>
        <v>100</v>
      </c>
      <c r="T36" s="714" t="s">
        <v>17</v>
      </c>
      <c r="U36" s="715">
        <f t="shared" si="13"/>
        <v>100</v>
      </c>
      <c r="V36" s="714" t="s">
        <v>17</v>
      </c>
      <c r="W36" s="715">
        <f t="shared" si="14"/>
        <v>100</v>
      </c>
      <c r="X36" s="1508"/>
      <c r="Y36" s="3495"/>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95"/>
      <c r="Q37" s="1505" t="str">
        <f t="shared" si="11"/>
        <v>内部装修状况</v>
      </c>
      <c r="R37" s="714" t="s">
        <v>17</v>
      </c>
      <c r="S37" s="715">
        <f t="shared" si="12"/>
        <v>100</v>
      </c>
      <c r="T37" s="714" t="s">
        <v>17</v>
      </c>
      <c r="U37" s="715">
        <f t="shared" si="13"/>
        <v>100</v>
      </c>
      <c r="V37" s="714" t="s">
        <v>17</v>
      </c>
      <c r="W37" s="715">
        <f t="shared" si="14"/>
        <v>100</v>
      </c>
      <c r="X37" s="1508"/>
      <c r="Y37" s="3495"/>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95"/>
      <c r="Q39" s="1505">
        <f t="shared" si="11"/>
        <v>111</v>
      </c>
      <c r="R39" s="714" t="s">
        <v>17</v>
      </c>
      <c r="S39" s="715">
        <f t="shared" si="12"/>
        <v>100</v>
      </c>
      <c r="T39" s="714" t="s">
        <v>17</v>
      </c>
      <c r="U39" s="715">
        <f t="shared" si="13"/>
        <v>100</v>
      </c>
      <c r="V39" s="714" t="s">
        <v>17</v>
      </c>
      <c r="W39" s="715">
        <f t="shared" si="14"/>
        <v>100</v>
      </c>
      <c r="X39" s="1508"/>
      <c r="Y39" s="3495"/>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96"/>
      <c r="Q40" s="1505">
        <f t="shared" si="11"/>
        <v>111</v>
      </c>
      <c r="R40" s="714" t="s">
        <v>17</v>
      </c>
      <c r="S40" s="715">
        <f t="shared" si="12"/>
        <v>100</v>
      </c>
      <c r="T40" s="714" t="s">
        <v>17</v>
      </c>
      <c r="U40" s="715">
        <f t="shared" si="13"/>
        <v>100</v>
      </c>
      <c r="V40" s="714" t="s">
        <v>17</v>
      </c>
      <c r="W40" s="715">
        <f t="shared" si="14"/>
        <v>100</v>
      </c>
      <c r="X40" s="1508"/>
      <c r="Y40" s="3496"/>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6"/>
      <c r="M41" s="1057"/>
      <c r="N41" s="1044"/>
      <c r="O41" s="1057"/>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6"/>
      <c r="M42" s="1057"/>
      <c r="N42" s="1044"/>
      <c r="O42" s="1057"/>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6"/>
      <c r="M43" s="1057"/>
      <c r="N43" s="1057"/>
      <c r="O43" s="1057"/>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9"/>
      <c r="M46" s="1057"/>
      <c r="N46" s="1057"/>
      <c r="O46" s="1057"/>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9"/>
      <c r="M47" s="1057"/>
      <c r="N47" s="1057"/>
      <c r="O47" s="1057"/>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0"/>
      <c r="M48" s="1058"/>
      <c r="N48" s="1058"/>
      <c r="O48" s="1058"/>
    </row>
    <row r="49" spans="1:17" s="459"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3" t="s">
        <v>2435</v>
      </c>
      <c r="B51" s="699"/>
      <c r="C51" s="704"/>
      <c r="D51" s="704"/>
      <c r="E51" s="704"/>
      <c r="F51" s="705"/>
      <c r="G51" s="705"/>
      <c r="H51" s="704"/>
      <c r="I51" s="704"/>
      <c r="J51" s="704"/>
      <c r="K51" s="1071"/>
      <c r="L51" s="1072"/>
      <c r="M51" s="1070"/>
      <c r="N51" s="1070"/>
      <c r="O51" s="1070"/>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2349</v>
      </c>
      <c r="B57" s="485" t="s">
        <v>2315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2324</v>
      </c>
      <c r="B88" s="485" t="s">
        <v>2373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3"/>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8"/>
      <c r="H3" s="1038"/>
      <c r="I3" s="1038"/>
      <c r="J3" s="1038"/>
      <c r="K3" s="1040"/>
      <c r="L3" s="2931"/>
      <c r="M3" s="2932"/>
      <c r="N3" s="2932"/>
      <c r="O3" s="2932"/>
      <c r="P3" s="129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24" t="s">
        <v>2310</v>
      </c>
      <c r="Q7" s="3526"/>
      <c r="R7" s="710" t="s">
        <v>17</v>
      </c>
      <c r="S7" s="711">
        <f t="shared" ref="S7:S14" si="0">F7</f>
        <v>0</v>
      </c>
      <c r="T7" s="710" t="s">
        <v>17</v>
      </c>
      <c r="U7" s="711">
        <f t="shared" ref="U7:U14" si="1">H7</f>
        <v>0</v>
      </c>
      <c r="V7" s="710" t="s">
        <v>17</v>
      </c>
      <c r="W7" s="711">
        <f t="shared" ref="W7:W14"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8" t="s">
        <v>2316</v>
      </c>
      <c r="Q9" s="1496" t="str">
        <f t="shared" ref="Q9:Q14" si="6">B9</f>
        <v>用途</v>
      </c>
      <c r="R9" s="710" t="s">
        <v>17</v>
      </c>
      <c r="S9" s="711">
        <f t="shared" si="0"/>
        <v>100</v>
      </c>
      <c r="T9" s="710" t="s">
        <v>17</v>
      </c>
      <c r="U9" s="711">
        <f t="shared" si="1"/>
        <v>100</v>
      </c>
      <c r="V9" s="710" t="s">
        <v>17</v>
      </c>
      <c r="W9" s="711">
        <f t="shared" si="2"/>
        <v>100</v>
      </c>
      <c r="X9" s="712"/>
      <c r="Y9" s="333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8"/>
      <c r="Q11" s="1496">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90" t="s">
        <v>2321</v>
      </c>
      <c r="Q14" s="1505" t="str">
        <f t="shared" si="6"/>
        <v>交通便捷度</v>
      </c>
      <c r="R14" s="714" t="s">
        <v>17</v>
      </c>
      <c r="S14" s="715">
        <f t="shared" si="0"/>
        <v>100</v>
      </c>
      <c r="T14" s="714" t="s">
        <v>17</v>
      </c>
      <c r="U14" s="715">
        <f t="shared" si="1"/>
        <v>100</v>
      </c>
      <c r="V14" s="714" t="s">
        <v>17</v>
      </c>
      <c r="W14" s="715">
        <f t="shared" si="2"/>
        <v>100</v>
      </c>
      <c r="X14" s="1508"/>
      <c r="Y14" s="3490"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91"/>
      <c r="Q15" s="1505"/>
      <c r="R15" s="714"/>
      <c r="S15" s="715"/>
      <c r="T15" s="714"/>
      <c r="U15" s="715"/>
      <c r="V15" s="714"/>
      <c r="W15" s="715"/>
      <c r="X15" s="1508"/>
      <c r="Y15" s="3491"/>
      <c r="Z15" s="1509"/>
      <c r="AA15" s="1506">
        <v>1</v>
      </c>
      <c r="AB15" s="1506">
        <v>1</v>
      </c>
      <c r="AC15" s="1506">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9"/>
      <c r="M17" s="2913"/>
      <c r="N17" s="2913"/>
      <c r="O17" s="2913"/>
      <c r="P17" s="3491"/>
      <c r="Q17" s="1505"/>
      <c r="R17" s="714"/>
      <c r="S17" s="715"/>
      <c r="T17" s="714"/>
      <c r="U17" s="715"/>
      <c r="V17" s="714"/>
      <c r="W17" s="715"/>
      <c r="X17" s="1508"/>
      <c r="Y17" s="3491"/>
      <c r="Z17" s="1509"/>
      <c r="AA17" s="1506">
        <v>1</v>
      </c>
      <c r="AB17" s="1506">
        <v>1</v>
      </c>
      <c r="AC17" s="1506">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3"/>
      <c r="L19" s="2919"/>
      <c r="M19" s="2913"/>
      <c r="N19" s="2913"/>
      <c r="O19" s="2913"/>
      <c r="P19" s="3491"/>
      <c r="Q19" s="1505"/>
      <c r="R19" s="714"/>
      <c r="S19" s="715"/>
      <c r="T19" s="714"/>
      <c r="U19" s="715"/>
      <c r="V19" s="714"/>
      <c r="W19" s="715"/>
      <c r="X19" s="1508"/>
      <c r="Y19" s="3491"/>
      <c r="Z19" s="1509"/>
      <c r="AA19" s="1506">
        <v>1</v>
      </c>
      <c r="AB19" s="1506">
        <v>1</v>
      </c>
      <c r="AC19" s="1506">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91"/>
      <c r="Q21" s="1505"/>
      <c r="R21" s="714"/>
      <c r="S21" s="715"/>
      <c r="T21" s="714"/>
      <c r="U21" s="715"/>
      <c r="V21" s="714"/>
      <c r="W21" s="715"/>
      <c r="X21" s="1508"/>
      <c r="Y21" s="3491"/>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91"/>
      <c r="Q24" s="1505">
        <f t="shared" ref="Q24:Q36"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4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5"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95"/>
      <c r="Q28" s="1505" t="str">
        <f t="shared" si="11"/>
        <v>公共部分装修</v>
      </c>
      <c r="R28" s="714" t="s">
        <v>17</v>
      </c>
      <c r="S28" s="715">
        <f t="shared" si="12"/>
        <v>100</v>
      </c>
      <c r="T28" s="714" t="s">
        <v>17</v>
      </c>
      <c r="U28" s="715">
        <f t="shared" si="13"/>
        <v>100</v>
      </c>
      <c r="V28" s="714" t="s">
        <v>17</v>
      </c>
      <c r="W28" s="715">
        <f t="shared" si="14"/>
        <v>100</v>
      </c>
      <c r="X28" s="1508"/>
      <c r="Y28" s="3495"/>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95"/>
      <c r="Q29" s="1505" t="str">
        <f t="shared" si="11"/>
        <v>成新率</v>
      </c>
      <c r="R29" s="714" t="s">
        <v>17</v>
      </c>
      <c r="S29" s="715" t="e">
        <f t="shared" si="12"/>
        <v>#N/A</v>
      </c>
      <c r="T29" s="714" t="s">
        <v>17</v>
      </c>
      <c r="U29" s="715" t="e">
        <f t="shared" si="13"/>
        <v>#N/A</v>
      </c>
      <c r="V29" s="714" t="s">
        <v>17</v>
      </c>
      <c r="W29" s="715" t="e">
        <f t="shared" si="14"/>
        <v>#N/A</v>
      </c>
      <c r="X29" s="1508"/>
      <c r="Y29" s="3495"/>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95"/>
      <c r="Q30" s="1505" t="str">
        <f t="shared" si="11"/>
        <v>物业等级</v>
      </c>
      <c r="R30" s="714" t="s">
        <v>17</v>
      </c>
      <c r="S30" s="715">
        <f t="shared" si="12"/>
        <v>100</v>
      </c>
      <c r="T30" s="714" t="s">
        <v>17</v>
      </c>
      <c r="U30" s="715">
        <f t="shared" si="13"/>
        <v>100</v>
      </c>
      <c r="V30" s="714" t="s">
        <v>17</v>
      </c>
      <c r="W30" s="715">
        <f t="shared" si="14"/>
        <v>100</v>
      </c>
      <c r="X30" s="1508"/>
      <c r="Y30" s="3495"/>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95"/>
      <c r="Q31" s="1496"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95" t="s">
        <v>2326</v>
      </c>
      <c r="Q32" s="1505" t="str">
        <f t="shared" si="11"/>
        <v>车位类型</v>
      </c>
      <c r="R32" s="714" t="s">
        <v>17</v>
      </c>
      <c r="S32" s="715">
        <f t="shared" si="12"/>
        <v>100</v>
      </c>
      <c r="T32" s="714" t="s">
        <v>17</v>
      </c>
      <c r="U32" s="715">
        <f t="shared" si="13"/>
        <v>100</v>
      </c>
      <c r="V32" s="714" t="s">
        <v>17</v>
      </c>
      <c r="W32" s="715">
        <f t="shared" si="14"/>
        <v>100</v>
      </c>
      <c r="X32" s="1508"/>
      <c r="Y32" s="3495"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95"/>
      <c r="Q33" s="1505" t="str">
        <f t="shared" si="11"/>
        <v>是否直接入户</v>
      </c>
      <c r="R33" s="714" t="s">
        <v>17</v>
      </c>
      <c r="S33" s="715">
        <f t="shared" si="12"/>
        <v>100</v>
      </c>
      <c r="T33" s="714" t="s">
        <v>17</v>
      </c>
      <c r="U33" s="715">
        <f t="shared" si="13"/>
        <v>100</v>
      </c>
      <c r="V33" s="714" t="s">
        <v>17</v>
      </c>
      <c r="W33" s="715">
        <f t="shared" si="14"/>
        <v>100</v>
      </c>
      <c r="X33" s="1508"/>
      <c r="Y33" s="3495"/>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95"/>
      <c r="Q36" s="1505">
        <f t="shared" si="11"/>
        <v>111</v>
      </c>
      <c r="R36" s="714" t="s">
        <v>17</v>
      </c>
      <c r="S36" s="715">
        <f t="shared" si="12"/>
        <v>100</v>
      </c>
      <c r="T36" s="714" t="s">
        <v>17</v>
      </c>
      <c r="U36" s="715">
        <f t="shared" si="13"/>
        <v>100</v>
      </c>
      <c r="V36" s="714" t="s">
        <v>17</v>
      </c>
      <c r="W36" s="715">
        <f t="shared" si="14"/>
        <v>100</v>
      </c>
      <c r="X36" s="1508"/>
      <c r="Y36" s="3495"/>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85" t="str">
        <f>A39</f>
        <v>估价对象XX用房的比较价值（楼面单价，元/平方米）</v>
      </c>
      <c r="Q39" s="3486"/>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524" t="s">
        <v>2310</v>
      </c>
      <c r="Q7" s="3526"/>
      <c r="R7" s="710" t="s">
        <v>17</v>
      </c>
      <c r="S7" s="711">
        <f t="shared" ref="S7:S14" si="0">F7</f>
        <v>0</v>
      </c>
      <c r="T7" s="710" t="s">
        <v>17</v>
      </c>
      <c r="U7" s="711">
        <f t="shared" ref="U7:U14" si="1">H7</f>
        <v>0</v>
      </c>
      <c r="V7" s="710" t="s">
        <v>17</v>
      </c>
      <c r="W7" s="711">
        <f t="shared" ref="W7:W14"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8" t="s">
        <v>2316</v>
      </c>
      <c r="Q9" s="1496" t="str">
        <f t="shared" ref="Q9:Q14" si="6">B9</f>
        <v>用途</v>
      </c>
      <c r="R9" s="710" t="s">
        <v>17</v>
      </c>
      <c r="S9" s="711">
        <f t="shared" si="0"/>
        <v>100</v>
      </c>
      <c r="T9" s="710" t="s">
        <v>17</v>
      </c>
      <c r="U9" s="711">
        <f t="shared" si="1"/>
        <v>100</v>
      </c>
      <c r="V9" s="710" t="s">
        <v>17</v>
      </c>
      <c r="W9" s="711">
        <f t="shared" si="2"/>
        <v>100</v>
      </c>
      <c r="X9" s="712"/>
      <c r="Y9" s="333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8"/>
      <c r="Q11" s="1496">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90" t="s">
        <v>2321</v>
      </c>
      <c r="Q14" s="1505" t="str">
        <f t="shared" si="6"/>
        <v>交通便捷度</v>
      </c>
      <c r="R14" s="714" t="s">
        <v>17</v>
      </c>
      <c r="S14" s="715">
        <f t="shared" si="0"/>
        <v>100</v>
      </c>
      <c r="T14" s="714" t="s">
        <v>17</v>
      </c>
      <c r="U14" s="715">
        <f t="shared" si="1"/>
        <v>100</v>
      </c>
      <c r="V14" s="714" t="s">
        <v>17</v>
      </c>
      <c r="W14" s="715">
        <f t="shared" si="2"/>
        <v>100</v>
      </c>
      <c r="X14" s="1508"/>
      <c r="Y14" s="3490"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91"/>
      <c r="Q15" s="1505"/>
      <c r="R15" s="714"/>
      <c r="S15" s="715"/>
      <c r="T15" s="714"/>
      <c r="U15" s="715"/>
      <c r="V15" s="714"/>
      <c r="W15" s="715"/>
      <c r="X15" s="1508"/>
      <c r="Y15" s="3491"/>
      <c r="Z15" s="1509"/>
      <c r="AA15" s="1506">
        <v>1</v>
      </c>
      <c r="AB15" s="1506">
        <v>1</v>
      </c>
      <c r="AC15" s="1506">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9"/>
      <c r="M17" s="2913"/>
      <c r="N17" s="2913"/>
      <c r="O17" s="2971"/>
      <c r="P17" s="3491"/>
      <c r="Q17" s="1505"/>
      <c r="R17" s="714"/>
      <c r="S17" s="715"/>
      <c r="T17" s="714"/>
      <c r="U17" s="715"/>
      <c r="V17" s="714"/>
      <c r="W17" s="715"/>
      <c r="X17" s="1508"/>
      <c r="Y17" s="3491"/>
      <c r="Z17" s="1509"/>
      <c r="AA17" s="1506">
        <v>1</v>
      </c>
      <c r="AB17" s="1506">
        <v>1</v>
      </c>
      <c r="AC17" s="1506">
        <v>1</v>
      </c>
    </row>
    <row r="18" spans="1:29" ht="28.5">
      <c r="A18" s="387"/>
      <c r="B18" s="1264"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87"/>
      <c r="B19" s="1264"/>
      <c r="C19" s="2055"/>
      <c r="D19" s="409"/>
      <c r="E19" s="2055"/>
      <c r="F19" s="412"/>
      <c r="G19" s="2055"/>
      <c r="H19" s="407"/>
      <c r="I19" s="406"/>
      <c r="J19" s="407"/>
      <c r="K19" s="1263"/>
      <c r="L19" s="2919"/>
      <c r="M19" s="2913"/>
      <c r="N19" s="2913"/>
      <c r="O19" s="2971"/>
      <c r="P19" s="3491"/>
      <c r="Q19" s="1505"/>
      <c r="R19" s="714"/>
      <c r="S19" s="715"/>
      <c r="T19" s="714"/>
      <c r="U19" s="715"/>
      <c r="V19" s="714"/>
      <c r="W19" s="715"/>
      <c r="X19" s="1508"/>
      <c r="Y19" s="3491"/>
      <c r="Z19" s="1509"/>
      <c r="AA19" s="1506">
        <v>1</v>
      </c>
      <c r="AB19" s="1506">
        <v>1</v>
      </c>
      <c r="AC19" s="1506">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91"/>
      <c r="Q21" s="1505"/>
      <c r="R21" s="714"/>
      <c r="S21" s="715"/>
      <c r="T21" s="714"/>
      <c r="U21" s="715"/>
      <c r="V21" s="714"/>
      <c r="W21" s="715"/>
      <c r="X21" s="1508"/>
      <c r="Y21" s="3491"/>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91"/>
      <c r="Q24" s="1505">
        <f t="shared" ref="Q24:Q34"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4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5"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95"/>
      <c r="Q28" s="1505" t="str">
        <f t="shared" si="11"/>
        <v>物业等级</v>
      </c>
      <c r="R28" s="714" t="s">
        <v>17</v>
      </c>
      <c r="S28" s="715">
        <f t="shared" si="12"/>
        <v>100</v>
      </c>
      <c r="T28" s="714" t="s">
        <v>17</v>
      </c>
      <c r="U28" s="715">
        <f t="shared" si="13"/>
        <v>100</v>
      </c>
      <c r="V28" s="714" t="s">
        <v>17</v>
      </c>
      <c r="W28" s="715">
        <f t="shared" si="14"/>
        <v>100</v>
      </c>
      <c r="X28" s="1508"/>
      <c r="Y28" s="3495"/>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95"/>
      <c r="Q29" s="1505" t="str">
        <f t="shared" si="11"/>
        <v>有无电梯</v>
      </c>
      <c r="R29" s="714" t="s">
        <v>17</v>
      </c>
      <c r="S29" s="715">
        <f t="shared" si="12"/>
        <v>100</v>
      </c>
      <c r="T29" s="714" t="s">
        <v>17</v>
      </c>
      <c r="U29" s="715">
        <f t="shared" si="13"/>
        <v>100</v>
      </c>
      <c r="V29" s="714" t="s">
        <v>17</v>
      </c>
      <c r="W29" s="715">
        <f t="shared" si="14"/>
        <v>100</v>
      </c>
      <c r="X29" s="1508"/>
      <c r="Y29" s="3495"/>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95"/>
      <c r="Q30" s="1505" t="str">
        <f t="shared" si="11"/>
        <v>建筑面积</v>
      </c>
      <c r="R30" s="714" t="s">
        <v>17</v>
      </c>
      <c r="S30" s="715" t="e">
        <f t="shared" si="12"/>
        <v>#N/A</v>
      </c>
      <c r="T30" s="714" t="s">
        <v>17</v>
      </c>
      <c r="U30" s="715" t="e">
        <f t="shared" si="13"/>
        <v>#N/A</v>
      </c>
      <c r="V30" s="714" t="s">
        <v>17</v>
      </c>
      <c r="W30" s="715" t="e">
        <f t="shared" si="14"/>
        <v>#N/A</v>
      </c>
      <c r="X30" s="1508"/>
      <c r="Y30" s="3495"/>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95"/>
      <c r="Q31" s="1496"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95" t="s">
        <v>2326</v>
      </c>
      <c r="Q32" s="1505">
        <f t="shared" si="11"/>
        <v>111</v>
      </c>
      <c r="R32" s="714" t="s">
        <v>17</v>
      </c>
      <c r="S32" s="715">
        <f t="shared" si="12"/>
        <v>100</v>
      </c>
      <c r="T32" s="714" t="s">
        <v>17</v>
      </c>
      <c r="U32" s="715">
        <f t="shared" si="13"/>
        <v>100</v>
      </c>
      <c r="V32" s="714" t="s">
        <v>17</v>
      </c>
      <c r="W32" s="715">
        <f t="shared" si="14"/>
        <v>100</v>
      </c>
      <c r="X32" s="1508"/>
      <c r="Y32" s="3495" t="s">
        <v>2326</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95"/>
      <c r="Q33" s="1505">
        <f t="shared" si="11"/>
        <v>111</v>
      </c>
      <c r="R33" s="714" t="s">
        <v>17</v>
      </c>
      <c r="S33" s="715">
        <f t="shared" si="12"/>
        <v>100</v>
      </c>
      <c r="T33" s="714" t="s">
        <v>17</v>
      </c>
      <c r="U33" s="715">
        <f t="shared" si="13"/>
        <v>100</v>
      </c>
      <c r="V33" s="714" t="s">
        <v>17</v>
      </c>
      <c r="W33" s="715">
        <f t="shared" si="14"/>
        <v>100</v>
      </c>
      <c r="X33" s="1508"/>
      <c r="Y33" s="3495"/>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85" t="str">
        <f>A37</f>
        <v>估价对象XX用房的比较价值（楼面单价，元/平方米）</v>
      </c>
      <c r="Q37" s="3486"/>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7"/>
      <c r="D2" s="1037"/>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30"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30"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30"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30" s="113" customFormat="1" ht="15.75" thickBot="1">
      <c r="A7" s="368" t="s">
        <v>2309</v>
      </c>
      <c r="B7" s="369"/>
      <c r="C7" s="370">
        <f>'数据-取费表'!B2</f>
        <v>44615</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5" si="3">D8/F8</f>
        <v>#DIV/0!</v>
      </c>
      <c r="AB8" s="713" t="e">
        <f t="shared" ref="AB8:AB45" si="4">D8/H8</f>
        <v>#DIV/0!</v>
      </c>
      <c r="AC8" s="713" t="e">
        <f t="shared" ref="AC8:AC45" si="5">D8/J8</f>
        <v>#DIV/0!</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6"/>
      <c r="M10" s="2917"/>
      <c r="N10" s="2917"/>
      <c r="O10" s="2970"/>
      <c r="P10" s="3488"/>
      <c r="Q10" s="1496" t="str">
        <f t="shared" si="6"/>
        <v>土地使用年限（年）</v>
      </c>
      <c r="R10" s="710" t="s">
        <v>17</v>
      </c>
      <c r="S10" s="711">
        <f t="shared" si="0"/>
        <v>105</v>
      </c>
      <c r="T10" s="710" t="s">
        <v>17</v>
      </c>
      <c r="U10" s="711">
        <f t="shared" si="1"/>
        <v>105</v>
      </c>
      <c r="V10" s="710" t="s">
        <v>17</v>
      </c>
      <c r="W10" s="711">
        <f t="shared" si="2"/>
        <v>105</v>
      </c>
      <c r="X10" s="712"/>
      <c r="Y10" s="3334"/>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8"/>
      <c r="Q12" s="1496"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90" t="s">
        <v>2321</v>
      </c>
      <c r="Q15" s="1505" t="str">
        <f t="shared" si="6"/>
        <v>居住社区成熟度</v>
      </c>
      <c r="R15" s="714" t="s">
        <v>17</v>
      </c>
      <c r="S15" s="715">
        <f t="shared" si="0"/>
        <v>100</v>
      </c>
      <c r="T15" s="714" t="s">
        <v>17</v>
      </c>
      <c r="U15" s="715">
        <f t="shared" si="1"/>
        <v>100</v>
      </c>
      <c r="V15" s="714" t="s">
        <v>17</v>
      </c>
      <c r="W15" s="715">
        <f t="shared" si="2"/>
        <v>100</v>
      </c>
      <c r="X15" s="1508"/>
      <c r="Y15" s="3490" t="s">
        <v>2321</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9"/>
      <c r="M16" s="2913"/>
      <c r="N16" s="2913"/>
      <c r="O16" s="2971"/>
      <c r="P16" s="3491"/>
      <c r="Q16" s="1505"/>
      <c r="R16" s="714"/>
      <c r="S16" s="715"/>
      <c r="T16" s="714"/>
      <c r="U16" s="715"/>
      <c r="V16" s="714"/>
      <c r="W16" s="715"/>
      <c r="X16" s="1508"/>
      <c r="Y16" s="3491"/>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91"/>
      <c r="Q17" s="1505" t="str">
        <f>B17</f>
        <v>商业繁华度</v>
      </c>
      <c r="R17" s="714" t="s">
        <v>17</v>
      </c>
      <c r="S17" s="715">
        <f>F17</f>
        <v>100</v>
      </c>
      <c r="T17" s="714" t="s">
        <v>17</v>
      </c>
      <c r="U17" s="715">
        <f>H17</f>
        <v>100</v>
      </c>
      <c r="V17" s="714" t="s">
        <v>17</v>
      </c>
      <c r="W17" s="715">
        <f>J17</f>
        <v>100</v>
      </c>
      <c r="X17" s="1508"/>
      <c r="Y17" s="3491"/>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9"/>
      <c r="M18" s="2913"/>
      <c r="N18" s="2913"/>
      <c r="O18" s="2971"/>
      <c r="P18" s="3491"/>
      <c r="Q18" s="1505"/>
      <c r="R18" s="714"/>
      <c r="S18" s="715"/>
      <c r="T18" s="714"/>
      <c r="U18" s="715"/>
      <c r="V18" s="714"/>
      <c r="W18" s="715"/>
      <c r="X18" s="1508"/>
      <c r="Y18" s="3491"/>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91"/>
      <c r="Q19" s="1505" t="str">
        <f>B19</f>
        <v>办公集聚程度</v>
      </c>
      <c r="R19" s="714" t="s">
        <v>17</v>
      </c>
      <c r="S19" s="715">
        <f>F19</f>
        <v>100</v>
      </c>
      <c r="T19" s="714" t="s">
        <v>17</v>
      </c>
      <c r="U19" s="715">
        <f>H19</f>
        <v>100</v>
      </c>
      <c r="V19" s="714" t="s">
        <v>17</v>
      </c>
      <c r="W19" s="715">
        <f>J19</f>
        <v>100</v>
      </c>
      <c r="X19" s="1508"/>
      <c r="Y19" s="3491"/>
      <c r="Z19" s="1509" t="str">
        <f>Q19</f>
        <v>办公集聚程度</v>
      </c>
      <c r="AA19" s="1506">
        <f t="shared" si="3"/>
        <v>1</v>
      </c>
      <c r="AB19" s="1506">
        <f t="shared" si="4"/>
        <v>1</v>
      </c>
      <c r="AC19" s="1506">
        <f t="shared" si="5"/>
        <v>1</v>
      </c>
    </row>
    <row r="20" spans="1:29" ht="15">
      <c r="A20" s="387"/>
      <c r="B20" s="415"/>
      <c r="C20" s="406"/>
      <c r="D20" s="407"/>
      <c r="E20" s="2052"/>
      <c r="F20" s="407"/>
      <c r="G20" s="2052"/>
      <c r="H20" s="407"/>
      <c r="I20" s="2051"/>
      <c r="J20" s="407"/>
      <c r="K20" s="628"/>
      <c r="L20" s="2919"/>
      <c r="M20" s="2913"/>
      <c r="N20" s="2913"/>
      <c r="O20" s="2971"/>
      <c r="P20" s="3491"/>
      <c r="Q20" s="1505"/>
      <c r="R20" s="714"/>
      <c r="S20" s="715"/>
      <c r="T20" s="714"/>
      <c r="U20" s="715"/>
      <c r="V20" s="714"/>
      <c r="W20" s="715"/>
      <c r="X20" s="1508"/>
      <c r="Y20" s="3491"/>
      <c r="Z20" s="1509"/>
      <c r="AA20" s="1506">
        <v>1</v>
      </c>
      <c r="AB20" s="1506">
        <v>1</v>
      </c>
      <c r="AC20" s="1506">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91"/>
      <c r="Q21" s="1505" t="str">
        <f>B21</f>
        <v>交通便捷度</v>
      </c>
      <c r="R21" s="714" t="s">
        <v>17</v>
      </c>
      <c r="S21" s="715">
        <f>F21</f>
        <v>100</v>
      </c>
      <c r="T21" s="714" t="s">
        <v>17</v>
      </c>
      <c r="U21" s="715">
        <f>H21</f>
        <v>100</v>
      </c>
      <c r="V21" s="714" t="s">
        <v>17</v>
      </c>
      <c r="W21" s="715">
        <f>J21</f>
        <v>100</v>
      </c>
      <c r="X21" s="1508"/>
      <c r="Y21" s="3491"/>
      <c r="Z21" s="1509" t="str">
        <f>Q21</f>
        <v>交通便捷度</v>
      </c>
      <c r="AA21" s="1506">
        <f t="shared" si="3"/>
        <v>1</v>
      </c>
      <c r="AB21" s="1506">
        <f t="shared" si="4"/>
        <v>1</v>
      </c>
      <c r="AC21" s="1506">
        <f t="shared" si="5"/>
        <v>1</v>
      </c>
    </row>
    <row r="22" spans="1:29" ht="15">
      <c r="A22" s="387"/>
      <c r="B22" s="1264"/>
      <c r="C22" s="406"/>
      <c r="D22" s="409"/>
      <c r="E22" s="2052"/>
      <c r="F22" s="407"/>
      <c r="G22" s="2052"/>
      <c r="H22" s="407"/>
      <c r="I22" s="2051"/>
      <c r="J22" s="407"/>
      <c r="K22" s="628"/>
      <c r="L22" s="2919"/>
      <c r="M22" s="2913"/>
      <c r="N22" s="2913"/>
      <c r="O22" s="2971"/>
      <c r="P22" s="3491"/>
      <c r="Q22" s="1505"/>
      <c r="R22" s="714"/>
      <c r="S22" s="715"/>
      <c r="T22" s="714"/>
      <c r="U22" s="715"/>
      <c r="V22" s="714"/>
      <c r="W22" s="715"/>
      <c r="X22" s="1508"/>
      <c r="Y22" s="3491"/>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91"/>
      <c r="Q23" s="1505" t="str">
        <f t="shared" ref="Q23:Q37" si="8">B23</f>
        <v>区域土地利用方向</v>
      </c>
      <c r="R23" s="714" t="s">
        <v>17</v>
      </c>
      <c r="S23" s="715">
        <f>F23</f>
        <v>100</v>
      </c>
      <c r="T23" s="714" t="s">
        <v>17</v>
      </c>
      <c r="U23" s="715">
        <f>H23</f>
        <v>100</v>
      </c>
      <c r="V23" s="714" t="s">
        <v>17</v>
      </c>
      <c r="W23" s="715">
        <f>J23</f>
        <v>100</v>
      </c>
      <c r="X23" s="1508"/>
      <c r="Y23" s="3491"/>
      <c r="Z23" s="1509" t="str">
        <f>Q23</f>
        <v>区域土地利用方向</v>
      </c>
      <c r="AA23" s="1506">
        <f t="shared" si="3"/>
        <v>1</v>
      </c>
      <c r="AB23" s="1506">
        <f t="shared" si="4"/>
        <v>1</v>
      </c>
      <c r="AC23" s="1506">
        <f t="shared" si="5"/>
        <v>1</v>
      </c>
    </row>
    <row r="24" spans="1:29" ht="15">
      <c r="A24" s="364"/>
      <c r="B24" s="415"/>
      <c r="C24" s="573"/>
      <c r="D24" s="407"/>
      <c r="E24" s="2052"/>
      <c r="F24" s="407"/>
      <c r="G24" s="2051"/>
      <c r="H24" s="407"/>
      <c r="I24" s="2051"/>
      <c r="J24" s="407"/>
      <c r="K24" s="750"/>
      <c r="L24" s="2919"/>
      <c r="M24" s="2913"/>
      <c r="N24" s="2913"/>
      <c r="O24" s="2971"/>
      <c r="P24" s="3491"/>
      <c r="Q24" s="1505"/>
      <c r="R24" s="714"/>
      <c r="S24" s="715"/>
      <c r="T24" s="714"/>
      <c r="U24" s="715"/>
      <c r="V24" s="714"/>
      <c r="W24" s="715"/>
      <c r="X24" s="1508"/>
      <c r="Y24" s="3491"/>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91"/>
      <c r="Q25" s="1505" t="str">
        <f t="shared" si="8"/>
        <v>自然及人文环境状况</v>
      </c>
      <c r="R25" s="714" t="s">
        <v>17</v>
      </c>
      <c r="S25" s="715">
        <f>F25</f>
        <v>100</v>
      </c>
      <c r="T25" s="714" t="s">
        <v>17</v>
      </c>
      <c r="U25" s="715">
        <f>H25</f>
        <v>100</v>
      </c>
      <c r="V25" s="714" t="s">
        <v>17</v>
      </c>
      <c r="W25" s="715">
        <f>J25</f>
        <v>100</v>
      </c>
      <c r="X25" s="1508"/>
      <c r="Y25" s="3491"/>
      <c r="Z25" s="1509" t="str">
        <f>Q25</f>
        <v>自然及人文环境状况</v>
      </c>
      <c r="AA25" s="1506">
        <f t="shared" si="3"/>
        <v>1</v>
      </c>
      <c r="AB25" s="1506">
        <f t="shared" si="4"/>
        <v>1</v>
      </c>
      <c r="AC25" s="1506">
        <f t="shared" si="5"/>
        <v>1</v>
      </c>
    </row>
    <row r="26" spans="1:29" ht="15">
      <c r="A26" s="364"/>
      <c r="B26" s="415"/>
      <c r="C26" s="406"/>
      <c r="D26" s="407"/>
      <c r="E26" s="2058"/>
      <c r="F26" s="407"/>
      <c r="G26" s="2058"/>
      <c r="H26" s="407"/>
      <c r="I26" s="406"/>
      <c r="J26" s="407"/>
      <c r="K26" s="628"/>
      <c r="L26" s="2919"/>
      <c r="M26" s="2913"/>
      <c r="N26" s="2913"/>
      <c r="O26" s="2971"/>
      <c r="P26" s="3491"/>
      <c r="Q26" s="1505"/>
      <c r="R26" s="714"/>
      <c r="S26" s="715"/>
      <c r="T26" s="714"/>
      <c r="U26" s="715"/>
      <c r="V26" s="714"/>
      <c r="W26" s="715"/>
      <c r="X26" s="1508"/>
      <c r="Y26" s="3491"/>
      <c r="Z26" s="1509"/>
      <c r="AA26" s="1506">
        <v>1</v>
      </c>
      <c r="AB26" s="1506">
        <v>1</v>
      </c>
      <c r="AC26" s="1506">
        <v>1</v>
      </c>
    </row>
    <row r="27" spans="1:29" s="113" customFormat="1" ht="42.75">
      <c r="A27" s="605"/>
      <c r="B27" s="1264"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91"/>
      <c r="Q27" s="1496" t="str">
        <f t="shared" si="8"/>
        <v>公共配套设施</v>
      </c>
      <c r="R27" s="710" t="s">
        <v>17</v>
      </c>
      <c r="S27" s="711">
        <f>F27</f>
        <v>100</v>
      </c>
      <c r="T27" s="710" t="s">
        <v>17</v>
      </c>
      <c r="U27" s="711">
        <f>H27</f>
        <v>100</v>
      </c>
      <c r="V27" s="710" t="s">
        <v>17</v>
      </c>
      <c r="W27" s="711">
        <f>J27</f>
        <v>100</v>
      </c>
      <c r="X27" s="712"/>
      <c r="Y27" s="3491"/>
      <c r="Z27" s="55" t="str">
        <f>Q27</f>
        <v>公共配套设施</v>
      </c>
      <c r="AA27" s="1506">
        <f>D27/F27</f>
        <v>1</v>
      </c>
      <c r="AB27" s="1506">
        <f>D27/H27</f>
        <v>1</v>
      </c>
      <c r="AC27" s="1506">
        <f>D27/J27</f>
        <v>1</v>
      </c>
    </row>
    <row r="28" spans="1:29" s="113" customFormat="1" ht="15">
      <c r="A28" s="605"/>
      <c r="B28" s="415"/>
      <c r="C28" s="2132"/>
      <c r="D28" s="407"/>
      <c r="E28" s="2058"/>
      <c r="F28" s="407"/>
      <c r="G28" s="2058"/>
      <c r="H28" s="407"/>
      <c r="I28" s="406"/>
      <c r="J28" s="407"/>
      <c r="K28" s="628"/>
      <c r="L28" s="2914"/>
      <c r="M28" s="2915"/>
      <c r="N28" s="2915"/>
      <c r="O28" s="2969"/>
      <c r="P28" s="3491"/>
      <c r="Q28" s="1496"/>
      <c r="R28" s="710"/>
      <c r="S28" s="711"/>
      <c r="T28" s="710"/>
      <c r="U28" s="711"/>
      <c r="V28" s="710"/>
      <c r="W28" s="711"/>
      <c r="X28" s="712"/>
      <c r="Y28" s="3491"/>
      <c r="Z28" s="55"/>
      <c r="AA28" s="1506">
        <v>1</v>
      </c>
      <c r="AB28" s="1506">
        <v>1</v>
      </c>
      <c r="AC28" s="1506">
        <v>1</v>
      </c>
    </row>
    <row r="29" spans="1:29" s="113" customFormat="1" ht="28.5">
      <c r="A29" s="605"/>
      <c r="B29" s="1264"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91"/>
      <c r="Q29" s="1496" t="str">
        <f t="shared" ref="Q29" si="9">B29</f>
        <v>基础设施水平</v>
      </c>
      <c r="R29" s="710" t="s">
        <v>17</v>
      </c>
      <c r="S29" s="711">
        <f>F29</f>
        <v>100</v>
      </c>
      <c r="T29" s="710" t="s">
        <v>17</v>
      </c>
      <c r="U29" s="711">
        <f>H29</f>
        <v>100</v>
      </c>
      <c r="V29" s="710" t="s">
        <v>17</v>
      </c>
      <c r="W29" s="711">
        <f>J29</f>
        <v>100</v>
      </c>
      <c r="X29" s="712"/>
      <c r="Y29" s="3491"/>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91"/>
      <c r="Q30" s="1496"/>
      <c r="R30" s="710"/>
      <c r="S30" s="711"/>
      <c r="T30" s="710"/>
      <c r="U30" s="711"/>
      <c r="V30" s="710"/>
      <c r="W30" s="711"/>
      <c r="X30" s="712"/>
      <c r="Y30" s="3491"/>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91"/>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1"/>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91"/>
      <c r="Q32" s="1505" t="str">
        <f t="shared" si="8"/>
        <v>毗邻道路的类型与等级</v>
      </c>
      <c r="R32" s="714" t="s">
        <v>17</v>
      </c>
      <c r="S32" s="715">
        <f t="shared" si="10"/>
        <v>100</v>
      </c>
      <c r="T32" s="714" t="s">
        <v>17</v>
      </c>
      <c r="U32" s="715">
        <f t="shared" si="11"/>
        <v>100</v>
      </c>
      <c r="V32" s="714" t="s">
        <v>17</v>
      </c>
      <c r="W32" s="715">
        <f t="shared" si="12"/>
        <v>100</v>
      </c>
      <c r="X32" s="1508"/>
      <c r="Y32" s="3491"/>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9"/>
      <c r="M33" s="2913"/>
      <c r="N33" s="2913"/>
      <c r="O33" s="2971"/>
      <c r="P33" s="3491"/>
      <c r="Q33" s="1505"/>
      <c r="R33" s="714"/>
      <c r="S33" s="715"/>
      <c r="T33" s="714"/>
      <c r="U33" s="715"/>
      <c r="V33" s="714"/>
      <c r="W33" s="715"/>
      <c r="X33" s="1508"/>
      <c r="Y33" s="3491"/>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91"/>
      <c r="Q34" s="1505" t="str">
        <f t="shared" si="8"/>
        <v>土地级别</v>
      </c>
      <c r="R34" s="714" t="s">
        <v>17</v>
      </c>
      <c r="S34" s="715">
        <f t="shared" si="10"/>
        <v>100</v>
      </c>
      <c r="T34" s="714" t="s">
        <v>17</v>
      </c>
      <c r="U34" s="715">
        <f t="shared" si="11"/>
        <v>100</v>
      </c>
      <c r="V34" s="714" t="s">
        <v>17</v>
      </c>
      <c r="W34" s="715">
        <f t="shared" si="12"/>
        <v>100</v>
      </c>
      <c r="X34" s="1508"/>
      <c r="Y34" s="3491"/>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91"/>
      <c r="Q35" s="1505">
        <f t="shared" si="8"/>
        <v>111</v>
      </c>
      <c r="R35" s="714" t="s">
        <v>17</v>
      </c>
      <c r="S35" s="715">
        <f t="shared" si="10"/>
        <v>100</v>
      </c>
      <c r="T35" s="714" t="s">
        <v>17</v>
      </c>
      <c r="U35" s="715">
        <f t="shared" si="11"/>
        <v>100</v>
      </c>
      <c r="V35" s="714" t="s">
        <v>17</v>
      </c>
      <c r="W35" s="715">
        <f t="shared" si="12"/>
        <v>100</v>
      </c>
      <c r="X35" s="1508"/>
      <c r="Y35" s="3491"/>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46" t="s">
        <v>2326</v>
      </c>
      <c r="Q36" s="1505">
        <f t="shared" si="8"/>
        <v>111</v>
      </c>
      <c r="R36" s="714" t="s">
        <v>17</v>
      </c>
      <c r="S36" s="715">
        <f t="shared" si="10"/>
        <v>100</v>
      </c>
      <c r="T36" s="714" t="s">
        <v>17</v>
      </c>
      <c r="U36" s="715">
        <f t="shared" si="11"/>
        <v>100</v>
      </c>
      <c r="V36" s="714" t="s">
        <v>17</v>
      </c>
      <c r="W36" s="715">
        <f t="shared" si="12"/>
        <v>100</v>
      </c>
      <c r="X36" s="1508"/>
      <c r="Y36" s="3495"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95"/>
      <c r="Q37" s="1505">
        <f t="shared" si="8"/>
        <v>111</v>
      </c>
      <c r="R37" s="717" t="s">
        <v>17</v>
      </c>
      <c r="S37" s="718">
        <f t="shared" si="10"/>
        <v>100</v>
      </c>
      <c r="T37" s="717" t="s">
        <v>17</v>
      </c>
      <c r="U37" s="718">
        <f t="shared" si="11"/>
        <v>100</v>
      </c>
      <c r="V37" s="717" t="s">
        <v>17</v>
      </c>
      <c r="W37" s="718">
        <f t="shared" si="12"/>
        <v>100</v>
      </c>
      <c r="X37" s="719"/>
      <c r="Y37" s="3495"/>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95"/>
      <c r="Q38" s="1505" t="str">
        <f>B38</f>
        <v>宗地面积</v>
      </c>
      <c r="R38" s="714" t="s">
        <v>17</v>
      </c>
      <c r="S38" s="715" t="e">
        <f t="shared" si="10"/>
        <v>#N/A</v>
      </c>
      <c r="T38" s="714" t="s">
        <v>17</v>
      </c>
      <c r="U38" s="715" t="e">
        <f t="shared" si="11"/>
        <v>#N/A</v>
      </c>
      <c r="V38" s="714" t="s">
        <v>17</v>
      </c>
      <c r="W38" s="715" t="e">
        <f t="shared" si="12"/>
        <v>#N/A</v>
      </c>
      <c r="X38" s="1508"/>
      <c r="Y38" s="3495"/>
      <c r="Z38" s="1509" t="str">
        <f t="shared" si="13"/>
        <v>宗地面积</v>
      </c>
      <c r="AA38" s="1506" t="e">
        <f t="shared" si="3"/>
        <v>#N/A</v>
      </c>
      <c r="AB38" s="1506" t="e">
        <f t="shared" si="4"/>
        <v>#N/A</v>
      </c>
      <c r="AC38" s="1506"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495"/>
      <c r="Q39" s="1505" t="str">
        <f t="shared" ref="Q39:Q45" si="14">B39</f>
        <v>宗地形状</v>
      </c>
      <c r="R39" s="714" t="s">
        <v>17</v>
      </c>
      <c r="S39" s="715">
        <f t="shared" si="10"/>
        <v>100</v>
      </c>
      <c r="T39" s="714" t="s">
        <v>17</v>
      </c>
      <c r="U39" s="715">
        <f t="shared" si="11"/>
        <v>100</v>
      </c>
      <c r="V39" s="714" t="s">
        <v>17</v>
      </c>
      <c r="W39" s="715">
        <f t="shared" si="12"/>
        <v>100</v>
      </c>
      <c r="X39" s="1508"/>
      <c r="Y39" s="3495"/>
      <c r="Z39" s="1509" t="str">
        <f t="shared" si="13"/>
        <v>宗地形状</v>
      </c>
      <c r="AA39" s="1506">
        <f t="shared" si="3"/>
        <v>1</v>
      </c>
      <c r="AB39" s="1506">
        <f t="shared" si="4"/>
        <v>1</v>
      </c>
      <c r="AC39" s="1506">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495"/>
      <c r="Q40" s="1505" t="str">
        <f t="shared" si="14"/>
        <v>临街宽度及深度</v>
      </c>
      <c r="R40" s="714" t="s">
        <v>17</v>
      </c>
      <c r="S40" s="715">
        <f t="shared" si="10"/>
        <v>100</v>
      </c>
      <c r="T40" s="714" t="s">
        <v>17</v>
      </c>
      <c r="U40" s="715">
        <f t="shared" si="11"/>
        <v>100</v>
      </c>
      <c r="V40" s="714" t="s">
        <v>17</v>
      </c>
      <c r="W40" s="715">
        <f t="shared" si="12"/>
        <v>100</v>
      </c>
      <c r="X40" s="1508"/>
      <c r="Y40" s="3495"/>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95"/>
      <c r="Q41" s="1505"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495" t="s">
        <v>2326</v>
      </c>
      <c r="Q42" s="1505" t="str">
        <f t="shared" si="14"/>
        <v>工程地质条件</v>
      </c>
      <c r="R42" s="714" t="s">
        <v>17</v>
      </c>
      <c r="S42" s="715">
        <f t="shared" si="10"/>
        <v>100</v>
      </c>
      <c r="T42" s="714" t="s">
        <v>17</v>
      </c>
      <c r="U42" s="715">
        <f t="shared" si="11"/>
        <v>100</v>
      </c>
      <c r="V42" s="714" t="s">
        <v>17</v>
      </c>
      <c r="W42" s="715">
        <f t="shared" si="12"/>
        <v>100</v>
      </c>
      <c r="X42" s="1508"/>
      <c r="Y42" s="3495"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95"/>
      <c r="Q43" s="1505">
        <f t="shared" si="14"/>
        <v>111</v>
      </c>
      <c r="R43" s="714" t="s">
        <v>17</v>
      </c>
      <c r="S43" s="715">
        <f t="shared" si="10"/>
        <v>100</v>
      </c>
      <c r="T43" s="714" t="s">
        <v>17</v>
      </c>
      <c r="U43" s="715">
        <f t="shared" si="11"/>
        <v>100</v>
      </c>
      <c r="V43" s="714" t="s">
        <v>17</v>
      </c>
      <c r="W43" s="715">
        <f t="shared" si="12"/>
        <v>100</v>
      </c>
      <c r="X43" s="1508"/>
      <c r="Y43" s="3495"/>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95"/>
      <c r="Q44" s="1505">
        <f t="shared" si="14"/>
        <v>111</v>
      </c>
      <c r="R44" s="714" t="s">
        <v>17</v>
      </c>
      <c r="S44" s="715">
        <f t="shared" si="10"/>
        <v>100</v>
      </c>
      <c r="T44" s="714" t="s">
        <v>17</v>
      </c>
      <c r="U44" s="715">
        <f t="shared" si="11"/>
        <v>100</v>
      </c>
      <c r="V44" s="714" t="s">
        <v>17</v>
      </c>
      <c r="W44" s="715">
        <f t="shared" si="12"/>
        <v>100</v>
      </c>
      <c r="X44" s="1508"/>
      <c r="Y44" s="3495"/>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95"/>
      <c r="Q45" s="1505">
        <f t="shared" si="14"/>
        <v>111</v>
      </c>
      <c r="R45" s="717" t="s">
        <v>17</v>
      </c>
      <c r="S45" s="718">
        <f t="shared" si="10"/>
        <v>100</v>
      </c>
      <c r="T45" s="717" t="s">
        <v>17</v>
      </c>
      <c r="U45" s="718">
        <f t="shared" si="11"/>
        <v>100</v>
      </c>
      <c r="V45" s="717" t="s">
        <v>17</v>
      </c>
      <c r="W45" s="718">
        <f t="shared" si="12"/>
        <v>100</v>
      </c>
      <c r="X45" s="719"/>
      <c r="Y45" s="3495"/>
      <c r="Z45" s="720">
        <f t="shared" si="13"/>
        <v>111</v>
      </c>
      <c r="AA45" s="1506">
        <f t="shared" si="3"/>
        <v>1</v>
      </c>
      <c r="AB45" s="1506">
        <f t="shared" si="4"/>
        <v>1</v>
      </c>
      <c r="AC45" s="1506">
        <f t="shared" si="5"/>
        <v>1</v>
      </c>
    </row>
    <row r="46" spans="1:29" ht="15">
      <c r="A46" s="438" t="s">
        <v>2481</v>
      </c>
      <c r="B46" s="2136" t="s">
        <v>2517</v>
      </c>
      <c r="C46" s="638" t="s">
        <v>1</v>
      </c>
      <c r="D46" s="440"/>
      <c r="E46" s="441"/>
      <c r="F46" s="442"/>
      <c r="G46" s="443"/>
      <c r="H46" s="444"/>
      <c r="I46" s="441"/>
      <c r="J46" s="444"/>
      <c r="K46" s="723"/>
      <c r="L46" s="2921"/>
      <c r="M46" s="2922"/>
      <c r="N46" s="2913"/>
      <c r="O46" s="2922"/>
      <c r="P46" s="3488" t="str">
        <f>A46</f>
        <v>成交单价</v>
      </c>
      <c r="Q46" s="3488"/>
      <c r="R46" s="3519">
        <f>E46</f>
        <v>0</v>
      </c>
      <c r="S46" s="3519"/>
      <c r="T46" s="3519">
        <f>G46</f>
        <v>0</v>
      </c>
      <c r="U46" s="3519"/>
      <c r="V46" s="3519">
        <f>I46</f>
        <v>0</v>
      </c>
      <c r="W46" s="3519"/>
      <c r="X46" s="699"/>
      <c r="Y46" s="721"/>
      <c r="Z46" s="699"/>
      <c r="AA46" s="699"/>
      <c r="AB46" s="699"/>
      <c r="AC46" s="699"/>
    </row>
    <row r="47" spans="1:29" ht="15.75" thickBot="1">
      <c r="A47" s="445" t="s">
        <v>2430</v>
      </c>
      <c r="B47" s="639"/>
      <c r="C47" s="448" t="e">
        <f>R48</f>
        <v>#DIV/0!</v>
      </c>
      <c r="D47" s="2506" t="s">
        <v>2819</v>
      </c>
      <c r="E47" s="448" t="e">
        <f>R47</f>
        <v>#DIV/0!</v>
      </c>
      <c r="F47" s="2507"/>
      <c r="G47" s="447" t="e">
        <f>T47</f>
        <v>#DIV/0!</v>
      </c>
      <c r="H47" s="2507"/>
      <c r="I47" s="448" t="e">
        <f>V47</f>
        <v>#DIV/0!</v>
      </c>
      <c r="J47" s="2507"/>
      <c r="K47" s="2509">
        <f>F47+H47+J47</f>
        <v>0</v>
      </c>
      <c r="L47" s="2921"/>
      <c r="M47" s="2922"/>
      <c r="N47" s="2922"/>
      <c r="O47" s="2922"/>
      <c r="P47" s="3488" t="str">
        <f>A47</f>
        <v>比较价值（元/平方米）</v>
      </c>
      <c r="Q47" s="3488"/>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85" t="str">
        <f>A48</f>
        <v>估价对象XX用房的比较价值（楼面单价，元/平方米）</v>
      </c>
      <c r="Q48" s="3486"/>
      <c r="R48" s="3549" t="e">
        <f>ROUND(IF(D47="简单平均",AVERAGE(R47:W47),R47*F47+T47*H47+V47*J47),0)</f>
        <v>#DIV/0!</v>
      </c>
      <c r="S48" s="3549"/>
      <c r="T48" s="3549"/>
      <c r="U48" s="3549"/>
      <c r="V48" s="3549"/>
      <c r="W48" s="354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0" t="s">
        <v>2524</v>
      </c>
      <c r="G55" s="3503" t="s">
        <v>2525</v>
      </c>
      <c r="H55" s="3550"/>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4">
        <v>1</v>
      </c>
      <c r="E56" s="646">
        <f>'数据-汇总表'!E8+'数据-汇总表'!E9</f>
        <v>23394.51</v>
      </c>
      <c r="F56" s="1016" t="e">
        <f t="shared" ref="F56:F65" si="15">ROUND(B56*E56/10000,0)</f>
        <v>#DIV/0!</v>
      </c>
      <c r="G56" s="3499"/>
      <c r="H56" s="3488"/>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0.7</v>
      </c>
      <c r="D57" s="1075">
        <v>0.25</v>
      </c>
      <c r="E57" s="650"/>
      <c r="F57" s="1016" t="e">
        <f t="shared" si="15"/>
        <v>#DIV/0!</v>
      </c>
      <c r="G57" s="3551" t="s">
        <v>2530</v>
      </c>
      <c r="H57" s="1017" t="str">
        <f>项目基本情况!B37</f>
        <v>六级</v>
      </c>
      <c r="I57" s="1021">
        <f>SUMIF(修正!A45:A56,H57,修正!B45:B56)</f>
        <v>0.7</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0.4</v>
      </c>
      <c r="D58" s="1075">
        <v>0.25</v>
      </c>
      <c r="E58" s="650"/>
      <c r="F58" s="1016" t="e">
        <f t="shared" si="15"/>
        <v>#DIV/0!</v>
      </c>
      <c r="G58" s="3551"/>
      <c r="H58" s="1017" t="str">
        <f>项目基本情况!B37</f>
        <v>六级</v>
      </c>
      <c r="I58" s="1021">
        <f>SUMIF(修正!A45:A56,H58,修正!C45:C56)</f>
        <v>0.4</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0.28000000000000003</v>
      </c>
      <c r="D59" s="1075">
        <v>0.25</v>
      </c>
      <c r="E59" s="650"/>
      <c r="F59" s="1016" t="e">
        <f t="shared" si="15"/>
        <v>#DIV/0!</v>
      </c>
      <c r="G59" s="3551"/>
      <c r="H59" s="1017" t="str">
        <f>项目基本情况!B37</f>
        <v>六级</v>
      </c>
      <c r="I59" s="1021">
        <f>SUMIF(修正!A45:A56,H59,修正!D45:D56)</f>
        <v>0.28000000000000003</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0.25</v>
      </c>
      <c r="D60" s="1075">
        <v>0.25</v>
      </c>
      <c r="E60" s="650"/>
      <c r="F60" s="1016" t="e">
        <f t="shared" si="15"/>
        <v>#DIV/0!</v>
      </c>
      <c r="G60" s="3551"/>
      <c r="H60" s="1017" t="str">
        <f>项目基本情况!B37</f>
        <v>六级</v>
      </c>
      <c r="I60" s="1021">
        <f>SUMIF(修正!A45:A56,H60,修正!E45:E56)</f>
        <v>0.25</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0.25</v>
      </c>
      <c r="D61" s="1075">
        <v>0.25</v>
      </c>
      <c r="E61" s="223">
        <f>'数据-汇总表'!E11</f>
        <v>0</v>
      </c>
      <c r="F61" s="1016" t="e">
        <f t="shared" si="15"/>
        <v>#DIV/0!</v>
      </c>
      <c r="G61" s="2141" t="s">
        <v>2535</v>
      </c>
      <c r="H61" s="1017" t="str">
        <f>项目基本情况!C37</f>
        <v>六级</v>
      </c>
      <c r="I61" s="1021">
        <f>SUMIF(修正!A45:A56,H61,修正!F45:F56)</f>
        <v>0.25</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0.25</v>
      </c>
      <c r="D62" s="1075">
        <v>0.25</v>
      </c>
      <c r="E62" s="223">
        <f>'数据-汇总表'!E12</f>
        <v>0</v>
      </c>
      <c r="F62" s="1016" t="e">
        <f t="shared" si="15"/>
        <v>#DIV/0!</v>
      </c>
      <c r="G62" s="1022" t="s">
        <v>2537</v>
      </c>
      <c r="H62" s="1017" t="str">
        <f>IF(G62="商业",项目基本情况!B37,IF(G62="办公",项目基本情况!C37,IF(G62="住宅",项目基本情况!D37,项目基本情况!E37)))</f>
        <v>六级</v>
      </c>
      <c r="I62" s="1021">
        <f>SUMIF(修正!A45:A56,H62,修正!G45:G56)</f>
        <v>0.25</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5">
        <v>0.25</v>
      </c>
      <c r="E63" s="223">
        <f>'数据-汇总表'!E13</f>
        <v>3675.03</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0.2</v>
      </c>
      <c r="D64" s="1075">
        <v>0.25</v>
      </c>
      <c r="E64" s="223">
        <f>'数据-汇总表'!E14</f>
        <v>0</v>
      </c>
      <c r="F64" s="1016" t="e">
        <f t="shared" si="15"/>
        <v>#DIV/0!</v>
      </c>
      <c r="G64" s="2141" t="s">
        <v>2530</v>
      </c>
      <c r="H64" s="1017" t="str">
        <f>项目基本情况!B37</f>
        <v>六级</v>
      </c>
      <c r="I64" s="1021">
        <f>SUMIF(修正!A45:A56,H64,修正!H45:H56)</f>
        <v>0.2</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0.2</v>
      </c>
      <c r="D65" s="1075">
        <v>0.25</v>
      </c>
      <c r="E65" s="223">
        <f>'数据-汇总表'!E15</f>
        <v>0</v>
      </c>
      <c r="F65" s="1016" t="e">
        <f t="shared" si="15"/>
        <v>#DIV/0!</v>
      </c>
      <c r="G65" s="2142" t="s">
        <v>2535</v>
      </c>
      <c r="H65" s="1027" t="str">
        <f>项目基本情况!C37</f>
        <v>六级</v>
      </c>
      <c r="I65" s="1023">
        <f>SUMIF(修正!A45:A56,H65,修正!H45:H56)</f>
        <v>0.2</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27069.539999999997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3"/>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8"/>
      <c r="D2" s="1038"/>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52" t="s">
        <v>2558</v>
      </c>
      <c r="D6" s="3553"/>
      <c r="E6" s="3554" t="s">
        <v>2558</v>
      </c>
      <c r="F6" s="3555"/>
      <c r="G6" s="3552" t="s">
        <v>2558</v>
      </c>
      <c r="H6" s="3553"/>
      <c r="I6" s="3552" t="s">
        <v>2558</v>
      </c>
      <c r="J6" s="3553"/>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6"/>
      <c r="M10" s="2917"/>
      <c r="N10" s="2917"/>
      <c r="O10" s="2970"/>
      <c r="P10" s="3488"/>
      <c r="Q10" s="1496" t="str">
        <f t="shared" si="6"/>
        <v>土地使用年限（年）</v>
      </c>
      <c r="R10" s="710" t="s">
        <v>17</v>
      </c>
      <c r="S10" s="711">
        <f t="shared" si="0"/>
        <v>105</v>
      </c>
      <c r="T10" s="710" t="s">
        <v>17</v>
      </c>
      <c r="U10" s="711">
        <f t="shared" si="1"/>
        <v>105</v>
      </c>
      <c r="V10" s="710" t="s">
        <v>17</v>
      </c>
      <c r="W10" s="711">
        <f t="shared" si="2"/>
        <v>105</v>
      </c>
      <c r="X10" s="712"/>
      <c r="Y10" s="3334"/>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90" t="s">
        <v>2321</v>
      </c>
      <c r="Q15" s="1505" t="str">
        <f t="shared" si="6"/>
        <v>产业集聚程度</v>
      </c>
      <c r="R15" s="714" t="s">
        <v>17</v>
      </c>
      <c r="S15" s="715">
        <f t="shared" si="0"/>
        <v>100</v>
      </c>
      <c r="T15" s="714" t="s">
        <v>17</v>
      </c>
      <c r="U15" s="715">
        <f t="shared" si="1"/>
        <v>100</v>
      </c>
      <c r="V15" s="714" t="s">
        <v>17</v>
      </c>
      <c r="W15" s="715">
        <f t="shared" si="2"/>
        <v>100</v>
      </c>
      <c r="X15" s="1508"/>
      <c r="Y15" s="3490" t="s">
        <v>2321</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9"/>
      <c r="M16" s="2913"/>
      <c r="N16" s="2913"/>
      <c r="O16" s="2971"/>
      <c r="P16" s="3491"/>
      <c r="Q16" s="1505"/>
      <c r="R16" s="714"/>
      <c r="S16" s="715"/>
      <c r="T16" s="714"/>
      <c r="U16" s="715"/>
      <c r="V16" s="714"/>
      <c r="W16" s="715"/>
      <c r="X16" s="1508"/>
      <c r="Y16" s="3491"/>
      <c r="Z16" s="1509"/>
      <c r="AA16" s="1506">
        <v>1</v>
      </c>
      <c r="AB16" s="1506">
        <v>1</v>
      </c>
      <c r="AC16" s="1506">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9"/>
      <c r="M18" s="2913"/>
      <c r="N18" s="2913"/>
      <c r="O18" s="2971"/>
      <c r="P18" s="3491"/>
      <c r="Q18" s="1505"/>
      <c r="R18" s="714"/>
      <c r="S18" s="715"/>
      <c r="T18" s="714"/>
      <c r="U18" s="715"/>
      <c r="V18" s="714"/>
      <c r="W18" s="715"/>
      <c r="X18" s="1508"/>
      <c r="Y18" s="3491"/>
      <c r="Z18" s="1509"/>
      <c r="AA18" s="1506">
        <v>1</v>
      </c>
      <c r="AB18" s="1506">
        <v>1</v>
      </c>
      <c r="AC18" s="1506">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91"/>
      <c r="Q19" s="1505" t="str">
        <f t="shared" ref="Q19:Q33" si="8">B19</f>
        <v>区域土地利用方向</v>
      </c>
      <c r="R19" s="714" t="s">
        <v>17</v>
      </c>
      <c r="S19" s="715">
        <f>F19</f>
        <v>100</v>
      </c>
      <c r="T19" s="714" t="s">
        <v>17</v>
      </c>
      <c r="U19" s="715">
        <f>H19</f>
        <v>100</v>
      </c>
      <c r="V19" s="714" t="s">
        <v>17</v>
      </c>
      <c r="W19" s="715">
        <f>J19</f>
        <v>100</v>
      </c>
      <c r="X19" s="1508"/>
      <c r="Y19" s="3491"/>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0"/>
      <c r="L20" s="2919"/>
      <c r="M20" s="2913"/>
      <c r="N20" s="2913"/>
      <c r="O20" s="2971"/>
      <c r="P20" s="3491"/>
      <c r="Q20" s="1505"/>
      <c r="R20" s="714"/>
      <c r="S20" s="715"/>
      <c r="T20" s="714"/>
      <c r="U20" s="715"/>
      <c r="V20" s="714"/>
      <c r="W20" s="715"/>
      <c r="X20" s="1508"/>
      <c r="Y20" s="3491"/>
      <c r="Z20" s="1509"/>
      <c r="AA20" s="1506"/>
      <c r="AB20" s="1506"/>
      <c r="AC20" s="1506"/>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91"/>
      <c r="Q21" s="1505" t="str">
        <f t="shared" si="8"/>
        <v>环境状况</v>
      </c>
      <c r="R21" s="714" t="s">
        <v>17</v>
      </c>
      <c r="S21" s="715">
        <f>F21</f>
        <v>100</v>
      </c>
      <c r="T21" s="714" t="s">
        <v>17</v>
      </c>
      <c r="U21" s="715">
        <f>H21</f>
        <v>100</v>
      </c>
      <c r="V21" s="714" t="s">
        <v>17</v>
      </c>
      <c r="W21" s="715">
        <f>J21</f>
        <v>100</v>
      </c>
      <c r="X21" s="1508"/>
      <c r="Y21" s="3491"/>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9"/>
      <c r="M22" s="2913"/>
      <c r="N22" s="2913"/>
      <c r="O22" s="2971"/>
      <c r="P22" s="3491"/>
      <c r="Q22" s="1505"/>
      <c r="R22" s="714"/>
      <c r="S22" s="715"/>
      <c r="T22" s="714"/>
      <c r="U22" s="715"/>
      <c r="V22" s="714"/>
      <c r="W22" s="715"/>
      <c r="X22" s="1508"/>
      <c r="Y22" s="3491"/>
      <c r="Z22" s="1509"/>
      <c r="AA22" s="1506">
        <v>1</v>
      </c>
      <c r="AB22" s="1506">
        <v>1</v>
      </c>
      <c r="AC22" s="1506">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91"/>
      <c r="Q23" s="1496" t="str">
        <f t="shared" si="8"/>
        <v>公共配套设施</v>
      </c>
      <c r="R23" s="710" t="s">
        <v>17</v>
      </c>
      <c r="S23" s="711">
        <f>F23</f>
        <v>100</v>
      </c>
      <c r="T23" s="710" t="s">
        <v>17</v>
      </c>
      <c r="U23" s="711">
        <f>H23</f>
        <v>100</v>
      </c>
      <c r="V23" s="710" t="s">
        <v>17</v>
      </c>
      <c r="W23" s="711">
        <f>J23</f>
        <v>100</v>
      </c>
      <c r="X23" s="712"/>
      <c r="Y23" s="3491"/>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4"/>
      <c r="M24" s="2915"/>
      <c r="N24" s="2915"/>
      <c r="O24" s="2969"/>
      <c r="P24" s="3491"/>
      <c r="Q24" s="1496"/>
      <c r="R24" s="710"/>
      <c r="S24" s="711"/>
      <c r="T24" s="710"/>
      <c r="U24" s="711"/>
      <c r="V24" s="710"/>
      <c r="W24" s="711"/>
      <c r="X24" s="712"/>
      <c r="Y24" s="3491"/>
      <c r="Z24" s="55"/>
      <c r="AA24" s="713">
        <v>1</v>
      </c>
      <c r="AB24" s="713">
        <v>1</v>
      </c>
      <c r="AC24" s="713">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91"/>
      <c r="Q25" s="1496" t="str">
        <f t="shared" ref="Q25" si="9">B25</f>
        <v>基础设施水平</v>
      </c>
      <c r="R25" s="710" t="s">
        <v>17</v>
      </c>
      <c r="S25" s="711">
        <f>F25</f>
        <v>100</v>
      </c>
      <c r="T25" s="710" t="s">
        <v>17</v>
      </c>
      <c r="U25" s="711">
        <f>H25</f>
        <v>100</v>
      </c>
      <c r="V25" s="710" t="s">
        <v>17</v>
      </c>
      <c r="W25" s="711">
        <f>J25</f>
        <v>100</v>
      </c>
      <c r="X25" s="712"/>
      <c r="Y25" s="3491"/>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91"/>
      <c r="Q26" s="1496"/>
      <c r="R26" s="710"/>
      <c r="S26" s="711"/>
      <c r="T26" s="710"/>
      <c r="U26" s="711"/>
      <c r="V26" s="710"/>
      <c r="W26" s="711"/>
      <c r="X26" s="712"/>
      <c r="Y26" s="349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9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1"/>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91"/>
      <c r="Q28" s="1505" t="str">
        <f t="shared" si="8"/>
        <v>毗邻道路的类型与等级</v>
      </c>
      <c r="R28" s="714" t="s">
        <v>17</v>
      </c>
      <c r="S28" s="715">
        <f t="shared" si="10"/>
        <v>100</v>
      </c>
      <c r="T28" s="714" t="s">
        <v>17</v>
      </c>
      <c r="U28" s="715">
        <f t="shared" si="11"/>
        <v>100</v>
      </c>
      <c r="V28" s="714" t="s">
        <v>17</v>
      </c>
      <c r="W28" s="715">
        <f t="shared" si="12"/>
        <v>100</v>
      </c>
      <c r="X28" s="1508"/>
      <c r="Y28" s="3491"/>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9"/>
      <c r="M29" s="2913"/>
      <c r="N29" s="2913"/>
      <c r="O29" s="2971"/>
      <c r="P29" s="3491"/>
      <c r="Q29" s="1505"/>
      <c r="R29" s="714"/>
      <c r="S29" s="715"/>
      <c r="T29" s="714"/>
      <c r="U29" s="715"/>
      <c r="V29" s="714"/>
      <c r="W29" s="715"/>
      <c r="X29" s="1508"/>
      <c r="Y29" s="3491"/>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91"/>
      <c r="Q30" s="1505" t="str">
        <f t="shared" si="8"/>
        <v>土地级别</v>
      </c>
      <c r="R30" s="714" t="s">
        <v>17</v>
      </c>
      <c r="S30" s="715">
        <f t="shared" si="10"/>
        <v>100</v>
      </c>
      <c r="T30" s="714" t="s">
        <v>17</v>
      </c>
      <c r="U30" s="715">
        <f t="shared" si="11"/>
        <v>100</v>
      </c>
      <c r="V30" s="714" t="s">
        <v>17</v>
      </c>
      <c r="W30" s="715">
        <f t="shared" si="12"/>
        <v>100</v>
      </c>
      <c r="X30" s="1508"/>
      <c r="Y30" s="3491"/>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91"/>
      <c r="Q31" s="1505">
        <f t="shared" si="8"/>
        <v>111</v>
      </c>
      <c r="R31" s="714" t="s">
        <v>17</v>
      </c>
      <c r="S31" s="715">
        <f t="shared" si="10"/>
        <v>100</v>
      </c>
      <c r="T31" s="714" t="s">
        <v>17</v>
      </c>
      <c r="U31" s="715">
        <f t="shared" si="11"/>
        <v>100</v>
      </c>
      <c r="V31" s="714" t="s">
        <v>17</v>
      </c>
      <c r="W31" s="715">
        <f t="shared" si="12"/>
        <v>100</v>
      </c>
      <c r="X31" s="1508"/>
      <c r="Y31" s="3491"/>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46" t="s">
        <v>2326</v>
      </c>
      <c r="Q32" s="1505">
        <f t="shared" si="8"/>
        <v>111</v>
      </c>
      <c r="R32" s="714" t="s">
        <v>17</v>
      </c>
      <c r="S32" s="715">
        <f t="shared" si="10"/>
        <v>100</v>
      </c>
      <c r="T32" s="714" t="s">
        <v>17</v>
      </c>
      <c r="U32" s="715">
        <f t="shared" si="11"/>
        <v>100</v>
      </c>
      <c r="V32" s="714" t="s">
        <v>17</v>
      </c>
      <c r="W32" s="715">
        <f t="shared" si="12"/>
        <v>100</v>
      </c>
      <c r="X32" s="1508"/>
      <c r="Y32" s="3495"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95"/>
      <c r="Q33" s="1505">
        <f t="shared" si="8"/>
        <v>111</v>
      </c>
      <c r="R33" s="717" t="s">
        <v>17</v>
      </c>
      <c r="S33" s="718">
        <f t="shared" si="10"/>
        <v>100</v>
      </c>
      <c r="T33" s="717" t="s">
        <v>17</v>
      </c>
      <c r="U33" s="718">
        <f t="shared" si="11"/>
        <v>100</v>
      </c>
      <c r="V33" s="717" t="s">
        <v>17</v>
      </c>
      <c r="W33" s="718">
        <f t="shared" si="12"/>
        <v>100</v>
      </c>
      <c r="X33" s="719"/>
      <c r="Y33" s="3495"/>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95"/>
      <c r="Q34" s="1505" t="str">
        <f>B34</f>
        <v>宗地面积</v>
      </c>
      <c r="R34" s="714" t="s">
        <v>17</v>
      </c>
      <c r="S34" s="715" t="e">
        <f t="shared" si="10"/>
        <v>#N/A</v>
      </c>
      <c r="T34" s="714" t="s">
        <v>17</v>
      </c>
      <c r="U34" s="715" t="e">
        <f t="shared" si="11"/>
        <v>#N/A</v>
      </c>
      <c r="V34" s="714" t="s">
        <v>17</v>
      </c>
      <c r="W34" s="715" t="e">
        <f t="shared" si="12"/>
        <v>#N/A</v>
      </c>
      <c r="X34" s="1508"/>
      <c r="Y34" s="3495"/>
      <c r="Z34" s="1509" t="str">
        <f t="shared" si="13"/>
        <v>宗地面积</v>
      </c>
      <c r="AA34" s="1506" t="e">
        <f t="shared" si="3"/>
        <v>#N/A</v>
      </c>
      <c r="AB34" s="1506" t="e">
        <f t="shared" si="4"/>
        <v>#N/A</v>
      </c>
      <c r="AC34" s="1506"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495"/>
      <c r="Q35" s="1505" t="str">
        <f t="shared" ref="Q35:Q40" si="14">B35</f>
        <v>宗地形状</v>
      </c>
      <c r="R35" s="714" t="s">
        <v>17</v>
      </c>
      <c r="S35" s="715">
        <f t="shared" si="10"/>
        <v>100</v>
      </c>
      <c r="T35" s="714" t="s">
        <v>17</v>
      </c>
      <c r="U35" s="715">
        <f t="shared" si="11"/>
        <v>100</v>
      </c>
      <c r="V35" s="714" t="s">
        <v>17</v>
      </c>
      <c r="W35" s="715">
        <f t="shared" si="12"/>
        <v>100</v>
      </c>
      <c r="X35" s="1508"/>
      <c r="Y35" s="3495"/>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95"/>
      <c r="Q36" s="1505"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495" t="s">
        <v>2326</v>
      </c>
      <c r="Q37" s="1505" t="str">
        <f t="shared" si="14"/>
        <v>工程地质条件</v>
      </c>
      <c r="R37" s="714" t="s">
        <v>17</v>
      </c>
      <c r="S37" s="715">
        <f t="shared" si="10"/>
        <v>100</v>
      </c>
      <c r="T37" s="714" t="s">
        <v>17</v>
      </c>
      <c r="U37" s="715">
        <f t="shared" si="11"/>
        <v>100</v>
      </c>
      <c r="V37" s="714" t="s">
        <v>17</v>
      </c>
      <c r="W37" s="715">
        <f t="shared" si="12"/>
        <v>100</v>
      </c>
      <c r="X37" s="1508"/>
      <c r="Y37" s="3495"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95"/>
      <c r="Q38" s="1505">
        <f t="shared" si="14"/>
        <v>111</v>
      </c>
      <c r="R38" s="714" t="s">
        <v>17</v>
      </c>
      <c r="S38" s="715">
        <f t="shared" si="10"/>
        <v>100</v>
      </c>
      <c r="T38" s="714" t="s">
        <v>17</v>
      </c>
      <c r="U38" s="715">
        <f t="shared" si="11"/>
        <v>100</v>
      </c>
      <c r="V38" s="714" t="s">
        <v>17</v>
      </c>
      <c r="W38" s="715">
        <f t="shared" si="12"/>
        <v>100</v>
      </c>
      <c r="X38" s="1508"/>
      <c r="Y38" s="3495"/>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95"/>
      <c r="Q39" s="1505">
        <f t="shared" si="14"/>
        <v>111</v>
      </c>
      <c r="R39" s="714" t="s">
        <v>17</v>
      </c>
      <c r="S39" s="715">
        <f t="shared" si="10"/>
        <v>100</v>
      </c>
      <c r="T39" s="714" t="s">
        <v>17</v>
      </c>
      <c r="U39" s="715">
        <f t="shared" si="11"/>
        <v>100</v>
      </c>
      <c r="V39" s="714" t="s">
        <v>17</v>
      </c>
      <c r="W39" s="715">
        <f t="shared" si="12"/>
        <v>100</v>
      </c>
      <c r="X39" s="1508"/>
      <c r="Y39" s="3495"/>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95"/>
      <c r="Q40" s="1505">
        <f t="shared" si="14"/>
        <v>111</v>
      </c>
      <c r="R40" s="717" t="s">
        <v>17</v>
      </c>
      <c r="S40" s="718">
        <f t="shared" si="10"/>
        <v>100</v>
      </c>
      <c r="T40" s="717" t="s">
        <v>17</v>
      </c>
      <c r="U40" s="718">
        <f t="shared" si="11"/>
        <v>100</v>
      </c>
      <c r="V40" s="717" t="s">
        <v>17</v>
      </c>
      <c r="W40" s="718">
        <f t="shared" si="12"/>
        <v>100</v>
      </c>
      <c r="X40" s="719"/>
      <c r="Y40" s="3495"/>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88" t="str">
        <f>A41</f>
        <v>成交单价</v>
      </c>
      <c r="Q41" s="3488"/>
      <c r="R41" s="3519">
        <f>E41</f>
        <v>0</v>
      </c>
      <c r="S41" s="3519"/>
      <c r="T41" s="3519">
        <f>G41</f>
        <v>0</v>
      </c>
      <c r="U41" s="3519"/>
      <c r="V41" s="3519">
        <f>I41</f>
        <v>0</v>
      </c>
      <c r="W41" s="3519"/>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88" t="str">
        <f>A42</f>
        <v>比较价值（元/平方米）</v>
      </c>
      <c r="Q42" s="3488"/>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85" t="str">
        <f>A43</f>
        <v>估价对象XX用房的比较价值（楼面单价，元/平方米）</v>
      </c>
      <c r="Q43" s="3486"/>
      <c r="R43" s="3549" t="e">
        <f>ROUND(IF(D42="简单平均",AVERAGE(R42:W42),R42*F42+T42*H42+V42*J42),0)</f>
        <v>#DIV/0!</v>
      </c>
      <c r="S43" s="3549"/>
      <c r="T43" s="3549"/>
      <c r="U43" s="3549"/>
      <c r="V43" s="3549"/>
      <c r="W43" s="354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503" t="s">
        <v>2525</v>
      </c>
      <c r="H50" s="3550"/>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4">
        <v>1</v>
      </c>
      <c r="E51" s="646">
        <f>'数据-汇总表'!E8+'数据-汇总表'!E9</f>
        <v>23394.51</v>
      </c>
      <c r="F51" s="647" t="e">
        <f t="shared" ref="F51:F60" si="15">ROUND(B51*E51/10000,0)</f>
        <v>#DIV/0!</v>
      </c>
      <c r="G51" s="3499"/>
      <c r="H51" s="3488"/>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0.7</v>
      </c>
      <c r="D52" s="1075">
        <v>0.25</v>
      </c>
      <c r="E52" s="650"/>
      <c r="F52" s="647" t="e">
        <f t="shared" si="15"/>
        <v>#DIV/0!</v>
      </c>
      <c r="G52" s="3551" t="s">
        <v>2530</v>
      </c>
      <c r="H52" s="1017" t="str">
        <f>项目基本情况!B37</f>
        <v>六级</v>
      </c>
      <c r="I52" s="878">
        <f>SUMIF(修正!A45:A56,H52,修正!B45:B56)</f>
        <v>0.7</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0.4</v>
      </c>
      <c r="D53" s="1075">
        <v>0.25</v>
      </c>
      <c r="E53" s="650"/>
      <c r="F53" s="647" t="e">
        <f t="shared" si="15"/>
        <v>#DIV/0!</v>
      </c>
      <c r="G53" s="3551"/>
      <c r="H53" s="1017" t="str">
        <f>项目基本情况!B37</f>
        <v>六级</v>
      </c>
      <c r="I53" s="878">
        <f>SUMIF(修正!A45:A56,H53,修正!C45:C56)</f>
        <v>0.4</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0.28000000000000003</v>
      </c>
      <c r="D54" s="1075">
        <v>0.25</v>
      </c>
      <c r="E54" s="650"/>
      <c r="F54" s="647" t="e">
        <f t="shared" si="15"/>
        <v>#DIV/0!</v>
      </c>
      <c r="G54" s="3551"/>
      <c r="H54" s="1017" t="str">
        <f>项目基本情况!B37</f>
        <v>六级</v>
      </c>
      <c r="I54" s="878">
        <f>SUMIF(修正!A45:A56,H54,修正!D45:D56)</f>
        <v>0.28000000000000003</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0.25</v>
      </c>
      <c r="D55" s="1075">
        <v>0.25</v>
      </c>
      <c r="E55" s="650"/>
      <c r="F55" s="647" t="e">
        <f t="shared" si="15"/>
        <v>#DIV/0!</v>
      </c>
      <c r="G55" s="3551"/>
      <c r="H55" s="1017" t="str">
        <f>项目基本情况!B37</f>
        <v>六级</v>
      </c>
      <c r="I55" s="878">
        <f>SUMIF(修正!A45:A56,H55,修正!E45:E56)</f>
        <v>0.25</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0.25</v>
      </c>
      <c r="D56" s="1075">
        <v>0.25</v>
      </c>
      <c r="E56" s="223">
        <f>'数据-汇总表'!E11</f>
        <v>0</v>
      </c>
      <c r="F56" s="647" t="e">
        <f t="shared" si="15"/>
        <v>#DIV/0!</v>
      </c>
      <c r="G56" s="2141" t="s">
        <v>2535</v>
      </c>
      <c r="H56" s="1017" t="str">
        <f>项目基本情况!C37</f>
        <v>六级</v>
      </c>
      <c r="I56" s="878">
        <f>SUMIF(修正!A45:A56,H56,修正!F45:F56)</f>
        <v>0.25</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0.25</v>
      </c>
      <c r="D57" s="1075">
        <v>0.25</v>
      </c>
      <c r="E57" s="223">
        <f>'数据-汇总表'!E12</f>
        <v>0</v>
      </c>
      <c r="F57" s="647" t="e">
        <f t="shared" si="15"/>
        <v>#DIV/0!</v>
      </c>
      <c r="G57" s="1022" t="s">
        <v>2537</v>
      </c>
      <c r="H57" s="1017" t="str">
        <f>IF(G57="商业",项目基本情况!B37,IF(G57="办公",项目基本情况!C37,IF(G57="住宅",项目基本情况!D37,项目基本情况!E37)))</f>
        <v>六级</v>
      </c>
      <c r="I57" s="878">
        <f>SUMIF(修正!A45:A56,H57,修正!G45:G56)</f>
        <v>0.25</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5">
        <v>0.25</v>
      </c>
      <c r="E58" s="223">
        <f>'数据-汇总表'!E13</f>
        <v>3675.03</v>
      </c>
      <c r="F58" s="647"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0.2</v>
      </c>
      <c r="D59" s="1075">
        <v>0.25</v>
      </c>
      <c r="E59" s="223">
        <f>'数据-汇总表'!E14</f>
        <v>0</v>
      </c>
      <c r="F59" s="647" t="e">
        <f t="shared" si="15"/>
        <v>#DIV/0!</v>
      </c>
      <c r="G59" s="2141" t="s">
        <v>2530</v>
      </c>
      <c r="H59" s="1017" t="str">
        <f>项目基本情况!B37</f>
        <v>六级</v>
      </c>
      <c r="I59" s="878">
        <f>SUMIF(修正!A45:A56,H59,修正!H45:H56)</f>
        <v>0.2</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0.2</v>
      </c>
      <c r="D60" s="1075">
        <v>0.25</v>
      </c>
      <c r="E60" s="223">
        <f>'数据-汇总表'!E15</f>
        <v>0</v>
      </c>
      <c r="F60" s="647" t="e">
        <f t="shared" si="15"/>
        <v>#DIV/0!</v>
      </c>
      <c r="G60" s="2142" t="s">
        <v>2535</v>
      </c>
      <c r="H60" s="1027" t="str">
        <f>项目基本情况!C37</f>
        <v>六级</v>
      </c>
      <c r="I60" s="878">
        <f>SUMIF(修正!A45:A56,H60,修正!H45:H56)</f>
        <v>0.2</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7552.72</v>
      </c>
      <c r="F61" s="653"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0"/>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56" t="s">
        <v>183</v>
      </c>
      <c r="B18" s="820" t="s">
        <v>560</v>
      </c>
      <c r="C18" s="821" t="s">
        <v>561</v>
      </c>
      <c r="D18" s="822"/>
      <c r="E18" s="820">
        <v>1</v>
      </c>
      <c r="F18" s="823" t="s">
        <v>562</v>
      </c>
      <c r="G18" s="824"/>
      <c r="H18" s="816"/>
      <c r="I18" s="816"/>
    </row>
    <row r="19" spans="1:9" s="825" customFormat="1" ht="19.5" customHeight="1">
      <c r="A19" s="3556"/>
      <c r="B19" s="3556" t="s">
        <v>563</v>
      </c>
      <c r="C19" s="821" t="s">
        <v>564</v>
      </c>
      <c r="D19" s="822"/>
      <c r="E19" s="820">
        <v>0.9</v>
      </c>
      <c r="F19" s="823" t="s">
        <v>565</v>
      </c>
      <c r="G19" s="824"/>
      <c r="H19" s="816"/>
      <c r="I19" s="816"/>
    </row>
    <row r="20" spans="1:9" s="825" customFormat="1" ht="19.5" customHeight="1">
      <c r="A20" s="3556"/>
      <c r="B20" s="3556"/>
      <c r="C20" s="821" t="s">
        <v>566</v>
      </c>
      <c r="D20" s="822"/>
      <c r="E20" s="820">
        <v>1.1000000000000001</v>
      </c>
      <c r="F20" s="823" t="s">
        <v>567</v>
      </c>
      <c r="G20" s="824"/>
      <c r="H20" s="816"/>
      <c r="I20" s="816"/>
    </row>
    <row r="21" spans="1:9" s="825" customFormat="1" ht="19.5" customHeight="1">
      <c r="A21" s="3556"/>
      <c r="B21" s="3556"/>
      <c r="C21" s="821" t="s">
        <v>568</v>
      </c>
      <c r="D21" s="822"/>
      <c r="E21" s="820">
        <v>0.8</v>
      </c>
      <c r="F21" s="823" t="s">
        <v>569</v>
      </c>
      <c r="G21" s="824"/>
      <c r="H21" s="816"/>
      <c r="I21" s="816"/>
    </row>
    <row r="22" spans="1:9" s="825" customFormat="1" ht="19.5" customHeight="1">
      <c r="A22" s="3556"/>
      <c r="B22" s="3556"/>
      <c r="C22" s="821" t="s">
        <v>570</v>
      </c>
      <c r="D22" s="822"/>
      <c r="E22" s="820">
        <v>0.5</v>
      </c>
      <c r="F22" s="823"/>
      <c r="G22" s="824"/>
      <c r="H22" s="816"/>
      <c r="I22" s="816"/>
    </row>
    <row r="23" spans="1:9" s="825" customFormat="1" ht="19.5" customHeight="1">
      <c r="A23" s="3556" t="s">
        <v>184</v>
      </c>
      <c r="B23" s="820" t="s">
        <v>560</v>
      </c>
      <c r="C23" s="821" t="s">
        <v>571</v>
      </c>
      <c r="D23" s="822"/>
      <c r="E23" s="820">
        <v>1</v>
      </c>
      <c r="F23" s="823" t="s">
        <v>572</v>
      </c>
      <c r="G23" s="824"/>
      <c r="H23" s="816"/>
      <c r="I23" s="816"/>
    </row>
    <row r="24" spans="1:9" s="825" customFormat="1" ht="19.5" customHeight="1">
      <c r="A24" s="3556"/>
      <c r="B24" s="3556" t="s">
        <v>563</v>
      </c>
      <c r="C24" s="821" t="s">
        <v>573</v>
      </c>
      <c r="D24" s="822"/>
      <c r="E24" s="820">
        <v>0.5</v>
      </c>
      <c r="F24" s="823"/>
      <c r="G24" s="824"/>
      <c r="H24" s="816"/>
      <c r="I24" s="816"/>
    </row>
    <row r="25" spans="1:9" s="825" customFormat="1" ht="19.5" customHeight="1">
      <c r="A25" s="3556"/>
      <c r="B25" s="3556"/>
      <c r="C25" s="821" t="s">
        <v>574</v>
      </c>
      <c r="D25" s="822"/>
      <c r="E25" s="820">
        <v>1.1000000000000001</v>
      </c>
      <c r="F25" s="823"/>
      <c r="G25" s="824"/>
      <c r="H25" s="816"/>
      <c r="I25" s="816"/>
    </row>
    <row r="26" spans="1:9" s="825" customFormat="1" ht="19.5" customHeight="1">
      <c r="A26" s="3556"/>
      <c r="B26" s="3556"/>
      <c r="C26" s="821" t="s">
        <v>575</v>
      </c>
      <c r="D26" s="822"/>
      <c r="E26" s="820">
        <v>1.1000000000000001</v>
      </c>
      <c r="F26" s="823"/>
      <c r="G26" s="824"/>
      <c r="H26" s="816"/>
      <c r="I26" s="816"/>
    </row>
    <row r="27" spans="1:9" s="825" customFormat="1" ht="19.5" customHeight="1">
      <c r="A27" s="3556"/>
      <c r="B27" s="3556"/>
      <c r="C27" s="821" t="s">
        <v>576</v>
      </c>
      <c r="D27" s="822"/>
      <c r="E27" s="820">
        <v>0.9</v>
      </c>
      <c r="F27" s="823" t="s">
        <v>577</v>
      </c>
      <c r="G27" s="824"/>
      <c r="H27" s="816"/>
      <c r="I27" s="816"/>
    </row>
    <row r="28" spans="1:9" s="825" customFormat="1" ht="19.5" customHeight="1">
      <c r="A28" s="3556"/>
      <c r="B28" s="3556"/>
      <c r="C28" s="821" t="s">
        <v>578</v>
      </c>
      <c r="D28" s="822"/>
      <c r="E28" s="820">
        <v>0.9</v>
      </c>
      <c r="F28" s="823" t="s">
        <v>579</v>
      </c>
      <c r="G28" s="824"/>
      <c r="H28" s="816"/>
      <c r="I28" s="816"/>
    </row>
    <row r="29" spans="1:9" s="825" customFormat="1" ht="19.5" customHeight="1">
      <c r="A29" s="3556"/>
      <c r="B29" s="3556"/>
      <c r="C29" s="821" t="s">
        <v>580</v>
      </c>
      <c r="D29" s="822"/>
      <c r="E29" s="820">
        <v>0.9</v>
      </c>
      <c r="F29" s="823" t="s">
        <v>581</v>
      </c>
      <c r="G29" s="824"/>
      <c r="H29" s="816"/>
      <c r="I29" s="816"/>
    </row>
    <row r="30" spans="1:9" s="825" customFormat="1" ht="19.5" customHeight="1">
      <c r="A30" s="3556"/>
      <c r="B30" s="3556"/>
      <c r="C30" s="821" t="s">
        <v>582</v>
      </c>
      <c r="D30" s="822"/>
      <c r="E30" s="820">
        <v>0.9</v>
      </c>
      <c r="F30" s="823" t="s">
        <v>583</v>
      </c>
      <c r="G30" s="824"/>
      <c r="H30" s="816"/>
      <c r="I30" s="816"/>
    </row>
    <row r="31" spans="1:9" s="825" customFormat="1" ht="19.5" customHeight="1">
      <c r="A31" s="3556"/>
      <c r="B31" s="3556"/>
      <c r="C31" s="821" t="s">
        <v>584</v>
      </c>
      <c r="D31" s="822"/>
      <c r="E31" s="820">
        <v>0.8</v>
      </c>
      <c r="F31" s="823" t="s">
        <v>585</v>
      </c>
      <c r="G31" s="824"/>
      <c r="H31" s="816"/>
      <c r="I31" s="816"/>
    </row>
    <row r="32" spans="1:9" s="825" customFormat="1" ht="19.5" customHeight="1">
      <c r="A32" s="3556"/>
      <c r="B32" s="3556"/>
      <c r="C32" s="821" t="s">
        <v>586</v>
      </c>
      <c r="D32" s="822"/>
      <c r="E32" s="820">
        <v>0.8</v>
      </c>
      <c r="F32" s="823" t="s">
        <v>587</v>
      </c>
      <c r="G32" s="824"/>
      <c r="H32" s="816"/>
      <c r="I32" s="816"/>
    </row>
    <row r="33" spans="1:9" s="825" customFormat="1" ht="19.5" customHeight="1">
      <c r="A33" s="3556" t="s">
        <v>185</v>
      </c>
      <c r="B33" s="820" t="s">
        <v>560</v>
      </c>
      <c r="C33" s="821" t="s">
        <v>588</v>
      </c>
      <c r="D33" s="822"/>
      <c r="E33" s="820">
        <v>1</v>
      </c>
      <c r="F33" s="823" t="s">
        <v>589</v>
      </c>
      <c r="G33" s="824"/>
      <c r="H33" s="816"/>
      <c r="I33" s="816"/>
    </row>
    <row r="34" spans="1:9" s="825" customFormat="1" ht="19.5" customHeight="1">
      <c r="A34" s="3556"/>
      <c r="B34" s="820" t="s">
        <v>563</v>
      </c>
      <c r="C34" s="821" t="s">
        <v>590</v>
      </c>
      <c r="D34" s="822"/>
      <c r="E34" s="820">
        <v>1.5</v>
      </c>
      <c r="F34" s="823" t="s">
        <v>591</v>
      </c>
      <c r="G34" s="824"/>
      <c r="H34" s="816"/>
      <c r="I34" s="816"/>
    </row>
    <row r="35" spans="1:9" s="825" customFormat="1" ht="19.5" customHeight="1">
      <c r="A35" s="3556" t="s">
        <v>186</v>
      </c>
      <c r="B35" s="820" t="s">
        <v>560</v>
      </c>
      <c r="C35" s="821" t="s">
        <v>592</v>
      </c>
      <c r="D35" s="822"/>
      <c r="E35" s="820">
        <v>1</v>
      </c>
      <c r="F35" s="823" t="s">
        <v>593</v>
      </c>
      <c r="G35" s="824"/>
      <c r="H35" s="816"/>
      <c r="I35" s="816"/>
    </row>
    <row r="36" spans="1:9" s="825" customFormat="1" ht="19.5" customHeight="1">
      <c r="A36" s="3556"/>
      <c r="B36" s="3556" t="s">
        <v>563</v>
      </c>
      <c r="C36" s="821" t="s">
        <v>594</v>
      </c>
      <c r="D36" s="822"/>
      <c r="E36" s="820">
        <v>1</v>
      </c>
      <c r="F36" s="823" t="s">
        <v>595</v>
      </c>
      <c r="G36" s="824"/>
      <c r="H36" s="816"/>
      <c r="I36" s="816"/>
    </row>
    <row r="37" spans="1:9" s="825" customFormat="1" ht="19.5" customHeight="1">
      <c r="A37" s="3556"/>
      <c r="B37" s="3556"/>
      <c r="C37" s="821" t="s">
        <v>596</v>
      </c>
      <c r="D37" s="822"/>
      <c r="E37" s="820">
        <v>1.5</v>
      </c>
      <c r="F37" s="823" t="s">
        <v>597</v>
      </c>
      <c r="G37" s="824"/>
      <c r="H37" s="816"/>
      <c r="I37" s="816"/>
    </row>
    <row r="38" spans="1:9" s="825" customFormat="1" ht="19.5" customHeight="1">
      <c r="A38" s="3556"/>
      <c r="B38" s="3556"/>
      <c r="C38" s="821" t="s">
        <v>598</v>
      </c>
      <c r="D38" s="822"/>
      <c r="E38" s="820">
        <v>1</v>
      </c>
      <c r="F38" s="823" t="s">
        <v>599</v>
      </c>
      <c r="G38" s="824"/>
      <c r="H38" s="816"/>
      <c r="I38" s="816"/>
    </row>
    <row r="39" spans="1:9" s="825" customFormat="1" ht="19.5" customHeight="1">
      <c r="A39" s="3556"/>
      <c r="B39" s="35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56" t="s">
        <v>614</v>
      </c>
      <c r="C61" s="756" t="s">
        <v>615</v>
      </c>
      <c r="D61" s="756" t="s">
        <v>616</v>
      </c>
      <c r="E61" s="833">
        <v>0.5</v>
      </c>
      <c r="F61" s="820">
        <v>80</v>
      </c>
    </row>
    <row r="62" spans="1:8" s="816" customFormat="1" ht="24">
      <c r="A62" s="820">
        <v>2</v>
      </c>
      <c r="B62" s="3556"/>
      <c r="C62" s="756" t="s">
        <v>617</v>
      </c>
      <c r="D62" s="756" t="s">
        <v>618</v>
      </c>
      <c r="E62" s="833">
        <v>0.5</v>
      </c>
      <c r="F62" s="820">
        <v>80</v>
      </c>
    </row>
    <row r="63" spans="1:8" s="816" customFormat="1" ht="36">
      <c r="A63" s="820">
        <v>3</v>
      </c>
      <c r="B63" s="3556"/>
      <c r="C63" s="756" t="s">
        <v>619</v>
      </c>
      <c r="D63" s="756" t="s">
        <v>620</v>
      </c>
      <c r="E63" s="833">
        <v>0.5</v>
      </c>
      <c r="F63" s="820">
        <v>80</v>
      </c>
    </row>
    <row r="64" spans="1:8" s="816" customFormat="1" ht="36">
      <c r="A64" s="820">
        <v>4</v>
      </c>
      <c r="B64" s="3556"/>
      <c r="C64" s="756" t="s">
        <v>621</v>
      </c>
      <c r="D64" s="756" t="s">
        <v>622</v>
      </c>
      <c r="E64" s="833">
        <v>0.4</v>
      </c>
      <c r="F64" s="820">
        <v>60</v>
      </c>
    </row>
    <row r="65" spans="1:6" s="816" customFormat="1" ht="36">
      <c r="A65" s="820">
        <v>5</v>
      </c>
      <c r="B65" s="3556"/>
      <c r="C65" s="756" t="s">
        <v>623</v>
      </c>
      <c r="D65" s="756" t="s">
        <v>624</v>
      </c>
      <c r="E65" s="833">
        <v>0.2</v>
      </c>
      <c r="F65" s="820">
        <v>30</v>
      </c>
    </row>
    <row r="66" spans="1:6" s="816" customFormat="1" ht="36">
      <c r="A66" s="820">
        <v>6</v>
      </c>
      <c r="B66" s="3556"/>
      <c r="C66" s="756" t="s">
        <v>625</v>
      </c>
      <c r="D66" s="756" t="s">
        <v>626</v>
      </c>
      <c r="E66" s="833">
        <v>0.3</v>
      </c>
      <c r="F66" s="820">
        <v>50</v>
      </c>
    </row>
    <row r="67" spans="1:6" s="816" customFormat="1" ht="36">
      <c r="A67" s="820">
        <v>7</v>
      </c>
      <c r="B67" s="3556"/>
      <c r="C67" s="756" t="s">
        <v>627</v>
      </c>
      <c r="D67" s="756" t="s">
        <v>628</v>
      </c>
      <c r="E67" s="833">
        <v>0.2</v>
      </c>
      <c r="F67" s="820">
        <v>30</v>
      </c>
    </row>
    <row r="68" spans="1:6" s="816" customFormat="1" ht="36">
      <c r="A68" s="820">
        <v>8</v>
      </c>
      <c r="B68" s="3556"/>
      <c r="C68" s="756" t="s">
        <v>629</v>
      </c>
      <c r="D68" s="756" t="s">
        <v>630</v>
      </c>
      <c r="E68" s="833">
        <v>0.2</v>
      </c>
      <c r="F68" s="820">
        <v>30</v>
      </c>
    </row>
    <row r="69" spans="1:6" s="816" customFormat="1" ht="36">
      <c r="A69" s="820">
        <v>9</v>
      </c>
      <c r="B69" s="3556"/>
      <c r="C69" s="756" t="s">
        <v>631</v>
      </c>
      <c r="D69" s="756" t="s">
        <v>632</v>
      </c>
      <c r="E69" s="833">
        <v>0.2</v>
      </c>
      <c r="F69" s="820">
        <v>30</v>
      </c>
    </row>
    <row r="70" spans="1:6" s="816" customFormat="1" ht="48">
      <c r="A70" s="820">
        <v>10</v>
      </c>
      <c r="B70" s="3556"/>
      <c r="C70" s="756" t="s">
        <v>633</v>
      </c>
      <c r="D70" s="756" t="s">
        <v>634</v>
      </c>
      <c r="E70" s="833">
        <v>0.2</v>
      </c>
      <c r="F70" s="820">
        <v>30</v>
      </c>
    </row>
    <row r="71" spans="1:6" s="816" customFormat="1" ht="48">
      <c r="A71" s="820">
        <v>11</v>
      </c>
      <c r="B71" s="3556"/>
      <c r="C71" s="756" t="s">
        <v>635</v>
      </c>
      <c r="D71" s="756" t="s">
        <v>636</v>
      </c>
      <c r="E71" s="833">
        <v>0.2</v>
      </c>
      <c r="F71" s="820">
        <v>30</v>
      </c>
    </row>
    <row r="72" spans="1:6" s="816" customFormat="1" ht="36">
      <c r="A72" s="820">
        <v>12</v>
      </c>
      <c r="B72" s="3556"/>
      <c r="C72" s="756" t="s">
        <v>637</v>
      </c>
      <c r="D72" s="756" t="s">
        <v>638</v>
      </c>
      <c r="E72" s="833">
        <v>0.5</v>
      </c>
      <c r="F72" s="820">
        <v>80</v>
      </c>
    </row>
    <row r="73" spans="1:6" s="816" customFormat="1" ht="24">
      <c r="A73" s="820">
        <v>13</v>
      </c>
      <c r="B73" s="3556"/>
      <c r="C73" s="756" t="s">
        <v>639</v>
      </c>
      <c r="D73" s="756" t="s">
        <v>640</v>
      </c>
      <c r="E73" s="833">
        <v>0.4</v>
      </c>
      <c r="F73" s="820">
        <v>60</v>
      </c>
    </row>
    <row r="74" spans="1:6" s="816" customFormat="1" ht="24">
      <c r="A74" s="820">
        <v>14</v>
      </c>
      <c r="B74" s="3556"/>
      <c r="C74" s="756" t="s">
        <v>641</v>
      </c>
      <c r="D74" s="756" t="s">
        <v>642</v>
      </c>
      <c r="E74" s="833">
        <v>0.2</v>
      </c>
      <c r="F74" s="820">
        <v>30</v>
      </c>
    </row>
    <row r="75" spans="1:6" s="816" customFormat="1" ht="24">
      <c r="A75" s="820">
        <v>15</v>
      </c>
      <c r="B75" s="3556"/>
      <c r="C75" s="756" t="s">
        <v>643</v>
      </c>
      <c r="D75" s="756" t="s">
        <v>644</v>
      </c>
      <c r="E75" s="833">
        <v>0.2</v>
      </c>
      <c r="F75" s="820">
        <v>30</v>
      </c>
    </row>
    <row r="76" spans="1:6" s="816" customFormat="1" ht="24">
      <c r="A76" s="820">
        <v>16</v>
      </c>
      <c r="B76" s="3556" t="s">
        <v>645</v>
      </c>
      <c r="C76" s="756" t="s">
        <v>646</v>
      </c>
      <c r="D76" s="756" t="s">
        <v>647</v>
      </c>
      <c r="E76" s="833">
        <v>0.5</v>
      </c>
      <c r="F76" s="820">
        <v>80</v>
      </c>
    </row>
    <row r="77" spans="1:6" s="816" customFormat="1" ht="24">
      <c r="A77" s="820">
        <v>17</v>
      </c>
      <c r="B77" s="3556"/>
      <c r="C77" s="756" t="s">
        <v>648</v>
      </c>
      <c r="D77" s="756" t="s">
        <v>649</v>
      </c>
      <c r="E77" s="833">
        <v>0.5</v>
      </c>
      <c r="F77" s="820">
        <v>80</v>
      </c>
    </row>
    <row r="78" spans="1:6" s="816" customFormat="1" ht="24">
      <c r="A78" s="820">
        <v>18</v>
      </c>
      <c r="B78" s="3556"/>
      <c r="C78" s="756" t="s">
        <v>650</v>
      </c>
      <c r="D78" s="756" t="s">
        <v>651</v>
      </c>
      <c r="E78" s="833">
        <v>0.2</v>
      </c>
      <c r="F78" s="820">
        <v>30</v>
      </c>
    </row>
    <row r="79" spans="1:6" s="816" customFormat="1" ht="24">
      <c r="A79" s="820">
        <v>19</v>
      </c>
      <c r="B79" s="3556"/>
      <c r="C79" s="756" t="s">
        <v>652</v>
      </c>
      <c r="D79" s="756" t="s">
        <v>653</v>
      </c>
      <c r="E79" s="833">
        <v>0.5</v>
      </c>
      <c r="F79" s="820">
        <v>80</v>
      </c>
    </row>
    <row r="80" spans="1:6" s="816" customFormat="1" ht="36">
      <c r="A80" s="820">
        <v>20</v>
      </c>
      <c r="B80" s="3556"/>
      <c r="C80" s="756" t="s">
        <v>654</v>
      </c>
      <c r="D80" s="756" t="s">
        <v>655</v>
      </c>
      <c r="E80" s="833">
        <v>0.2</v>
      </c>
      <c r="F80" s="820">
        <v>30</v>
      </c>
    </row>
    <row r="81" spans="1:6" s="816" customFormat="1" ht="36">
      <c r="A81" s="820">
        <v>21</v>
      </c>
      <c r="B81" s="3556"/>
      <c r="C81" s="756" t="s">
        <v>656</v>
      </c>
      <c r="D81" s="756" t="s">
        <v>657</v>
      </c>
      <c r="E81" s="833">
        <v>0.2</v>
      </c>
      <c r="F81" s="820">
        <v>30</v>
      </c>
    </row>
    <row r="82" spans="1:6" s="816" customFormat="1" ht="48">
      <c r="A82" s="820">
        <v>22</v>
      </c>
      <c r="B82" s="3556"/>
      <c r="C82" s="756" t="s">
        <v>658</v>
      </c>
      <c r="D82" s="756" t="s">
        <v>659</v>
      </c>
      <c r="E82" s="833">
        <v>0.2</v>
      </c>
      <c r="F82" s="820">
        <v>30</v>
      </c>
    </row>
    <row r="83" spans="1:6" s="816" customFormat="1" ht="48">
      <c r="A83" s="820">
        <v>23</v>
      </c>
      <c r="B83" s="3556"/>
      <c r="C83" s="756" t="s">
        <v>660</v>
      </c>
      <c r="D83" s="756" t="s">
        <v>661</v>
      </c>
      <c r="E83" s="833">
        <v>0.2</v>
      </c>
      <c r="F83" s="820">
        <v>30</v>
      </c>
    </row>
    <row r="84" spans="1:6" s="816" customFormat="1" ht="36">
      <c r="A84" s="820">
        <v>24</v>
      </c>
      <c r="B84" s="3556"/>
      <c r="C84" s="756" t="s">
        <v>662</v>
      </c>
      <c r="D84" s="756" t="s">
        <v>663</v>
      </c>
      <c r="E84" s="833">
        <v>0.2</v>
      </c>
      <c r="F84" s="820">
        <v>30</v>
      </c>
    </row>
    <row r="85" spans="1:6" s="816" customFormat="1" ht="36">
      <c r="A85" s="820">
        <v>25</v>
      </c>
      <c r="B85" s="3556"/>
      <c r="C85" s="756" t="s">
        <v>664</v>
      </c>
      <c r="D85" s="756" t="s">
        <v>665</v>
      </c>
      <c r="E85" s="833">
        <v>0.5</v>
      </c>
      <c r="F85" s="820">
        <v>80</v>
      </c>
    </row>
    <row r="86" spans="1:6" s="816" customFormat="1" ht="36">
      <c r="A86" s="820">
        <v>26</v>
      </c>
      <c r="B86" s="3556"/>
      <c r="C86" s="756" t="s">
        <v>666</v>
      </c>
      <c r="D86" s="756" t="s">
        <v>667</v>
      </c>
      <c r="E86" s="833">
        <v>0.2</v>
      </c>
      <c r="F86" s="820">
        <v>30</v>
      </c>
    </row>
    <row r="87" spans="1:6" s="816" customFormat="1" ht="36">
      <c r="A87" s="820">
        <v>27</v>
      </c>
      <c r="B87" s="3556"/>
      <c r="C87" s="756" t="s">
        <v>668</v>
      </c>
      <c r="D87" s="756" t="s">
        <v>669</v>
      </c>
      <c r="E87" s="833">
        <v>0.2</v>
      </c>
      <c r="F87" s="820">
        <v>30</v>
      </c>
    </row>
    <row r="88" spans="1:6" s="816" customFormat="1" ht="36">
      <c r="A88" s="820">
        <v>28</v>
      </c>
      <c r="B88" s="3556"/>
      <c r="C88" s="756" t="s">
        <v>670</v>
      </c>
      <c r="D88" s="756" t="s">
        <v>671</v>
      </c>
      <c r="E88" s="833">
        <v>0.2</v>
      </c>
      <c r="F88" s="820">
        <v>30</v>
      </c>
    </row>
    <row r="89" spans="1:6" s="816" customFormat="1" ht="24">
      <c r="A89" s="820">
        <v>29</v>
      </c>
      <c r="B89" s="3556"/>
      <c r="C89" s="756" t="s">
        <v>672</v>
      </c>
      <c r="D89" s="756" t="s">
        <v>673</v>
      </c>
      <c r="E89" s="833">
        <v>0.2</v>
      </c>
      <c r="F89" s="820">
        <v>30</v>
      </c>
    </row>
    <row r="90" spans="1:6" s="816" customFormat="1" ht="24">
      <c r="A90" s="820">
        <v>30</v>
      </c>
      <c r="B90" s="3556"/>
      <c r="C90" s="756" t="s">
        <v>674</v>
      </c>
      <c r="D90" s="756" t="s">
        <v>675</v>
      </c>
      <c r="E90" s="833">
        <v>0.2</v>
      </c>
      <c r="F90" s="820">
        <v>30</v>
      </c>
    </row>
    <row r="91" spans="1:6" s="816" customFormat="1" ht="36">
      <c r="A91" s="820">
        <v>31</v>
      </c>
      <c r="B91" s="3556"/>
      <c r="C91" s="756" t="s">
        <v>676</v>
      </c>
      <c r="D91" s="756" t="s">
        <v>677</v>
      </c>
      <c r="E91" s="833">
        <v>0.2</v>
      </c>
      <c r="F91" s="820">
        <v>30</v>
      </c>
    </row>
    <row r="92" spans="1:6" s="816" customFormat="1" ht="24">
      <c r="A92" s="820">
        <v>32</v>
      </c>
      <c r="B92" s="3556" t="s">
        <v>678</v>
      </c>
      <c r="C92" s="820" t="s">
        <v>679</v>
      </c>
      <c r="D92" s="756" t="s">
        <v>680</v>
      </c>
      <c r="E92" s="833">
        <v>0.2</v>
      </c>
      <c r="F92" s="820">
        <v>30</v>
      </c>
    </row>
    <row r="93" spans="1:6" s="816" customFormat="1" ht="36">
      <c r="A93" s="820">
        <v>33</v>
      </c>
      <c r="B93" s="3556"/>
      <c r="C93" s="820" t="s">
        <v>681</v>
      </c>
      <c r="D93" s="756" t="s">
        <v>682</v>
      </c>
      <c r="E93" s="833">
        <v>0.2</v>
      </c>
      <c r="F93" s="820">
        <v>30</v>
      </c>
    </row>
    <row r="94" spans="1:6" s="816" customFormat="1" ht="48">
      <c r="A94" s="820">
        <v>34</v>
      </c>
      <c r="B94" s="3556"/>
      <c r="C94" s="820" t="s">
        <v>683</v>
      </c>
      <c r="D94" s="756" t="s">
        <v>684</v>
      </c>
      <c r="E94" s="833">
        <v>0.2</v>
      </c>
      <c r="F94" s="820">
        <v>30</v>
      </c>
    </row>
    <row r="95" spans="1:6" s="816" customFormat="1" ht="36">
      <c r="A95" s="820">
        <v>35</v>
      </c>
      <c r="B95" s="3556"/>
      <c r="C95" s="820" t="s">
        <v>685</v>
      </c>
      <c r="D95" s="756" t="s">
        <v>686</v>
      </c>
      <c r="E95" s="833">
        <v>0.2</v>
      </c>
      <c r="F95" s="820">
        <v>30</v>
      </c>
    </row>
    <row r="96" spans="1:6" s="816" customFormat="1" ht="48">
      <c r="A96" s="820">
        <v>36</v>
      </c>
      <c r="B96" s="3556"/>
      <c r="C96" s="756" t="s">
        <v>687</v>
      </c>
      <c r="D96" s="756" t="s">
        <v>688</v>
      </c>
      <c r="E96" s="833">
        <v>0.2</v>
      </c>
      <c r="F96" s="820">
        <v>30</v>
      </c>
    </row>
    <row r="97" spans="1:6" s="816" customFormat="1" ht="36">
      <c r="A97" s="820">
        <v>37</v>
      </c>
      <c r="B97" s="3556"/>
      <c r="C97" s="820" t="s">
        <v>689</v>
      </c>
      <c r="D97" s="756" t="s">
        <v>690</v>
      </c>
      <c r="E97" s="833">
        <v>0.2</v>
      </c>
      <c r="F97" s="820">
        <v>30</v>
      </c>
    </row>
    <row r="98" spans="1:6" s="816" customFormat="1" ht="36">
      <c r="A98" s="820">
        <v>38</v>
      </c>
      <c r="B98" s="3556"/>
      <c r="C98" s="820" t="s">
        <v>691</v>
      </c>
      <c r="D98" s="756" t="s">
        <v>692</v>
      </c>
      <c r="E98" s="833">
        <v>0.2</v>
      </c>
      <c r="F98" s="820">
        <v>30</v>
      </c>
    </row>
    <row r="99" spans="1:6" s="816" customFormat="1" ht="36">
      <c r="A99" s="820">
        <v>39</v>
      </c>
      <c r="B99" s="3556" t="s">
        <v>693</v>
      </c>
      <c r="C99" s="820" t="s">
        <v>694</v>
      </c>
      <c r="D99" s="756" t="s">
        <v>695</v>
      </c>
      <c r="E99" s="833">
        <v>0.3</v>
      </c>
      <c r="F99" s="820">
        <v>50</v>
      </c>
    </row>
    <row r="100" spans="1:6" s="816" customFormat="1" ht="24">
      <c r="A100" s="820">
        <v>40</v>
      </c>
      <c r="B100" s="3556"/>
      <c r="C100" s="820" t="s">
        <v>696</v>
      </c>
      <c r="D100" s="756" t="s">
        <v>697</v>
      </c>
      <c r="E100" s="833">
        <v>0.2</v>
      </c>
      <c r="F100" s="820">
        <v>30</v>
      </c>
    </row>
    <row r="101" spans="1:6" s="816" customFormat="1" ht="36">
      <c r="A101" s="820">
        <v>41</v>
      </c>
      <c r="B101" s="35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56" t="s">
        <v>708</v>
      </c>
      <c r="C105" s="820" t="s">
        <v>709</v>
      </c>
      <c r="D105" s="756" t="s">
        <v>710</v>
      </c>
      <c r="E105" s="833">
        <v>0.2</v>
      </c>
      <c r="F105" s="820">
        <v>30</v>
      </c>
    </row>
    <row r="106" spans="1:6" s="816" customFormat="1" ht="36">
      <c r="A106" s="820">
        <v>46</v>
      </c>
      <c r="B106" s="3556"/>
      <c r="C106" s="820" t="s">
        <v>711</v>
      </c>
      <c r="D106" s="756" t="s">
        <v>712</v>
      </c>
      <c r="E106" s="833">
        <v>0.2</v>
      </c>
      <c r="F106" s="820">
        <v>30</v>
      </c>
    </row>
    <row r="107" spans="1:6" s="816" customFormat="1" ht="36">
      <c r="A107" s="820">
        <v>47</v>
      </c>
      <c r="B107" s="3556" t="s">
        <v>713</v>
      </c>
      <c r="C107" s="820" t="s">
        <v>714</v>
      </c>
      <c r="D107" s="756" t="s">
        <v>715</v>
      </c>
      <c r="E107" s="833">
        <v>0.3</v>
      </c>
      <c r="F107" s="820">
        <v>50</v>
      </c>
    </row>
    <row r="108" spans="1:6" s="816" customFormat="1" ht="36">
      <c r="A108" s="820">
        <v>48</v>
      </c>
      <c r="B108" s="35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56" t="s">
        <v>724</v>
      </c>
      <c r="C111" s="820" t="s">
        <v>725</v>
      </c>
      <c r="D111" s="756" t="s">
        <v>726</v>
      </c>
      <c r="E111" s="833">
        <v>0.2</v>
      </c>
      <c r="F111" s="820">
        <v>30</v>
      </c>
    </row>
    <row r="112" spans="1:6" s="816" customFormat="1" ht="24">
      <c r="A112" s="820">
        <v>52</v>
      </c>
      <c r="B112" s="3556"/>
      <c r="C112" s="820" t="s">
        <v>727</v>
      </c>
      <c r="D112" s="756" t="s">
        <v>728</v>
      </c>
      <c r="E112" s="833">
        <v>0.2</v>
      </c>
      <c r="F112" s="820">
        <v>30</v>
      </c>
    </row>
    <row r="113" spans="1:6" s="816" customFormat="1" ht="24">
      <c r="A113" s="820">
        <v>53</v>
      </c>
      <c r="B113" s="35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56" t="s">
        <v>737</v>
      </c>
      <c r="C116" s="820" t="s">
        <v>738</v>
      </c>
      <c r="D116" s="756" t="s">
        <v>739</v>
      </c>
      <c r="E116" s="833">
        <v>0.2</v>
      </c>
      <c r="F116" s="820">
        <v>30</v>
      </c>
    </row>
    <row r="117" spans="1:6" ht="36">
      <c r="A117" s="820">
        <v>57</v>
      </c>
      <c r="B117" s="35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0.93330000000000002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2761</v>
      </c>
      <c r="B1" s="2331"/>
      <c r="C1" s="2331"/>
      <c r="D1" s="2331"/>
      <c r="E1" s="2331"/>
      <c r="F1" s="2992"/>
      <c r="G1" s="2992"/>
      <c r="H1" s="2992"/>
      <c r="I1" s="2992"/>
      <c r="J1" s="2992"/>
      <c r="K1" s="2992"/>
      <c r="L1" s="2992"/>
      <c r="M1" s="2992"/>
      <c r="N1" s="2992"/>
      <c r="O1" s="2992"/>
      <c r="P1" s="2992"/>
    </row>
    <row r="2" spans="1:16" ht="15.75">
      <c r="A2" s="2329" t="s">
        <v>2753</v>
      </c>
      <c r="B2" s="2796">
        <f ca="1">SUMIF(B6:B13,"&lt;&gt;#ref!",B6:B13)</f>
        <v>26942</v>
      </c>
      <c r="C2" s="2329" t="s">
        <v>2754</v>
      </c>
      <c r="D2" s="2329" t="s">
        <v>2755</v>
      </c>
      <c r="E2" s="2806">
        <f ca="1">SUMIF(E6:E13,"&lt;&gt;#ref!",E6:E13)</f>
        <v>24648.489999999998</v>
      </c>
      <c r="F2" s="2992"/>
      <c r="G2" s="2992"/>
      <c r="H2" s="2992"/>
      <c r="I2" s="2992"/>
      <c r="J2" s="2992"/>
      <c r="K2" s="2992"/>
      <c r="L2" s="2992"/>
      <c r="M2" s="2992"/>
      <c r="N2" s="2992"/>
      <c r="O2" s="2992"/>
      <c r="P2" s="2992"/>
    </row>
    <row r="3" spans="1:16" ht="15.75">
      <c r="A3" s="2329" t="s">
        <v>2756</v>
      </c>
      <c r="B3" s="2796">
        <f ca="1">ROUND(B2*10000/E2,0)</f>
        <v>10930</v>
      </c>
      <c r="C3" s="2329"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26942</v>
      </c>
      <c r="C6" s="2329" t="s">
        <v>2754</v>
      </c>
      <c r="D6" s="2992"/>
      <c r="E6" s="2806">
        <f ca="1">SUMIF(INDIRECT("'"&amp;A6&amp;"'"&amp;"!C:C"),"建筑面积",INDIRECT("'"&amp;A6&amp;"'"&amp;"!D:D"))</f>
        <v>24648.489999999998</v>
      </c>
      <c r="F6" s="2992"/>
      <c r="G6" s="2992"/>
      <c r="H6" s="2992"/>
      <c r="I6" s="2992"/>
      <c r="J6" s="2992"/>
      <c r="K6" s="2992"/>
      <c r="L6" s="2992"/>
      <c r="M6" s="2992"/>
      <c r="N6" s="2992"/>
      <c r="O6" s="2992"/>
      <c r="P6" s="2992"/>
    </row>
    <row r="7" spans="1:16" ht="15.75">
      <c r="A7" s="2803"/>
      <c r="B7" s="2796" t="e">
        <f ca="1">SUMIF(INDIRECT("'"&amp;A7&amp;"'"&amp;"!A:A"),"总价",INDIRECT("'"&amp;A7&amp;"'"&amp;"!B:B"))</f>
        <v>#REF!</v>
      </c>
      <c r="C7" s="2329"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47"/>
      <c r="B4" s="3243" t="s">
        <v>1535</v>
      </c>
      <c r="C4" s="3243"/>
      <c r="D4" s="3243"/>
      <c r="E4" s="1647"/>
    </row>
    <row r="5" spans="1:5" ht="16.5" thickTop="1">
      <c r="A5" s="1645"/>
      <c r="B5" s="3241" t="s">
        <v>1527</v>
      </c>
      <c r="C5" s="1648" t="s">
        <v>1528</v>
      </c>
      <c r="D5" s="958">
        <f ca="1">结果表!H101</f>
        <v>67365</v>
      </c>
      <c r="E5" s="1645"/>
    </row>
    <row r="6" spans="1:5" ht="15.75">
      <c r="A6" s="1645"/>
      <c r="B6" s="3241"/>
      <c r="C6" s="1648" t="s">
        <v>1529</v>
      </c>
      <c r="D6" s="958" t="str">
        <f ca="1">NUMBERSTRING(INT(D5*10000),2)&amp;"元整"</f>
        <v>陆亿柒仟叁佰陆拾伍万元整</v>
      </c>
      <c r="E6" s="1645"/>
    </row>
    <row r="7" spans="1:5" ht="15.75">
      <c r="A7" s="1645"/>
      <c r="B7" s="3246"/>
      <c r="C7" s="1649" t="s">
        <v>1530</v>
      </c>
      <c r="D7" s="959">
        <f ca="1">结果表!H102</f>
        <v>24886</v>
      </c>
      <c r="E7" s="1645"/>
    </row>
    <row r="8" spans="1:5" ht="15.75">
      <c r="A8" s="1645"/>
      <c r="B8" s="3247" t="str">
        <f>结果表!E103</f>
        <v>2.估价师知悉的法定优先受偿款</v>
      </c>
      <c r="C8" s="1650" t="s">
        <v>1531</v>
      </c>
      <c r="D8" s="959">
        <f>结果表!H103</f>
        <v>0</v>
      </c>
      <c r="E8" s="1645"/>
    </row>
    <row r="9" spans="1:5" ht="15.75">
      <c r="A9" s="1645"/>
      <c r="B9" s="3249"/>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40" t="str">
        <f>结果表!E107</f>
        <v>3.房地产抵押价值</v>
      </c>
      <c r="C13" s="1653" t="s">
        <v>1528</v>
      </c>
      <c r="D13" s="961">
        <f ca="1">结果表!H107</f>
        <v>67365</v>
      </c>
      <c r="E13" s="1645"/>
    </row>
    <row r="14" spans="1:5" ht="15.75">
      <c r="A14" s="1645"/>
      <c r="B14" s="3241"/>
      <c r="C14" s="1648" t="s">
        <v>1529</v>
      </c>
      <c r="D14" s="958" t="str">
        <f ca="1">NUMBERSTRING(INT(D13*10000),2)&amp;"元整"</f>
        <v>陆亿柒仟叁佰陆拾伍万元整</v>
      </c>
      <c r="E14" s="1645"/>
    </row>
    <row r="15" spans="1:5" ht="15">
      <c r="A15" s="1645"/>
      <c r="B15" s="3246"/>
      <c r="C15" s="1649" t="s">
        <v>1539</v>
      </c>
      <c r="D15" s="967">
        <f ca="1">结果表!H108</f>
        <v>24886</v>
      </c>
      <c r="E15" s="1645"/>
    </row>
    <row r="16" spans="1:5" ht="15">
      <c r="A16" s="1645"/>
      <c r="B16" s="3247" t="str">
        <f>结果表!E109</f>
        <v>——</v>
      </c>
      <c r="C16" s="1653" t="s">
        <v>1540</v>
      </c>
      <c r="D16" s="1654" t="str">
        <f>结果表!H109</f>
        <v>——</v>
      </c>
      <c r="E16" s="1645"/>
    </row>
    <row r="17" spans="1:5" ht="15.75">
      <c r="A17" s="1645"/>
      <c r="B17" s="3248"/>
      <c r="C17" s="1648" t="s">
        <v>1541</v>
      </c>
      <c r="D17" s="958" t="e">
        <f>NUMBERSTRING(INT(D16*10000),2)&amp;"元整"</f>
        <v>#VALUE!</v>
      </c>
      <c r="E17" s="1645"/>
    </row>
    <row r="18" spans="1:5" ht="15">
      <c r="A18" s="1645"/>
      <c r="B18" s="3249"/>
      <c r="C18" s="1649" t="s">
        <v>1530</v>
      </c>
      <c r="D18" s="967" t="str">
        <f>结果表!H110</f>
        <v>——</v>
      </c>
      <c r="E18" s="1645"/>
    </row>
    <row r="19" spans="1:5" ht="15.75">
      <c r="A19" s="1645"/>
      <c r="B19" s="3240" t="str">
        <f>结果表!E111</f>
        <v>——</v>
      </c>
      <c r="C19" s="1653" t="s">
        <v>1528</v>
      </c>
      <c r="D19" s="959" t="str">
        <f>结果表!H111</f>
        <v>——</v>
      </c>
      <c r="E19" s="1645"/>
    </row>
    <row r="20" spans="1:5" ht="15.75">
      <c r="A20" s="1645"/>
      <c r="B20" s="3241"/>
      <c r="C20" s="1648" t="s">
        <v>1541</v>
      </c>
      <c r="D20" s="958" t="e">
        <f>NUMBERSTRING(INT(D19*10000),2)&amp;"元整"</f>
        <v>#VALUE!</v>
      </c>
      <c r="E20" s="1645"/>
    </row>
    <row r="21" spans="1:5" ht="15.75" thickBot="1">
      <c r="A21" s="1645"/>
      <c r="B21" s="3242"/>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62" t="s">
        <v>1058</v>
      </c>
      <c r="C1" s="3562"/>
      <c r="D1" s="3562"/>
      <c r="E1" s="3562"/>
      <c r="F1" s="3562"/>
      <c r="G1" s="3561" t="s">
        <v>1059</v>
      </c>
      <c r="H1" s="3561"/>
      <c r="I1" s="3561"/>
      <c r="J1" s="3561"/>
      <c r="K1" s="3561"/>
      <c r="L1" s="3561"/>
      <c r="N1" s="3561" t="s">
        <v>1060</v>
      </c>
      <c r="O1" s="3561"/>
      <c r="P1" s="3561"/>
      <c r="Q1" s="3561"/>
      <c r="S1" s="3561" t="s">
        <v>1061</v>
      </c>
      <c r="T1" s="3561"/>
      <c r="U1" s="3561"/>
      <c r="V1" s="3561"/>
      <c r="X1" s="3560" t="s">
        <v>1062</v>
      </c>
      <c r="Y1" s="3561"/>
      <c r="Z1" s="3561"/>
      <c r="AA1" s="3561"/>
      <c r="AB1" s="3561"/>
      <c r="AD1" s="3560" t="s">
        <v>1063</v>
      </c>
      <c r="AE1" s="3561"/>
      <c r="AF1" s="3561"/>
      <c r="AG1" s="3561"/>
      <c r="AH1" s="3561"/>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58">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58"/>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58"/>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67"/>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3">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58"/>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58"/>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67"/>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3">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58"/>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58"/>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59"/>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57">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58"/>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58"/>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59"/>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57">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58"/>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58"/>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59"/>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64">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65"/>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65"/>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66"/>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57">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58"/>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58"/>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59"/>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57">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58">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58">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59">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57">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58">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58">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59">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57">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58">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58">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59">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57">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58">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58">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59">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57">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58">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58">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59">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57">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58">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58">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59">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57">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58">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58">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59">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57">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58">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58">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59">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57">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58">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58">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59">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57">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58">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58">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59">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71" t="s">
        <v>2764</v>
      </c>
      <c r="D1" s="3572"/>
      <c r="E1" s="3572"/>
      <c r="F1" s="3572"/>
      <c r="G1" s="3572"/>
      <c r="H1" s="3572"/>
      <c r="I1" s="3572"/>
      <c r="J1" s="3572"/>
      <c r="K1" s="3572"/>
      <c r="L1" s="3572"/>
      <c r="M1" s="3572"/>
      <c r="N1" s="3572"/>
      <c r="O1" s="3572"/>
      <c r="P1" s="3572"/>
      <c r="Q1" s="3572"/>
      <c r="R1" s="3572"/>
      <c r="S1" s="3573"/>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5" t="s">
        <v>2767</v>
      </c>
      <c r="C5" s="1125"/>
      <c r="D5" s="1126"/>
      <c r="E5" s="1126"/>
      <c r="F5" s="1451"/>
      <c r="G5" s="1451"/>
      <c r="H5" s="1451"/>
      <c r="I5" s="1451"/>
      <c r="J5" s="1451"/>
      <c r="K5" s="1451"/>
      <c r="L5" s="1452"/>
      <c r="M5" s="1453"/>
      <c r="N5" s="1453"/>
      <c r="O5" s="1451"/>
      <c r="P5" s="1451"/>
      <c r="Q5" s="1451"/>
      <c r="R5" s="1451"/>
      <c r="S5" s="145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6" t="s">
        <v>2768</v>
      </c>
      <c r="C7" s="1034"/>
      <c r="D7" s="1028"/>
      <c r="E7" s="1028"/>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6" t="s">
        <v>2769</v>
      </c>
      <c r="C9" s="1034"/>
      <c r="D9" s="1028"/>
      <c r="E9" s="1028"/>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5"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5"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5"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2775</v>
      </c>
      <c r="E19" s="1493"/>
      <c r="F19" s="1493"/>
      <c r="G19" s="1493"/>
      <c r="H19" s="1189"/>
      <c r="I19" s="164"/>
      <c r="J19" s="164"/>
      <c r="K19" s="164"/>
      <c r="L19" s="164"/>
      <c r="M19" s="164"/>
      <c r="N19" s="164"/>
      <c r="O19" s="164"/>
      <c r="P19" s="164"/>
      <c r="Q19" s="164"/>
      <c r="R19" s="727"/>
      <c r="S19" s="134"/>
    </row>
    <row r="20" spans="1:45" ht="16.5" thickBot="1">
      <c r="A20" s="671" t="s">
        <v>2776</v>
      </c>
      <c r="B20" s="300" t="e">
        <f ca="1">IF(D20="——",S22,S22-F20)</f>
        <v>#REF!</v>
      </c>
      <c r="C20" s="164"/>
      <c r="D20" s="2335"/>
      <c r="E20" s="1494"/>
      <c r="F20" s="1113" t="e">
        <f ca="1">SUMIF(INDIRECT("'"&amp;H20&amp;"'"&amp;"!A:A"),"承租人权益价值",INDIRECT("'"&amp;H20&amp;"'"&amp;"!c:c"))</f>
        <v>#REF!</v>
      </c>
      <c r="G20" s="1113" t="s">
        <v>2777</v>
      </c>
      <c r="H20" s="2336"/>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43268</v>
      </c>
      <c r="C2" s="2" t="s">
        <v>133</v>
      </c>
      <c r="D2" s="205"/>
      <c r="E2" s="205"/>
      <c r="F2" s="205"/>
      <c r="G2" s="205"/>
    </row>
    <row r="3" spans="1:7" s="206" customFormat="1" ht="18" customHeight="1" thickBot="1">
      <c r="A3" s="209" t="s">
        <v>85</v>
      </c>
      <c r="B3" s="210">
        <f ca="1">ROUND(B2*10000/'数据-汇总表'!E3,0)</f>
        <v>15984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541</v>
      </c>
      <c r="D10" s="953">
        <f>'数据-汇总表'!E6</f>
        <v>27069.539999999997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541</v>
      </c>
      <c r="D19" s="957">
        <f>'数据-汇总表'!E3</f>
        <v>27069.539999999997</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1832</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1768</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46</v>
      </c>
      <c r="D24" s="244"/>
      <c r="E24" s="244"/>
      <c r="F24" s="245"/>
      <c r="G24" s="246" t="s">
        <v>109</v>
      </c>
    </row>
    <row r="25" spans="1:7" s="220" customFormat="1" ht="24">
      <c r="A25" s="887" t="s">
        <v>793</v>
      </c>
      <c r="B25" s="221" t="s">
        <v>1026</v>
      </c>
      <c r="C25" s="1236">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3020</v>
      </c>
      <c r="D27" s="241">
        <f>C29</f>
        <v>2.8E-3</v>
      </c>
      <c r="E27" s="242" t="s">
        <v>126</v>
      </c>
      <c r="F27" s="252">
        <f>'数据-取费表'!Q16</f>
        <v>0.14000000000000001</v>
      </c>
      <c r="G27" s="253" t="s">
        <v>1037</v>
      </c>
    </row>
    <row r="28" spans="1:7" s="220" customFormat="1" ht="13.5" customHeight="1">
      <c r="A28" s="887" t="s">
        <v>794</v>
      </c>
      <c r="B28" s="254" t="s">
        <v>1030</v>
      </c>
      <c r="C28" s="255">
        <f>ROUND((C5+C19+C20)*F27*'数据-取费表'!B21/'数据-取费表'!B20,0)</f>
        <v>3020</v>
      </c>
      <c r="D28" s="241"/>
      <c r="E28" s="242"/>
      <c r="F28" s="252"/>
      <c r="G28" s="253"/>
    </row>
    <row r="29" spans="1:7" s="220" customFormat="1" ht="13.5" customHeight="1">
      <c r="A29" s="887" t="s">
        <v>792</v>
      </c>
      <c r="B29" s="254" t="s">
        <v>1031</v>
      </c>
      <c r="C29" s="244">
        <f>ROUND(C21*F27*'数据-取费表'!B21/'数据-取费表'!B20,4)</f>
        <v>2.8E-3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10460</v>
      </c>
      <c r="D34" s="223"/>
      <c r="E34" s="226"/>
      <c r="F34" s="263">
        <f>IF('数据-取费表'!B24=0,1,'数据-取费表'!N16)</f>
        <v>1</v>
      </c>
      <c r="G34" s="225" t="s">
        <v>116</v>
      </c>
    </row>
    <row r="35" spans="1:7" ht="13.5" customHeight="1">
      <c r="A35" s="887" t="s">
        <v>796</v>
      </c>
      <c r="B35" s="221" t="s">
        <v>60</v>
      </c>
      <c r="C35" s="226">
        <f>ROUND(C34*F35,0)</f>
        <v>314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541</v>
      </c>
      <c r="D37" s="223">
        <f>'数据-汇总表'!E3</f>
        <v>27069.539999999997</v>
      </c>
      <c r="E37" s="255">
        <f>'数据-取费表'!B35</f>
        <v>200</v>
      </c>
      <c r="F37" s="265"/>
      <c r="G37" s="267" t="s">
        <v>119</v>
      </c>
    </row>
    <row r="38" spans="1:7" ht="13.5" customHeight="1">
      <c r="A38" s="887" t="s">
        <v>799</v>
      </c>
      <c r="B38" s="221" t="s">
        <v>63</v>
      </c>
      <c r="C38" s="226">
        <f>ROUND(C34*F38,0)</f>
        <v>157</v>
      </c>
      <c r="D38" s="226"/>
      <c r="E38" s="226"/>
      <c r="F38" s="265">
        <f>'数据-取费表'!B36</f>
        <v>1.4999999999999999E-2</v>
      </c>
      <c r="G38" s="225" t="s">
        <v>117</v>
      </c>
    </row>
    <row r="39" spans="1:7" s="220" customFormat="1" ht="13.5" customHeight="1">
      <c r="A39" s="884" t="s">
        <v>783</v>
      </c>
      <c r="B39" s="216" t="s">
        <v>104</v>
      </c>
      <c r="C39" s="238">
        <f>ROUND(C33*F20,0)</f>
        <v>229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492</v>
      </c>
      <c r="D41" s="241">
        <f ca="1">C44</f>
        <v>8.0000000000000004E-4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482</v>
      </c>
      <c r="D42" s="244"/>
      <c r="E42" s="244"/>
      <c r="F42" s="245"/>
      <c r="G42" s="3430" t="s">
        <v>121</v>
      </c>
    </row>
    <row r="43" spans="1:7" ht="13.5" customHeight="1">
      <c r="A43" s="887" t="s">
        <v>792</v>
      </c>
      <c r="B43" s="221" t="s">
        <v>1032</v>
      </c>
      <c r="C43" s="244">
        <f ca="1">ROUND(IF('数据-取费表'!B22&lt;=1,C39*F22*'数据-取费表'!B21/2,C39*(POWER((1+F22),'数据-取费表'!B21/2)-1)),0)</f>
        <v>10</v>
      </c>
      <c r="D43" s="244"/>
      <c r="E43" s="244"/>
      <c r="F43" s="245"/>
      <c r="G43" s="3431"/>
    </row>
    <row r="44" spans="1:7" ht="13.5" customHeight="1">
      <c r="A44" s="887" t="s">
        <v>793</v>
      </c>
      <c r="B44" s="221" t="s">
        <v>1034</v>
      </c>
      <c r="C44" s="244">
        <f ca="1">ROUND(IF('数据-取费表'!B22&lt;=1,C40*F22*'数据-取费表'!B21/2,C40*(POWER((1+F22),'数据-取费表'!B21/2)-1)),4)</f>
        <v>8.0000000000000004E-4</v>
      </c>
      <c r="D44" s="244"/>
      <c r="E44" s="244"/>
      <c r="F44" s="245"/>
      <c r="G44" s="3432"/>
    </row>
    <row r="45" spans="1:7" s="220" customFormat="1" ht="13.5" customHeight="1">
      <c r="A45" s="884" t="s">
        <v>786</v>
      </c>
      <c r="B45" s="250" t="s">
        <v>112</v>
      </c>
      <c r="C45" s="251">
        <f>C46</f>
        <v>1638</v>
      </c>
      <c r="D45" s="241">
        <f>C47</f>
        <v>2.8E-3</v>
      </c>
      <c r="E45" s="242" t="s">
        <v>129</v>
      </c>
      <c r="F45" s="252"/>
      <c r="G45" s="253" t="s">
        <v>1040</v>
      </c>
    </row>
    <row r="46" spans="1:7" s="220" customFormat="1" ht="13.5" customHeight="1">
      <c r="A46" s="887" t="s">
        <v>794</v>
      </c>
      <c r="B46" s="254" t="s">
        <v>1033</v>
      </c>
      <c r="C46" s="255">
        <f>ROUND((C33+C39)*F27,0)</f>
        <v>1638</v>
      </c>
      <c r="D46" s="269"/>
      <c r="E46" s="242"/>
      <c r="F46" s="252"/>
      <c r="G46" s="253"/>
    </row>
    <row r="47" spans="1:7" s="220" customFormat="1" ht="13.5" customHeight="1">
      <c r="A47" s="887" t="s">
        <v>792</v>
      </c>
      <c r="B47" s="254" t="s">
        <v>1035</v>
      </c>
      <c r="C47" s="244">
        <f>ROUND(C40*F27,4)</f>
        <v>2.8E-3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14968</v>
      </c>
      <c r="D49" s="238"/>
      <c r="E49" s="238"/>
      <c r="F49" s="270"/>
      <c r="G49" s="240" t="s">
        <v>1041</v>
      </c>
    </row>
    <row r="50" spans="1:7" s="264" customFormat="1" ht="24">
      <c r="A50" s="884" t="s">
        <v>789</v>
      </c>
      <c r="B50" s="216" t="s">
        <v>124</v>
      </c>
      <c r="C50" s="238"/>
      <c r="D50" s="238"/>
      <c r="E50" s="238"/>
      <c r="F50" s="270">
        <f>IF('数据-取费表'!B24=0,'数据-取费表'!N16,1)</f>
        <v>0.98</v>
      </c>
      <c r="G50" s="253" t="s">
        <v>125</v>
      </c>
    </row>
    <row r="51" spans="1:7" ht="16.5" customHeight="1">
      <c r="A51" s="884" t="s">
        <v>790</v>
      </c>
      <c r="B51" s="216" t="s">
        <v>132</v>
      </c>
      <c r="C51" s="238">
        <f ca="1">ROUND(C49*F50,0)</f>
        <v>14669</v>
      </c>
      <c r="D51" s="238"/>
      <c r="E51" s="238"/>
      <c r="F51" s="270"/>
      <c r="G51" s="240" t="s">
        <v>64</v>
      </c>
    </row>
    <row r="52" spans="1:7" s="214" customFormat="1" ht="16.5" thickBot="1">
      <c r="A52" s="271" t="s">
        <v>65</v>
      </c>
      <c r="B52" s="272"/>
      <c r="C52" s="273">
        <f ca="1">C31+C51</f>
        <v>43268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74" t="s">
        <v>156</v>
      </c>
      <c r="B1" s="3574"/>
      <c r="C1" s="3574"/>
      <c r="D1" s="3574"/>
      <c r="E1" s="3574"/>
      <c r="F1" s="35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75" t="s">
        <v>169</v>
      </c>
      <c r="B2" s="3575"/>
      <c r="C2" s="3575"/>
      <c r="D2" s="3575"/>
      <c r="E2" s="3575"/>
      <c r="F2" s="35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74" t="s">
        <v>839</v>
      </c>
      <c r="B1" s="35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44615</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2">
        <f ca="1">J53</f>
        <v>31.84</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11300</v>
      </c>
      <c r="C2" s="1540" t="s">
        <v>1421</v>
      </c>
      <c r="D2" s="1540"/>
      <c r="E2" s="1541"/>
      <c r="F2" s="1542"/>
      <c r="G2" s="2903"/>
      <c r="H2" s="2892"/>
      <c r="I2" s="2892"/>
      <c r="J2" s="2892"/>
      <c r="K2" s="2893"/>
      <c r="L2" s="2892"/>
      <c r="M2" s="2892"/>
    </row>
    <row r="3" spans="1:37" ht="18" customHeight="1" thickBot="1">
      <c r="A3" s="1543" t="s">
        <v>1422</v>
      </c>
      <c r="B3" s="1544">
        <f ca="1">IF(ISERROR(B2*10000/F43),0,ROUND(B2*10000/F43,0))</f>
        <v>46674</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717</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716</v>
      </c>
      <c r="D6" s="160" t="s">
        <v>2789</v>
      </c>
      <c r="E6" s="308" t="s">
        <v>1310</v>
      </c>
      <c r="F6" s="309">
        <f ca="1">INDIRECT("'数据-取费表'!u"&amp;$G$1)</f>
        <v>9</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2421.0500000000002</v>
      </c>
      <c r="G7" s="1537"/>
      <c r="H7" s="310"/>
      <c r="I7" s="3464"/>
      <c r="J7" s="312"/>
      <c r="K7" s="313"/>
      <c r="L7" s="308" t="s">
        <v>1311</v>
      </c>
      <c r="M7" s="309">
        <f ca="1">F7</f>
        <v>2421.0500000000002</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1</v>
      </c>
      <c r="D10" s="1519" t="s">
        <v>2796</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1367</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968</v>
      </c>
      <c r="D14" s="3218" t="s">
        <v>1323</v>
      </c>
      <c r="E14" s="3217"/>
      <c r="F14" s="325"/>
      <c r="G14" s="1537"/>
      <c r="H14" s="1112" t="s">
        <v>1003</v>
      </c>
      <c r="I14" s="308" t="s">
        <v>1324</v>
      </c>
      <c r="J14" s="24">
        <f ca="1">C29</f>
        <v>1395</v>
      </c>
      <c r="K14" s="3211"/>
      <c r="L14" s="915"/>
      <c r="M14" s="916"/>
    </row>
    <row r="15" spans="1:37" s="1550" customFormat="1" ht="18" customHeight="1" thickBot="1">
      <c r="A15" s="1112" t="s">
        <v>1004</v>
      </c>
      <c r="B15" s="308" t="s">
        <v>1325</v>
      </c>
      <c r="C15" s="24">
        <f ca="1">ROUND(C14*F15,0)</f>
        <v>29</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26</v>
      </c>
      <c r="K16" s="1218" t="s">
        <v>1330</v>
      </c>
      <c r="L16" s="3220"/>
      <c r="M16" s="1203"/>
    </row>
    <row r="17" spans="1:37" s="1550" customFormat="1" ht="18" customHeight="1">
      <c r="A17" s="1112" t="s">
        <v>1295</v>
      </c>
      <c r="B17" s="308" t="s">
        <v>1331</v>
      </c>
      <c r="C17" s="24">
        <f ca="1">ROUND(F17*(F43+INDIRECT("'数据-取费表'!S"&amp;$G$1))/10000,0)</f>
        <v>48</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12</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15</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1060</v>
      </c>
      <c r="D19" s="136" t="s">
        <v>1341</v>
      </c>
      <c r="E19" s="3230"/>
      <c r="F19" s="26"/>
      <c r="G19" s="1537"/>
      <c r="H19" s="1112" t="s">
        <v>1004</v>
      </c>
      <c r="I19" s="308" t="s">
        <v>1342</v>
      </c>
      <c r="J19" s="24">
        <f ca="1">IF(K19="按租金收入计税",ROUND(J6*M19/(1+'数据-取费表'!C42),2),ROUND(C29*M19*0.7,2))</f>
        <v>11.72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21</v>
      </c>
      <c r="D20" s="329" t="s">
        <v>1345</v>
      </c>
      <c r="E20" s="308" t="s">
        <v>1327</v>
      </c>
      <c r="F20" s="328">
        <f>'数据-取费表'!B37</f>
        <v>0.02</v>
      </c>
      <c r="G20" s="1549"/>
      <c r="H20" s="1112" t="s">
        <v>1294</v>
      </c>
      <c r="I20" s="160" t="s">
        <v>1346</v>
      </c>
      <c r="J20" s="25">
        <f ca="1">ROUND(M20*M21/10000,2)</f>
        <v>0.1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675.5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-26</v>
      </c>
      <c r="K25" s="1226" t="s">
        <v>1369</v>
      </c>
      <c r="L25" s="1227"/>
      <c r="M25" s="1228"/>
    </row>
    <row r="26" spans="1:37">
      <c r="A26" s="1112" t="s">
        <v>1002</v>
      </c>
      <c r="B26" s="308" t="s">
        <v>1370</v>
      </c>
      <c r="C26" s="24">
        <f ca="1">ROUND((C19+C20)*F26,0)</f>
        <v>162</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1395</v>
      </c>
      <c r="D29" s="1223"/>
      <c r="E29" s="1221"/>
      <c r="F29" s="1224"/>
      <c r="G29" s="1549"/>
      <c r="H29" s="340" t="s">
        <v>1001</v>
      </c>
      <c r="I29" s="341" t="s">
        <v>1384</v>
      </c>
      <c r="J29" s="342">
        <f ca="1">ROUND(J26/(1+F40)^F41,0)</f>
        <v>0</v>
      </c>
      <c r="K29" s="343" t="s">
        <v>1385</v>
      </c>
      <c r="L29" s="344"/>
      <c r="M29" s="345">
        <f ca="1">INDIRECT("'数据-取费表'!k"&amp;$G$1)</f>
        <v>2421.0500000000002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156</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119</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37.5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81.83</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675.5</v>
      </c>
      <c r="G35" s="1537"/>
      <c r="H35" s="2894"/>
      <c r="I35" s="1551"/>
      <c r="J35" s="1552"/>
      <c r="K35" s="2898"/>
      <c r="L35" s="2897"/>
      <c r="M35" s="2897"/>
    </row>
    <row r="36" spans="1:18" ht="18" customHeight="1">
      <c r="A36" s="1233" t="s">
        <v>1007</v>
      </c>
      <c r="B36" s="308" t="s">
        <v>1354</v>
      </c>
      <c r="C36" s="24">
        <f ca="1">ROUND(C29*F36,1)</f>
        <v>14</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1.4</v>
      </c>
      <c r="D37" s="3219" t="s">
        <v>1359</v>
      </c>
      <c r="E37" s="308" t="s">
        <v>1327</v>
      </c>
      <c r="F37" s="336">
        <f ca="1">INDIRECT("'数据-取费表'!Al"&amp;$G$1)</f>
        <v>1E-3</v>
      </c>
      <c r="G37" s="1537"/>
      <c r="H37" s="2897"/>
      <c r="I37" s="1551"/>
      <c r="J37" s="1552"/>
      <c r="K37" s="2738"/>
      <c r="L37" s="2897"/>
      <c r="M37" s="2897"/>
    </row>
    <row r="38" spans="1:18" ht="18" customHeight="1" thickBot="1">
      <c r="A38" s="1220" t="s">
        <v>1297</v>
      </c>
      <c r="B38" s="1221" t="s">
        <v>1344</v>
      </c>
      <c r="C38" s="1222">
        <f ca="1">ROUND(C5*F38,1)</f>
        <v>21.5</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561</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11237</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31.84</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46414</v>
      </c>
      <c r="D43" s="343" t="s">
        <v>1393</v>
      </c>
      <c r="E43" s="344" t="s">
        <v>1394</v>
      </c>
      <c r="F43" s="345">
        <f ca="1">INDIRECT("'数据-取费表'!k"&amp;$G$1)</f>
        <v>2421.0500000000002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-13201</v>
      </c>
      <c r="D46" s="1559" t="str">
        <f>C2</f>
        <v>万元</v>
      </c>
      <c r="E46" s="1553"/>
      <c r="F46" s="1553"/>
      <c r="I46" s="1560" t="s">
        <v>1426</v>
      </c>
      <c r="J46" s="1561"/>
      <c r="K46" s="1562"/>
      <c r="L46" s="1563">
        <f ca="1">IF(M47="住宅",0,IF(L48&gt;J51,L60,J60))</f>
        <v>63</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40</v>
      </c>
      <c r="M47" s="1533" t="str">
        <f>IF(ISNUMBER(FIND("住宅",C1)),"住宅","非住宅")</f>
        <v>非住宅</v>
      </c>
      <c r="O47" s="1571" t="s">
        <v>1008</v>
      </c>
      <c r="P47" s="1572" t="s">
        <v>1433</v>
      </c>
      <c r="Q47" s="1573">
        <f ca="1">C40+J29</f>
        <v>11237</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31.84</v>
      </c>
      <c r="O48" s="1571" t="s">
        <v>1009</v>
      </c>
      <c r="P48" s="1572" t="s">
        <v>1437</v>
      </c>
      <c r="Q48" s="1573">
        <f ca="1">J60</f>
        <v>63</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1395</v>
      </c>
      <c r="R49" s="1573" t="s">
        <v>1434</v>
      </c>
    </row>
    <row r="50" spans="1:18" s="1537" customFormat="1" ht="13.5" thickBot="1">
      <c r="A50" s="1106"/>
      <c r="B50" s="1109"/>
      <c r="C50" s="1249"/>
      <c r="D50" s="1083"/>
      <c r="E50" s="1186" t="s">
        <v>1311</v>
      </c>
      <c r="F50" s="1187">
        <f ca="1">F7</f>
        <v>2421.0500000000002</v>
      </c>
      <c r="H50" s="732"/>
      <c r="I50" s="1574" t="s">
        <v>1442</v>
      </c>
      <c r="J50" s="1582">
        <f>SUMPRODUCT((I63:I65=J47)*(J62:L62=J48)*(J63:L65))</f>
        <v>60</v>
      </c>
      <c r="K50" s="1576" t="s">
        <v>1443</v>
      </c>
      <c r="L50" s="1580"/>
      <c r="M50" s="1583"/>
      <c r="O50" s="1581" t="s">
        <v>1011</v>
      </c>
      <c r="P50" s="1572" t="s">
        <v>1444</v>
      </c>
      <c r="Q50" s="1584">
        <f ca="1">J58</f>
        <v>0.45300000000000001</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8783</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31.84</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31.84</v>
      </c>
      <c r="K53" s="3461" t="s">
        <v>1453</v>
      </c>
      <c r="L53" s="3462"/>
      <c r="O53" s="1571" t="s">
        <v>1014</v>
      </c>
      <c r="P53" s="1572" t="s">
        <v>1454</v>
      </c>
      <c r="Q53" s="1573">
        <f ca="1">Q47+Q48</f>
        <v>11300</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0.45300000000000001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1367</v>
      </c>
      <c r="D56" s="1600"/>
      <c r="E56" s="1601"/>
      <c r="F56" s="1593"/>
      <c r="I56" s="1602" t="s">
        <v>1459</v>
      </c>
      <c r="J56" s="1603" t="s">
        <v>3168</v>
      </c>
      <c r="K56" s="1574" t="s">
        <v>1460</v>
      </c>
      <c r="L56" s="1577" t="str">
        <f ca="1">IF(L48&lt;J51,"——",L48-J53)</f>
        <v>——</v>
      </c>
      <c r="O56" s="1571" t="s">
        <v>1008</v>
      </c>
      <c r="P56" s="1572" t="s">
        <v>1433</v>
      </c>
      <c r="Q56" s="1573">
        <f ca="1">C40+J29</f>
        <v>11237</v>
      </c>
      <c r="R56" s="1573" t="s">
        <v>1434</v>
      </c>
    </row>
    <row r="57" spans="1:18" s="1537" customFormat="1" ht="24.75" thickBot="1">
      <c r="A57" s="1604"/>
      <c r="B57" s="1080" t="s">
        <v>1383</v>
      </c>
      <c r="C57" s="244">
        <f ca="1">C29</f>
        <v>1395</v>
      </c>
      <c r="D57" s="1605"/>
      <c r="E57" s="1606"/>
      <c r="F57" s="1607"/>
      <c r="I57" s="1608" t="s">
        <v>1461</v>
      </c>
      <c r="J57" s="1609">
        <f ca="1">IF(OR(M47="住宅",J51&lt;L48,J56="是"),"——",J51-L48)</f>
        <v>27.16</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132</v>
      </c>
      <c r="D58" s="1090" t="s">
        <v>1330</v>
      </c>
      <c r="E58" s="1091"/>
      <c r="F58" s="1092"/>
      <c r="I58" s="1608" t="s">
        <v>1465</v>
      </c>
      <c r="J58" s="1610">
        <f ca="1">IF(J55&lt;0.4,0.4,J55)</f>
        <v>0.45300000000000001</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632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63</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117.18</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11237</v>
      </c>
      <c r="R62" s="1573" t="s">
        <v>1015</v>
      </c>
    </row>
    <row r="63" spans="1:18" s="1537" customFormat="1" ht="13.5" thickBot="1">
      <c r="A63" s="332"/>
      <c r="B63" s="1086"/>
      <c r="C63" s="29"/>
      <c r="D63" s="1096"/>
      <c r="E63" s="1080" t="s">
        <v>1352</v>
      </c>
      <c r="F63" s="309">
        <f t="shared" ca="1" si="0"/>
        <v>675.5</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1.4</v>
      </c>
      <c r="D65" s="1094" t="s">
        <v>1359</v>
      </c>
      <c r="E65" s="1080" t="s">
        <v>1327</v>
      </c>
      <c r="F65" s="336">
        <f t="shared" ca="1" si="0"/>
        <v>1E-3</v>
      </c>
      <c r="I65" s="1615" t="s">
        <v>1484</v>
      </c>
      <c r="J65" s="1616">
        <v>40</v>
      </c>
      <c r="K65" s="1616">
        <v>30</v>
      </c>
      <c r="L65" s="1616">
        <v>50</v>
      </c>
      <c r="M65" s="1618">
        <v>0.02</v>
      </c>
      <c r="O65" s="1571" t="s">
        <v>1008</v>
      </c>
      <c r="P65" s="1572" t="s">
        <v>1433</v>
      </c>
      <c r="Q65" s="1573">
        <f ca="1">C40+J29</f>
        <v>11237</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-132</v>
      </c>
      <c r="D67" s="1093" t="s">
        <v>1369</v>
      </c>
      <c r="E67" s="1098"/>
      <c r="F67" s="1099"/>
      <c r="O67" s="1581" t="s">
        <v>1010</v>
      </c>
      <c r="P67" s="1572" t="s">
        <v>1467</v>
      </c>
      <c r="Q67" s="1619">
        <f ca="1">L51</f>
        <v>8783</v>
      </c>
      <c r="R67" s="1573" t="s">
        <v>1487</v>
      </c>
    </row>
    <row r="68" spans="1:18" s="1537" customFormat="1" ht="16.5" thickBot="1">
      <c r="A68" s="1077" t="s">
        <v>1000</v>
      </c>
      <c r="B68" s="1078" t="s">
        <v>1390</v>
      </c>
      <c r="C68" s="307">
        <f ca="1">ROUND(C67*(1-((1+F70)/(1+F68))^F69)/(F68-F70),0)</f>
        <v>-1964</v>
      </c>
      <c r="D68" s="1095" t="s">
        <v>1374</v>
      </c>
      <c r="E68" s="1080" t="s">
        <v>1375</v>
      </c>
      <c r="F68" s="318">
        <f ca="1">F40</f>
        <v>5.5E-2</v>
      </c>
      <c r="O68" s="1581" t="s">
        <v>1011</v>
      </c>
      <c r="P68" s="1620" t="s">
        <v>1488</v>
      </c>
      <c r="Q68" s="1573">
        <f ca="1">ROUND(Q69-Q70*Q71,0)</f>
        <v>465</v>
      </c>
      <c r="R68" s="1573" t="s">
        <v>1019</v>
      </c>
    </row>
    <row r="69" spans="1:18" s="1537" customFormat="1" ht="13.5" thickBot="1">
      <c r="A69" s="1081"/>
      <c r="B69" s="1082"/>
      <c r="C69" s="312"/>
      <c r="D69" s="1100" t="s">
        <v>1378</v>
      </c>
      <c r="E69" s="1080" t="s">
        <v>1379</v>
      </c>
      <c r="F69" s="339">
        <f ca="1">F41</f>
        <v>31.84</v>
      </c>
      <c r="O69" s="1581" t="s">
        <v>1016</v>
      </c>
      <c r="P69" s="1620" t="s">
        <v>1489</v>
      </c>
      <c r="Q69" s="1573">
        <f ca="1">C39</f>
        <v>561</v>
      </c>
      <c r="R69" s="1573" t="s">
        <v>1434</v>
      </c>
    </row>
    <row r="70" spans="1:18" s="1537" customFormat="1" ht="13.5" thickBot="1">
      <c r="A70" s="1084"/>
      <c r="B70" s="1085"/>
      <c r="C70" s="316"/>
      <c r="D70" s="1096"/>
      <c r="E70" s="1080" t="s">
        <v>1382</v>
      </c>
      <c r="F70" s="1184"/>
      <c r="O70" s="1581" t="s">
        <v>1017</v>
      </c>
      <c r="P70" s="1620" t="s">
        <v>1490</v>
      </c>
      <c r="Q70" s="1573">
        <f ca="1">C13</f>
        <v>1367</v>
      </c>
      <c r="R70" s="1573" t="s">
        <v>1434</v>
      </c>
    </row>
    <row r="71" spans="1:18" s="1537" customFormat="1" ht="13.5" thickBot="1">
      <c r="A71" s="1101" t="s">
        <v>1001</v>
      </c>
      <c r="B71" s="1102" t="s">
        <v>1392</v>
      </c>
      <c r="C71" s="342">
        <f ca="1">ROUND(C68*10000/F71,0)</f>
        <v>-8112</v>
      </c>
      <c r="D71" s="1103" t="s">
        <v>1393</v>
      </c>
      <c r="E71" s="1104" t="s">
        <v>1394</v>
      </c>
      <c r="F71" s="345">
        <f ca="1">F43</f>
        <v>2421.0500000000002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96</v>
      </c>
      <c r="D75" s="1537"/>
      <c r="E75" s="1537"/>
      <c r="F75" s="1537"/>
      <c r="K75" s="1555"/>
      <c r="L75" s="1537"/>
      <c r="O75" s="1571" t="s">
        <v>1014</v>
      </c>
      <c r="P75" s="1572" t="s">
        <v>1454</v>
      </c>
      <c r="Q75" s="1573">
        <f ca="1">Q65+Q66</f>
        <v>11237</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0.82899999999999996</v>
      </c>
    </row>
    <row r="80" spans="1:18">
      <c r="B80" s="346" t="s">
        <v>1416</v>
      </c>
      <c r="C80" s="280">
        <f ca="1">ROUND(C75/C39,3)</f>
        <v>0.17100000000000001</v>
      </c>
    </row>
    <row r="81" spans="2:3">
      <c r="B81" s="276" t="s">
        <v>1417</v>
      </c>
      <c r="C81" s="244"/>
    </row>
    <row r="82" spans="2:3">
      <c r="B82" s="279" t="s">
        <v>1418</v>
      </c>
      <c r="C82" s="281">
        <f ca="1">1-C83</f>
        <v>0.878</v>
      </c>
    </row>
    <row r="83" spans="2:3">
      <c r="B83" s="279" t="s">
        <v>1419</v>
      </c>
      <c r="C83" s="280">
        <f ca="1">ROUND(C13/C40,3)</f>
        <v>0.122</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5" zoomScale="70" zoomScaleNormal="70" zoomScaleSheetLayoutView="70" workbookViewId="0">
      <selection activeCell="J37" sqref="J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3151</v>
      </c>
      <c r="D1" s="1515" t="s">
        <v>70</v>
      </c>
      <c r="E1" s="1516" t="s">
        <v>1292</v>
      </c>
      <c r="F1" s="1192">
        <f ca="1">J53</f>
        <v>41.85</v>
      </c>
      <c r="G1" s="1531">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591</v>
      </c>
      <c r="C2" s="1540" t="s">
        <v>1421</v>
      </c>
      <c r="D2" s="1540"/>
      <c r="E2" s="1541"/>
      <c r="F2" s="1542"/>
      <c r="G2" s="2903"/>
      <c r="H2" s="2892"/>
      <c r="I2" s="2892"/>
      <c r="J2" s="2892"/>
      <c r="K2" s="2893"/>
      <c r="L2" s="2892"/>
      <c r="M2" s="2892"/>
    </row>
    <row r="3" spans="1:37" ht="18" customHeight="1" thickBot="1">
      <c r="A3" s="1543" t="s">
        <v>1422</v>
      </c>
      <c r="B3" s="1544">
        <f ca="1">IF(ISERROR(B2*10000/F43),0,ROUND(B2*10000/F43,0))</f>
        <v>1608</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43</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43</v>
      </c>
      <c r="D6" s="160" t="s">
        <v>2789</v>
      </c>
      <c r="E6" s="308" t="s">
        <v>1310</v>
      </c>
      <c r="F6" s="309">
        <f ca="1">INDIRECT("'数据-取费表'!u"&amp;$G$1)</f>
        <v>500</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80</v>
      </c>
      <c r="G7" s="1537"/>
      <c r="H7" s="310"/>
      <c r="I7" s="3464"/>
      <c r="J7" s="312"/>
      <c r="K7" s="313"/>
      <c r="L7" s="308" t="s">
        <v>1311</v>
      </c>
      <c r="M7" s="309">
        <f ca="1">F7</f>
        <v>80</v>
      </c>
    </row>
    <row r="8" spans="1:37" ht="18" customHeight="1">
      <c r="A8" s="310"/>
      <c r="B8" s="3464"/>
      <c r="C8" s="312"/>
      <c r="D8" s="313"/>
      <c r="E8" s="308" t="s">
        <v>1312</v>
      </c>
      <c r="F8" s="309">
        <f ca="1">INDIRECT("'数据-取费表'!ai"&amp;$G$1)</f>
        <v>12</v>
      </c>
      <c r="G8" s="1537"/>
      <c r="H8" s="310"/>
      <c r="I8" s="3464"/>
      <c r="J8" s="312"/>
      <c r="K8" s="313"/>
      <c r="L8" s="308" t="s">
        <v>1312</v>
      </c>
      <c r="M8" s="309">
        <f ca="1">INDIRECT("'数据-取费表'!ai"&amp;$G$1)</f>
        <v>12</v>
      </c>
    </row>
    <row r="9" spans="1:37" ht="18" customHeight="1">
      <c r="A9" s="310"/>
      <c r="B9" s="3465"/>
      <c r="C9" s="312"/>
      <c r="D9" s="313"/>
      <c r="E9" s="308" t="s">
        <v>1313</v>
      </c>
      <c r="F9" s="3236">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t="s">
        <v>3204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1448</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1103</v>
      </c>
      <c r="D14" s="3218" t="s">
        <v>1323</v>
      </c>
      <c r="E14" s="3217"/>
      <c r="F14" s="325"/>
      <c r="G14" s="1537"/>
      <c r="H14" s="1112" t="s">
        <v>1003</v>
      </c>
      <c r="I14" s="308" t="s">
        <v>1324</v>
      </c>
      <c r="J14" s="24">
        <f ca="1">C29</f>
        <v>1478</v>
      </c>
      <c r="K14" s="3211"/>
      <c r="L14" s="915"/>
      <c r="M14" s="916"/>
    </row>
    <row r="15" spans="1:37" s="1550" customFormat="1" ht="18" customHeight="1" thickBot="1">
      <c r="A15" s="1112" t="s">
        <v>1004</v>
      </c>
      <c r="B15" s="308" t="s">
        <v>1325</v>
      </c>
      <c r="C15" s="24">
        <f ca="1">ROUND(C14*F15,0)</f>
        <v>33</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20</v>
      </c>
      <c r="K16" s="1218" t="s">
        <v>1330</v>
      </c>
      <c r="L16" s="3220"/>
      <c r="M16" s="1203"/>
    </row>
    <row r="17" spans="1:37" s="1550" customFormat="1" ht="18" customHeight="1">
      <c r="A17" s="1112" t="s">
        <v>1295</v>
      </c>
      <c r="B17" s="308" t="s">
        <v>1331</v>
      </c>
      <c r="C17" s="24">
        <f ca="1">ROUND(F17*(F43+INDIRECT("'数据-取费表'!S"&amp;$G$1))/10000,0)</f>
        <v>74</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13</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17</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1227</v>
      </c>
      <c r="D19" s="136" t="s">
        <v>1341</v>
      </c>
      <c r="E19" s="3230"/>
      <c r="F19" s="26"/>
      <c r="G19" s="1537"/>
      <c r="H19" s="1112" t="s">
        <v>1004</v>
      </c>
      <c r="I19" s="308" t="s">
        <v>1342</v>
      </c>
      <c r="J19" s="24">
        <f ca="1">IF(K19="按租金收入计税",ROUND(J6*M19/(1+'数据-取费表'!C42),2),ROUND(C29*M19*0.7,2))</f>
        <v>12.42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25</v>
      </c>
      <c r="D20" s="329" t="s">
        <v>1345</v>
      </c>
      <c r="E20" s="308" t="s">
        <v>1327</v>
      </c>
      <c r="F20" s="328">
        <f>'数据-取费表'!B37</f>
        <v>0.02</v>
      </c>
      <c r="G20" s="1549"/>
      <c r="H20" s="1112" t="s">
        <v>1294</v>
      </c>
      <c r="I20" s="160" t="s">
        <v>1346</v>
      </c>
      <c r="J20" s="25">
        <f ca="1">ROUND(M20*M21/10000,2)</f>
        <v>0.15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1025.3800000000001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7.4</v>
      </c>
      <c r="K22" s="3219" t="s">
        <v>1355</v>
      </c>
      <c r="L22" s="308" t="s">
        <v>1327</v>
      </c>
      <c r="M22" s="334">
        <f ca="1">INDIRECT("'数据-取费表'!Ak"&amp;$G$1)</f>
        <v>5.0000000000000001E-3</v>
      </c>
    </row>
    <row r="23" spans="1:37" s="1550" customFormat="1" ht="18" customHeight="1">
      <c r="A23" s="1112" t="s">
        <v>1002</v>
      </c>
      <c r="B23" s="308" t="s">
        <v>1356</v>
      </c>
      <c r="C23" s="24">
        <f ca="1">IF('数据-取费表'!B22&lt;=1,ROUND(C19*F24*F23/2,0)+ROUND(C20*F24*F23/2,0),ROUND(C19*(POWER((1+F24),F23/2)-1),0)+ROUND(C20*(POWER((1+F24),F23/2)-1),0))</f>
        <v>53</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-20</v>
      </c>
      <c r="K25" s="1226" t="s">
        <v>1369</v>
      </c>
      <c r="L25" s="1227"/>
      <c r="M25" s="1228"/>
    </row>
    <row r="26" spans="1:37">
      <c r="A26" s="1112" t="s">
        <v>1002</v>
      </c>
      <c r="B26" s="308" t="s">
        <v>1370</v>
      </c>
      <c r="C26" s="24">
        <f ca="1">ROUND((C19+C20)*F26,0)</f>
        <v>63</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1478</v>
      </c>
      <c r="D29" s="1223"/>
      <c r="E29" s="1221"/>
      <c r="F29" s="1224"/>
      <c r="G29" s="1549"/>
      <c r="H29" s="340" t="s">
        <v>1001</v>
      </c>
      <c r="I29" s="341" t="s">
        <v>1384</v>
      </c>
      <c r="J29" s="342">
        <f ca="1">ROUND(J26/(1+F40)^F41,0)</f>
        <v>0</v>
      </c>
      <c r="K29" s="343" t="s">
        <v>1385</v>
      </c>
      <c r="L29" s="344"/>
      <c r="M29" s="345">
        <f ca="1">INDIRECT("'数据-取费表'!k"&amp;$G$1)</f>
        <v>3675.03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7</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2.25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4.91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0.15</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1025.3800000000001</v>
      </c>
      <c r="G35" s="1537"/>
      <c r="H35" s="2894"/>
      <c r="I35" s="1551"/>
      <c r="J35" s="1552"/>
      <c r="K35" s="2898"/>
      <c r="L35" s="2897"/>
      <c r="M35" s="2897"/>
    </row>
    <row r="36" spans="1:18" ht="18" customHeight="1">
      <c r="A36" s="1233" t="s">
        <v>1007</v>
      </c>
      <c r="B36" s="308" t="s">
        <v>1354</v>
      </c>
      <c r="C36" s="24">
        <f ca="1">ROUND(C29*F36,1)</f>
        <v>7.4</v>
      </c>
      <c r="D36" s="3219" t="s">
        <v>1387</v>
      </c>
      <c r="E36" s="308" t="s">
        <v>1327</v>
      </c>
      <c r="F36" s="334">
        <f ca="1">INDIRECT("'数据-取费表'!Ak"&amp;$G$1)</f>
        <v>5.0000000000000001E-3</v>
      </c>
      <c r="G36" s="1537"/>
      <c r="H36" s="2897"/>
      <c r="I36" s="1551"/>
      <c r="J36" s="1552"/>
      <c r="K36" s="2738"/>
      <c r="L36" s="2897"/>
      <c r="M36" s="2897"/>
    </row>
    <row r="37" spans="1:18" ht="18" customHeight="1">
      <c r="A37" s="1112" t="s">
        <v>1043</v>
      </c>
      <c r="B37" s="308" t="s">
        <v>1358</v>
      </c>
      <c r="C37" s="24">
        <f ca="1">ROUND(C13*F37,1)</f>
        <v>1.4</v>
      </c>
      <c r="D37" s="3219" t="s">
        <v>1359</v>
      </c>
      <c r="E37" s="308" t="s">
        <v>1327</v>
      </c>
      <c r="F37" s="336">
        <f ca="1">INDIRECT("'数据-取费表'!Al"&amp;$G$1)</f>
        <v>1E-3</v>
      </c>
      <c r="G37" s="1537"/>
      <c r="H37" s="2897"/>
      <c r="I37" s="1551"/>
      <c r="J37" s="1552"/>
      <c r="K37" s="2738"/>
      <c r="L37" s="2897"/>
      <c r="M37" s="2897"/>
    </row>
    <row r="38" spans="1:18" ht="18" customHeight="1" thickBot="1">
      <c r="A38" s="1220" t="s">
        <v>1297</v>
      </c>
      <c r="B38" s="1221" t="s">
        <v>1344</v>
      </c>
      <c r="C38" s="1222">
        <f ca="1">ROUND(C5*F38,1)</f>
        <v>1.3</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26</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562</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ROUND(C40*10000/F43,0)</f>
        <v>1529</v>
      </c>
      <c r="D43" s="343" t="s">
        <v>1393</v>
      </c>
      <c r="E43" s="344" t="s">
        <v>1394</v>
      </c>
      <c r="F43" s="345">
        <f ca="1">INDIRECT("'数据-取费表'!k"&amp;$G$1)</f>
        <v>3675.03</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-2723</v>
      </c>
      <c r="D46" s="1559" t="str">
        <f>C2</f>
        <v>万元</v>
      </c>
      <c r="E46" s="1553"/>
      <c r="F46" s="1553"/>
      <c r="I46" s="1560" t="s">
        <v>1426</v>
      </c>
      <c r="J46" s="1561"/>
      <c r="K46" s="1562"/>
      <c r="L46" s="1563">
        <f ca="1">IF(M47="住宅",0,IF(L48&gt;J51,L60,J60))</f>
        <v>29</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562</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29</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1478</v>
      </c>
      <c r="R49" s="1573" t="s">
        <v>1434</v>
      </c>
    </row>
    <row r="50" spans="1:18" s="1537" customFormat="1" ht="13.5" thickBot="1">
      <c r="A50" s="1106"/>
      <c r="B50" s="1109"/>
      <c r="C50" s="1249"/>
      <c r="D50" s="1083"/>
      <c r="E50" s="1186" t="s">
        <v>1311</v>
      </c>
      <c r="F50" s="1187">
        <f ca="1">F7</f>
        <v>80</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12</v>
      </c>
      <c r="I51" s="1585" t="s">
        <v>1445</v>
      </c>
      <c r="J51" s="1586">
        <f>IF(J49="",J50,J49+J50-YEAR('数据-取费表'!B2))</f>
        <v>59</v>
      </c>
      <c r="K51" s="1587" t="s">
        <v>1446</v>
      </c>
      <c r="L51" s="1588">
        <f ca="1">ROUND(-PV(INDIRECT("'数据-取费表'!h"&amp;$G$1),J51,(C39-C13*C76),0),0)</f>
        <v>-1422</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591</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1448</v>
      </c>
      <c r="D56" s="1600"/>
      <c r="E56" s="1601"/>
      <c r="F56" s="1593"/>
      <c r="I56" s="1602" t="s">
        <v>1459</v>
      </c>
      <c r="J56" s="1603" t="s">
        <v>3168</v>
      </c>
      <c r="K56" s="1574" t="s">
        <v>1460</v>
      </c>
      <c r="L56" s="1577" t="str">
        <f ca="1">IF(L48&lt;J51,"——",L48-J53)</f>
        <v>——</v>
      </c>
      <c r="O56" s="1571" t="s">
        <v>1008</v>
      </c>
      <c r="P56" s="1572" t="s">
        <v>1433</v>
      </c>
      <c r="Q56" s="1573">
        <f ca="1">C40+J29</f>
        <v>562</v>
      </c>
      <c r="R56" s="1573" t="s">
        <v>1434</v>
      </c>
    </row>
    <row r="57" spans="1:18" s="1537" customFormat="1" ht="24.75" thickBot="1">
      <c r="A57" s="1604"/>
      <c r="B57" s="1080" t="s">
        <v>1383</v>
      </c>
      <c r="C57" s="244">
        <f ca="1">C29</f>
        <v>1478</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133</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124</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591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29</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124.15</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0.15</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562</v>
      </c>
      <c r="R62" s="1573" t="s">
        <v>1015</v>
      </c>
    </row>
    <row r="63" spans="1:18" s="1537" customFormat="1" ht="13.5" thickBot="1">
      <c r="A63" s="332"/>
      <c r="B63" s="1086"/>
      <c r="C63" s="29"/>
      <c r="D63" s="1096"/>
      <c r="E63" s="1080" t="s">
        <v>1352</v>
      </c>
      <c r="F63" s="309">
        <f t="shared" ca="1" si="0"/>
        <v>1025.3800000000001</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7.4</v>
      </c>
      <c r="D64" s="1094" t="s">
        <v>1387</v>
      </c>
      <c r="E64" s="1080" t="s">
        <v>1327</v>
      </c>
      <c r="F64" s="334">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1.4</v>
      </c>
      <c r="D65" s="1094" t="s">
        <v>1359</v>
      </c>
      <c r="E65" s="1080" t="s">
        <v>1327</v>
      </c>
      <c r="F65" s="336">
        <f t="shared" ca="1" si="0"/>
        <v>1E-3</v>
      </c>
      <c r="I65" s="1615" t="s">
        <v>1484</v>
      </c>
      <c r="J65" s="1616">
        <v>40</v>
      </c>
      <c r="K65" s="1616">
        <v>30</v>
      </c>
      <c r="L65" s="1616">
        <v>50</v>
      </c>
      <c r="M65" s="1618">
        <v>0.02</v>
      </c>
      <c r="O65" s="1571" t="s">
        <v>1008</v>
      </c>
      <c r="P65" s="1572" t="s">
        <v>1433</v>
      </c>
      <c r="Q65" s="1573">
        <f ca="1">C40+J29</f>
        <v>562</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-133</v>
      </c>
      <c r="D67" s="1093" t="s">
        <v>1369</v>
      </c>
      <c r="E67" s="1098"/>
      <c r="F67" s="1099"/>
      <c r="O67" s="1581" t="s">
        <v>1010</v>
      </c>
      <c r="P67" s="1572" t="s">
        <v>1467</v>
      </c>
      <c r="Q67" s="1619">
        <f ca="1">L51</f>
        <v>-1422</v>
      </c>
      <c r="R67" s="1573" t="s">
        <v>1487</v>
      </c>
    </row>
    <row r="68" spans="1:18" s="1537" customFormat="1" ht="16.5" thickBot="1">
      <c r="A68" s="1077" t="s">
        <v>1000</v>
      </c>
      <c r="B68" s="1078" t="s">
        <v>1390</v>
      </c>
      <c r="C68" s="307">
        <f ca="1">ROUND(C67*(1-((1+F70)/(1+F68))^F69)/(F68-F70),0)</f>
        <v>-2161</v>
      </c>
      <c r="D68" s="1095" t="s">
        <v>1374</v>
      </c>
      <c r="E68" s="1080" t="s">
        <v>1375</v>
      </c>
      <c r="F68" s="318">
        <f ca="1">F40</f>
        <v>5.5E-2</v>
      </c>
      <c r="O68" s="1581" t="s">
        <v>1011</v>
      </c>
      <c r="P68" s="1620" t="s">
        <v>1488</v>
      </c>
      <c r="Q68" s="1573">
        <f ca="1">ROUND(Q69-Q70*Q71,0)</f>
        <v>-75</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v>
      </c>
      <c r="R69" s="1573" t="s">
        <v>1434</v>
      </c>
    </row>
    <row r="70" spans="1:18" s="1537" customFormat="1" ht="13.5" thickBot="1">
      <c r="A70" s="1084"/>
      <c r="B70" s="1085"/>
      <c r="C70" s="316"/>
      <c r="D70" s="1096"/>
      <c r="E70" s="1080" t="s">
        <v>1382</v>
      </c>
      <c r="F70" s="1184"/>
      <c r="O70" s="1581" t="s">
        <v>1017</v>
      </c>
      <c r="P70" s="1620" t="s">
        <v>1490</v>
      </c>
      <c r="Q70" s="1573">
        <f ca="1">C13</f>
        <v>1448</v>
      </c>
      <c r="R70" s="1573" t="s">
        <v>1434</v>
      </c>
    </row>
    <row r="71" spans="1:18" s="1537" customFormat="1" ht="13.5" thickBot="1">
      <c r="A71" s="1101" t="s">
        <v>1001</v>
      </c>
      <c r="B71" s="1102" t="s">
        <v>1392</v>
      </c>
      <c r="C71" s="342">
        <f ca="1">ROUND(C68*10000/F71,0)</f>
        <v>-5880</v>
      </c>
      <c r="D71" s="1103" t="s">
        <v>1393</v>
      </c>
      <c r="E71" s="1104" t="s">
        <v>1394</v>
      </c>
      <c r="F71" s="345">
        <f ca="1">F43</f>
        <v>3675.03</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101</v>
      </c>
      <c r="D75" s="1537"/>
      <c r="E75" s="1537"/>
      <c r="F75" s="1537"/>
      <c r="K75" s="1555"/>
      <c r="L75" s="1537"/>
      <c r="O75" s="1571" t="s">
        <v>1014</v>
      </c>
      <c r="P75" s="1572" t="s">
        <v>1454</v>
      </c>
      <c r="Q75" s="1573">
        <f ca="1">Q65+Q66</f>
        <v>562</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-2.8849999999999998</v>
      </c>
    </row>
    <row r="80" spans="1:18">
      <c r="B80" s="346" t="s">
        <v>1416</v>
      </c>
      <c r="C80" s="280">
        <f ca="1">ROUND(C75/C39,3)</f>
        <v>3.8849999999999998</v>
      </c>
    </row>
    <row r="81" spans="2:3">
      <c r="B81" s="276" t="s">
        <v>1417</v>
      </c>
      <c r="C81" s="244"/>
    </row>
    <row r="82" spans="2:3">
      <c r="B82" s="279" t="s">
        <v>1418</v>
      </c>
      <c r="C82" s="281">
        <f ca="1">1-C83</f>
        <v>-1.577</v>
      </c>
    </row>
    <row r="83" spans="2:3">
      <c r="B83" s="279" t="s">
        <v>1419</v>
      </c>
      <c r="C83" s="280">
        <f ca="1">ROUND(C13/C40,3)</f>
        <v>2.577</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1546</v>
      </c>
      <c r="B2" s="3260" t="s">
        <v>1547</v>
      </c>
      <c r="C2" s="3260" t="s">
        <v>1548</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62" t="s">
        <v>1543</v>
      </c>
      <c r="E3" s="962" t="s">
        <v>1549</v>
      </c>
      <c r="F3" s="962" t="s">
        <v>1543</v>
      </c>
      <c r="G3" s="962" t="s">
        <v>1544</v>
      </c>
      <c r="H3" s="962" t="s">
        <v>1543</v>
      </c>
      <c r="I3" s="962" t="s">
        <v>1544</v>
      </c>
    </row>
    <row r="4" spans="1:9" ht="15">
      <c r="A4" s="1659" t="str">
        <f>项目基本情况!S2</f>
        <v>北京市房地产</v>
      </c>
      <c r="B4" s="962">
        <f>项目基本情况!C17</f>
        <v>27069.539999999997</v>
      </c>
      <c r="C4" s="962">
        <f>项目基本情况!C18</f>
        <v>7552.72</v>
      </c>
      <c r="D4" s="962">
        <f ca="1">结果表!D118</f>
        <v>51130</v>
      </c>
      <c r="E4" s="962">
        <f ca="1">结果表!E118</f>
        <v>18888</v>
      </c>
      <c r="F4" s="962">
        <f ca="1">结果表!F118</f>
        <v>16235</v>
      </c>
      <c r="G4" s="962">
        <f ca="1">结果表!G118</f>
        <v>5998</v>
      </c>
      <c r="H4" s="962">
        <f ca="1">结果表!H118</f>
        <v>67365</v>
      </c>
      <c r="I4" s="962">
        <f ca="1">结果表!I118</f>
        <v>24886</v>
      </c>
    </row>
    <row r="5" spans="1:9" ht="30" customHeight="1">
      <c r="A5" s="3254" t="s">
        <v>1545</v>
      </c>
      <c r="B5" s="3254"/>
      <c r="C5" s="3254"/>
      <c r="D5" s="3255" t="str">
        <f ca="1">结果表!D119</f>
        <v>伍亿壹仟壹佰叁拾万元整</v>
      </c>
      <c r="E5" s="3255"/>
      <c r="F5" s="3255" t="str">
        <f ca="1">结果表!F119</f>
        <v>壹亿陆仟贰佰叁拾伍万元整</v>
      </c>
      <c r="G5" s="3255"/>
      <c r="H5" s="3255" t="str">
        <f ca="1">结果表!H119</f>
        <v>陆亿柒仟叁佰陆拾伍万元整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1545</v>
      </c>
      <c r="B7" s="3254"/>
      <c r="C7" s="3254"/>
      <c r="D7" s="3256" t="str">
        <f>结果表!D121</f>
        <v>零元整</v>
      </c>
      <c r="E7" s="3257"/>
      <c r="F7" s="3257"/>
      <c r="G7" s="3257"/>
      <c r="H7" s="3257"/>
      <c r="I7" s="3258"/>
    </row>
    <row r="8" spans="1:9" ht="15.75">
      <c r="A8" s="3253" t="str">
        <f>结果表!A122</f>
        <v>房地产抵押价值</v>
      </c>
      <c r="B8" s="3253"/>
      <c r="C8" s="3253"/>
      <c r="D8" s="3253">
        <f ca="1">结果表!D122</f>
        <v>67365</v>
      </c>
      <c r="E8" s="3253"/>
      <c r="F8" s="3253"/>
      <c r="G8" s="3253"/>
      <c r="H8" s="3253"/>
      <c r="I8" s="3253"/>
    </row>
    <row r="9" spans="1:9" ht="15">
      <c r="A9" s="3254" t="s">
        <v>1545</v>
      </c>
      <c r="B9" s="3254"/>
      <c r="C9" s="3254"/>
      <c r="D9" s="3255" t="str">
        <f ca="1">结果表!D123</f>
        <v>陆亿柒仟叁佰陆拾伍万元整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1545</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1545</v>
      </c>
      <c r="B13" s="3250"/>
      <c r="C13" s="3250"/>
      <c r="D13" s="3251" t="e">
        <f>结果表!D127</f>
        <v>#VALUE!</v>
      </c>
      <c r="E13" s="3251"/>
      <c r="F13" s="3251"/>
      <c r="G13" s="3251"/>
      <c r="H13" s="3251"/>
      <c r="I13" s="3251"/>
    </row>
    <row r="14" spans="1:9" ht="15" thickTop="1">
      <c r="A14" s="3252" t="s">
        <v>1550</v>
      </c>
      <c r="B14" s="3252"/>
      <c r="C14" s="3252"/>
      <c r="D14" s="3252"/>
      <c r="E14" s="3252"/>
      <c r="F14" s="3252"/>
      <c r="G14" s="3252"/>
      <c r="H14" s="3252"/>
      <c r="I14" s="325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7" t="s">
        <v>1567</v>
      </c>
      <c r="B1" s="3267"/>
      <c r="C1" s="3267"/>
      <c r="D1" s="3267"/>
    </row>
    <row r="2" spans="1:4" ht="18">
      <c r="A2" s="3268" t="s">
        <v>1551</v>
      </c>
      <c r="B2" s="3268"/>
      <c r="C2" s="3268"/>
      <c r="D2" s="3268"/>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68" t="s">
        <v>1557</v>
      </c>
      <c r="B6" s="3268"/>
      <c r="C6" s="3268"/>
      <c r="D6" s="326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9" t="s">
        <v>1560</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1561</v>
      </c>
      <c r="B16" s="3263"/>
      <c r="C16" s="3263"/>
      <c r="D16" s="3263"/>
    </row>
    <row r="17" spans="1:4" ht="144" customHeight="1">
      <c r="A17" s="3263" t="s">
        <v>1562</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1563</v>
      </c>
      <c r="B22" s="3265"/>
      <c r="C22" s="3265"/>
      <c r="D22" s="326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5" t="s">
        <v>1574</v>
      </c>
      <c r="B15" s="3270" t="s">
        <v>136</v>
      </c>
      <c r="C15" s="3271"/>
    </row>
    <row r="16" spans="1:7" ht="13.5">
      <c r="A16" s="3276"/>
      <c r="B16" s="3270" t="s">
        <v>69</v>
      </c>
      <c r="C16" s="3271"/>
    </row>
    <row r="17" spans="1:3" ht="13.5">
      <c r="A17" s="3276"/>
      <c r="B17" s="3273" t="s">
        <v>1575</v>
      </c>
      <c r="C17" s="1686" t="s">
        <v>1574</v>
      </c>
    </row>
    <row r="18" spans="1:3" ht="13.5">
      <c r="A18" s="3276"/>
      <c r="B18" s="3273"/>
      <c r="C18" s="1686" t="s">
        <v>1576</v>
      </c>
    </row>
    <row r="19" spans="1:3" ht="13.5">
      <c r="A19" s="3276"/>
      <c r="B19" s="3273"/>
      <c r="C19" s="1686" t="s">
        <v>1577</v>
      </c>
    </row>
    <row r="20" spans="1:3" ht="13.5">
      <c r="A20" s="3277"/>
      <c r="B20" s="3272" t="s">
        <v>1578</v>
      </c>
      <c r="C20" s="3271"/>
    </row>
    <row r="21" spans="1:3" ht="13.5">
      <c r="A21" s="1687" t="s">
        <v>1579</v>
      </c>
      <c r="B21" s="1688"/>
      <c r="C21" s="1689"/>
    </row>
    <row r="22" spans="1:3" ht="13.5">
      <c r="A22" s="3274" t="s">
        <v>1580</v>
      </c>
      <c r="B22" s="3272" t="s">
        <v>1581</v>
      </c>
      <c r="C22" s="3271"/>
    </row>
    <row r="23" spans="1:3" ht="13.5">
      <c r="A23" s="3274"/>
      <c r="B23" s="3272" t="s">
        <v>1582</v>
      </c>
      <c r="C23" s="3271"/>
    </row>
    <row r="24" spans="1:3" ht="13.5">
      <c r="A24" s="3274"/>
      <c r="B24" s="3272" t="s">
        <v>1583</v>
      </c>
      <c r="C24" s="3271"/>
    </row>
    <row r="25" spans="1:3" ht="13.5">
      <c r="A25" s="3274"/>
      <c r="B25" s="3273" t="s">
        <v>1584</v>
      </c>
      <c r="C25" s="1686" t="s">
        <v>1585</v>
      </c>
    </row>
    <row r="26" spans="1:3" ht="13.5">
      <c r="A26" s="3274"/>
      <c r="B26" s="3273"/>
      <c r="C26" s="1686" t="s">
        <v>1586</v>
      </c>
    </row>
    <row r="27" spans="1:3" ht="13.5">
      <c r="A27" s="3274"/>
      <c r="B27" s="3273"/>
      <c r="C27" s="1686" t="s">
        <v>1587</v>
      </c>
    </row>
    <row r="28" spans="1:3" ht="13.5">
      <c r="A28" s="3274"/>
      <c r="B28" s="3273"/>
      <c r="C28" s="1686" t="s">
        <v>1588</v>
      </c>
    </row>
    <row r="29" spans="1:3" ht="13.5">
      <c r="A29" s="3274"/>
      <c r="B29" s="3273"/>
      <c r="C29" s="1686" t="s">
        <v>1589</v>
      </c>
    </row>
    <row r="30" spans="1:3" ht="13.5">
      <c r="A30" s="3274"/>
      <c r="B30" s="3273"/>
      <c r="C30" s="1686" t="s">
        <v>1590</v>
      </c>
    </row>
    <row r="31" spans="1:3" ht="13.5">
      <c r="A31" s="3274"/>
      <c r="B31" s="3273"/>
      <c r="C31" s="1686" t="s">
        <v>1591</v>
      </c>
    </row>
    <row r="32" spans="1:3" ht="13.5">
      <c r="A32" s="3274"/>
      <c r="B32" s="3273"/>
      <c r="C32" s="1686" t="s">
        <v>1592</v>
      </c>
    </row>
    <row r="33" spans="1:3" ht="13.5">
      <c r="A33" s="3274"/>
      <c r="B33" s="327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44629</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78" t="s">
        <v>2841</v>
      </c>
      <c r="B17" s="3278"/>
      <c r="C17" s="3278"/>
      <c r="D17" s="3278"/>
      <c r="E17" s="3278"/>
      <c r="F17" s="3278"/>
      <c r="G17" s="3278"/>
      <c r="H17" s="3278"/>
    </row>
    <row r="18" spans="1:8" ht="24" customHeight="1">
      <c r="A18" s="3279" t="s">
        <v>2842</v>
      </c>
      <c r="B18" s="3279"/>
      <c r="C18" s="3279"/>
      <c r="D18" s="2534"/>
      <c r="E18" s="3280" t="s">
        <v>2843</v>
      </c>
      <c r="F18" s="3279"/>
      <c r="G18" s="3279"/>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2022-03-09T07:30:45Z</dcterms:modified>
</cp:coreProperties>
</file>