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20" windowWidth="11805" windowHeight="1090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6" i="11" l="1"/>
  <c r="J7" i="11"/>
  <c r="E20" i="1"/>
  <c r="H20" i="1"/>
  <c r="E13"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2" i="63" s="1"/>
  <c r="E38" i="63"/>
  <c r="E39" i="63" s="1"/>
  <c r="C40" i="63" s="1"/>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X14" i="59" s="1"/>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B23" i="59" s="1"/>
  <c r="AD23" i="59"/>
  <c r="AE23" i="59"/>
  <c r="AF23" i="59" s="1"/>
  <c r="AG23" i="59"/>
  <c r="AH23" i="59"/>
  <c r="M48" i="15"/>
  <c r="B2" i="1"/>
  <c r="F30" i="1" s="1"/>
  <c r="B24" i="1"/>
  <c r="J50" i="15"/>
  <c r="J51" i="15"/>
  <c r="B26" i="1"/>
  <c r="E19" i="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B16" i="60" s="1"/>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Y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s="1"/>
  <c r="AH9" i="43"/>
  <c r="AH12" i="43"/>
  <c r="AG9" i="43"/>
  <c r="AG12" i="43" s="1"/>
  <c r="AF9" i="43"/>
  <c r="AF12" i="43"/>
  <c r="AE9" i="43"/>
  <c r="AE10" i="43" s="1"/>
  <c r="AD9" i="43"/>
  <c r="AD12" i="43"/>
  <c r="AC9" i="43"/>
  <c r="AC12" i="43" s="1"/>
  <c r="AB9" i="43"/>
  <c r="AB12" i="43"/>
  <c r="AA9" i="43"/>
  <c r="AA12" i="43" s="1"/>
  <c r="Z9" i="43"/>
  <c r="Z12" i="43"/>
  <c r="AA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E81" i="59"/>
  <c r="U81" i="59" s="1"/>
  <c r="C81" i="59"/>
  <c r="T81" i="59" s="1"/>
  <c r="B81" i="59"/>
  <c r="S81" i="59" s="1"/>
  <c r="Q80" i="59"/>
  <c r="P80" i="59"/>
  <c r="O80" i="59"/>
  <c r="N80" i="59"/>
  <c r="B80" i="59"/>
  <c r="B79" i="59" s="1"/>
  <c r="Q79" i="59"/>
  <c r="P79" i="59"/>
  <c r="O79" i="59"/>
  <c r="N79" i="59"/>
  <c r="Q78" i="59"/>
  <c r="P78" i="59"/>
  <c r="O78" i="59"/>
  <c r="N78" i="59"/>
  <c r="D78" i="59"/>
  <c r="S77" i="59"/>
  <c r="Q77" i="59"/>
  <c r="P77" i="59"/>
  <c r="O77" i="59"/>
  <c r="N77" i="59"/>
  <c r="F77" i="59"/>
  <c r="V77" i="59" s="1"/>
  <c r="E77" i="59"/>
  <c r="U77" i="59"/>
  <c r="C77" i="59"/>
  <c r="T77" i="59" s="1"/>
  <c r="B77" i="59"/>
  <c r="Q76" i="59"/>
  <c r="P76" i="59"/>
  <c r="O76" i="59"/>
  <c r="N76" i="59"/>
  <c r="F76" i="59"/>
  <c r="F75" i="59" s="1"/>
  <c r="B76" i="59"/>
  <c r="B75" i="59" s="1"/>
  <c r="Q75" i="59"/>
  <c r="P75" i="59"/>
  <c r="O75" i="59"/>
  <c r="N75" i="59"/>
  <c r="Q74" i="59"/>
  <c r="P74" i="59"/>
  <c r="O74" i="59"/>
  <c r="N74" i="59"/>
  <c r="D74" i="59"/>
  <c r="S73" i="59"/>
  <c r="Q73" i="59"/>
  <c r="P73" i="59"/>
  <c r="O73" i="59"/>
  <c r="N73" i="59"/>
  <c r="F73" i="59"/>
  <c r="V73" i="59" s="1"/>
  <c r="E73" i="59"/>
  <c r="C73" i="59"/>
  <c r="B73" i="59"/>
  <c r="Q72" i="59"/>
  <c r="P72" i="59"/>
  <c r="O72" i="59"/>
  <c r="N72" i="59"/>
  <c r="B72" i="59"/>
  <c r="B71" i="59" s="1"/>
  <c r="Q71" i="59"/>
  <c r="P71" i="59"/>
  <c r="O71" i="59"/>
  <c r="N71" i="59"/>
  <c r="Q70" i="59"/>
  <c r="P70" i="59"/>
  <c r="O70" i="59"/>
  <c r="N70" i="59"/>
  <c r="D70" i="59"/>
  <c r="U69" i="59"/>
  <c r="S69" i="59"/>
  <c r="F69" i="59"/>
  <c r="F68" i="59" s="1"/>
  <c r="F67" i="59" s="1"/>
  <c r="E69" i="59"/>
  <c r="E68" i="59" s="1"/>
  <c r="E67" i="59" s="1"/>
  <c r="P66" i="59" s="1"/>
  <c r="C69" i="59"/>
  <c r="B69" i="59"/>
  <c r="N69" i="59" s="1"/>
  <c r="B68" i="59"/>
  <c r="D66" i="59"/>
  <c r="Q65" i="59"/>
  <c r="P65" i="59"/>
  <c r="O65" i="59"/>
  <c r="N65" i="59"/>
  <c r="Q64" i="59"/>
  <c r="P64" i="59"/>
  <c r="O64" i="59"/>
  <c r="N64" i="59"/>
  <c r="Q63" i="59"/>
  <c r="P63" i="59"/>
  <c r="O63" i="59"/>
  <c r="N63" i="59"/>
  <c r="E63" i="59"/>
  <c r="Q62" i="59"/>
  <c r="F63" i="59"/>
  <c r="P62" i="59"/>
  <c r="O62" i="59"/>
  <c r="C63" i="59" s="1"/>
  <c r="N62" i="59"/>
  <c r="B63" i="59"/>
  <c r="B64" i="59" s="1"/>
  <c r="B65" i="59" s="1"/>
  <c r="S65" i="59" s="1"/>
  <c r="D62" i="59"/>
  <c r="Q61" i="59"/>
  <c r="P61" i="59"/>
  <c r="O61" i="59"/>
  <c r="N61" i="59"/>
  <c r="Q60" i="59"/>
  <c r="P60" i="59"/>
  <c r="O60" i="59"/>
  <c r="N60" i="59"/>
  <c r="Q59" i="59"/>
  <c r="P59" i="59"/>
  <c r="O59" i="59"/>
  <c r="N59" i="59"/>
  <c r="E59" i="59"/>
  <c r="Q58" i="59"/>
  <c r="F59" i="59" s="1"/>
  <c r="F60" i="59" s="1"/>
  <c r="F61" i="59" s="1"/>
  <c r="V61" i="59" s="1"/>
  <c r="P58" i="59"/>
  <c r="O58" i="59"/>
  <c r="C59" i="59" s="1"/>
  <c r="N58" i="59"/>
  <c r="B59" i="59" s="1"/>
  <c r="B60" i="59"/>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B52" i="59"/>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D43" i="59" s="1"/>
  <c r="N42" i="59"/>
  <c r="B43" i="59" s="1"/>
  <c r="D42" i="59"/>
  <c r="Q41" i="59"/>
  <c r="P41" i="59"/>
  <c r="O41" i="59"/>
  <c r="N41" i="59"/>
  <c r="Q40" i="59"/>
  <c r="P40" i="59"/>
  <c r="AA10" i="59" s="1"/>
  <c r="O40" i="59"/>
  <c r="Y40" i="59"/>
  <c r="Z40" i="59" s="1"/>
  <c r="N40" i="59"/>
  <c r="Z39" i="59"/>
  <c r="Q39" i="59"/>
  <c r="AB39" i="59" s="1"/>
  <c r="P39" i="59"/>
  <c r="O39" i="59"/>
  <c r="N39" i="59"/>
  <c r="X39" i="59" s="1"/>
  <c r="F39" i="59"/>
  <c r="F40" i="59" s="1"/>
  <c r="F41" i="59" s="1"/>
  <c r="V41" i="59" s="1"/>
  <c r="Q38" i="59"/>
  <c r="P38" i="59"/>
  <c r="E39" i="59" s="1"/>
  <c r="E40" i="59"/>
  <c r="E41" i="59" s="1"/>
  <c r="O38" i="59"/>
  <c r="Y38" i="59" s="1"/>
  <c r="Z38" i="59" s="1"/>
  <c r="C39" i="59"/>
  <c r="N38" i="59"/>
  <c r="X37" i="59" s="1"/>
  <c r="D38" i="59"/>
  <c r="Q37" i="59"/>
  <c r="P37" i="59"/>
  <c r="O37" i="59"/>
  <c r="Y37" i="59" s="1"/>
  <c r="Z37" i="59" s="1"/>
  <c r="N37" i="59"/>
  <c r="Q36" i="59"/>
  <c r="AB36" i="59" s="1"/>
  <c r="P36" i="59"/>
  <c r="O36" i="59"/>
  <c r="Y36" i="59" s="1"/>
  <c r="Z36" i="59" s="1"/>
  <c r="N36" i="59"/>
  <c r="Q35" i="59"/>
  <c r="AB35" i="59" s="1"/>
  <c r="P35" i="59"/>
  <c r="O35" i="59"/>
  <c r="Y35" i="59" s="1"/>
  <c r="Z35" i="59" s="1"/>
  <c r="N35" i="59"/>
  <c r="F36" i="59"/>
  <c r="F37" i="59" s="1"/>
  <c r="V37" i="59" s="1"/>
  <c r="Q34" i="59"/>
  <c r="F35" i="59" s="1"/>
  <c r="P34" i="59"/>
  <c r="AA34" i="59" s="1"/>
  <c r="E35" i="59"/>
  <c r="E36" i="59" s="1"/>
  <c r="E37" i="59" s="1"/>
  <c r="U37" i="59" s="1"/>
  <c r="O34" i="59"/>
  <c r="Y32" i="59" s="1"/>
  <c r="Z32" i="59" s="1"/>
  <c r="N34" i="59"/>
  <c r="B35" i="59"/>
  <c r="B36" i="59" s="1"/>
  <c r="B37" i="59" s="1"/>
  <c r="S37" i="59" s="1"/>
  <c r="D34" i="59"/>
  <c r="Q33" i="59"/>
  <c r="AB33" i="59" s="1"/>
  <c r="P33" i="59"/>
  <c r="AA33" i="59" s="1"/>
  <c r="O33" i="59"/>
  <c r="N33" i="59"/>
  <c r="X33" i="59" s="1"/>
  <c r="Q32" i="59"/>
  <c r="P32" i="59"/>
  <c r="AA32" i="59" s="1"/>
  <c r="O32" i="59"/>
  <c r="N32" i="59"/>
  <c r="X32" i="59" s="1"/>
  <c r="Q31" i="59"/>
  <c r="AB31" i="59" s="1"/>
  <c r="P31" i="59"/>
  <c r="AA31" i="59" s="1"/>
  <c r="O31" i="59"/>
  <c r="N31" i="59"/>
  <c r="X31" i="59" s="1"/>
  <c r="F31" i="59"/>
  <c r="F32" i="59" s="1"/>
  <c r="F33" i="59" s="1"/>
  <c r="V33" i="59"/>
  <c r="Q30" i="59"/>
  <c r="P30" i="59"/>
  <c r="E31" i="59" s="1"/>
  <c r="E32" i="59" s="1"/>
  <c r="E33" i="59" s="1"/>
  <c r="U33" i="59" s="1"/>
  <c r="O30" i="59"/>
  <c r="C31" i="59"/>
  <c r="D31" i="59" s="1"/>
  <c r="N30" i="59"/>
  <c r="D30" i="59"/>
  <c r="O29" i="59"/>
  <c r="N29" i="59"/>
  <c r="B29" i="59" s="1"/>
  <c r="B28" i="59" s="1"/>
  <c r="B27" i="59" s="1"/>
  <c r="C29" i="59"/>
  <c r="T29" i="59" s="1"/>
  <c r="Y27" i="59"/>
  <c r="Z27" i="59" s="1"/>
  <c r="C32" i="59"/>
  <c r="C33" i="59" s="1"/>
  <c r="C40" i="59"/>
  <c r="C41" i="59" s="1"/>
  <c r="D39" i="59"/>
  <c r="C48" i="59"/>
  <c r="D48" i="59" s="1"/>
  <c r="D47" i="59"/>
  <c r="C52" i="59"/>
  <c r="D51" i="59"/>
  <c r="P29" i="59"/>
  <c r="AA17" i="59" s="1"/>
  <c r="E56" i="59"/>
  <c r="E57" i="59" s="1"/>
  <c r="U57" i="59" s="1"/>
  <c r="E60" i="59"/>
  <c r="E61" i="59"/>
  <c r="U61" i="59" s="1"/>
  <c r="E64" i="59"/>
  <c r="E65" i="59" s="1"/>
  <c r="U65" i="59" s="1"/>
  <c r="P67" i="59"/>
  <c r="U73" i="59"/>
  <c r="E72" i="59"/>
  <c r="E71" i="59" s="1"/>
  <c r="Q29" i="59"/>
  <c r="F29" i="59" s="1"/>
  <c r="C64" i="59"/>
  <c r="D63" i="59"/>
  <c r="N68" i="59"/>
  <c r="B67" i="59"/>
  <c r="N66" i="59" s="1"/>
  <c r="Q68" i="59"/>
  <c r="T69" i="59"/>
  <c r="O69" i="59"/>
  <c r="D69" i="59"/>
  <c r="C68" i="59"/>
  <c r="O68" i="59" s="1"/>
  <c r="T73" i="59"/>
  <c r="D73" i="59"/>
  <c r="C72" i="59"/>
  <c r="C71" i="59" s="1"/>
  <c r="D71" i="59" s="1"/>
  <c r="Q69" i="59"/>
  <c r="C76" i="59"/>
  <c r="D76" i="59" s="1"/>
  <c r="E76" i="59"/>
  <c r="E75" i="59"/>
  <c r="D77" i="59"/>
  <c r="C80" i="59"/>
  <c r="C79" i="59" s="1"/>
  <c r="D79" i="59" s="1"/>
  <c r="E80" i="59"/>
  <c r="E79" i="59"/>
  <c r="D81" i="59"/>
  <c r="C84" i="59"/>
  <c r="D84" i="59" s="1"/>
  <c r="C88" i="59"/>
  <c r="S29" i="59"/>
  <c r="AB3" i="59"/>
  <c r="AB26" i="59"/>
  <c r="AB27" i="59"/>
  <c r="AB29" i="59"/>
  <c r="E29" i="59"/>
  <c r="AA27" i="59"/>
  <c r="AA29" i="59"/>
  <c r="AA3" i="59"/>
  <c r="AA26" i="59"/>
  <c r="C28" i="59"/>
  <c r="D29" i="59"/>
  <c r="C83" i="59"/>
  <c r="D83" i="59" s="1"/>
  <c r="D72" i="59"/>
  <c r="C53" i="59"/>
  <c r="T53" i="59" s="1"/>
  <c r="D52" i="59"/>
  <c r="D88" i="59"/>
  <c r="C87" i="59"/>
  <c r="D87" i="59"/>
  <c r="C67" i="59"/>
  <c r="O66" i="59" s="1"/>
  <c r="D68" i="59"/>
  <c r="C65" i="59"/>
  <c r="T65" i="59" s="1"/>
  <c r="D64" i="59"/>
  <c r="N67" i="59"/>
  <c r="D40" i="59"/>
  <c r="D32" i="59"/>
  <c r="D28" i="59"/>
  <c r="C27" i="59"/>
  <c r="D27" i="59" s="1"/>
  <c r="E28" i="59"/>
  <c r="E27" i="59" s="1"/>
  <c r="U29" i="59"/>
  <c r="O67" i="59"/>
  <c r="D53"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E66" i="36"/>
  <c r="F66" i="36" s="1"/>
  <c r="G66" i="36" s="1"/>
  <c r="D66" i="36"/>
  <c r="Z18" i="35"/>
  <c r="Q18" i="35"/>
  <c r="D68" i="35"/>
  <c r="E68" i="35"/>
  <c r="F68" i="35"/>
  <c r="G68" i="35" s="1"/>
  <c r="J18" i="35"/>
  <c r="AC18" i="35" s="1"/>
  <c r="H18" i="35"/>
  <c r="AB18" i="35" s="1"/>
  <c r="F18" i="35"/>
  <c r="S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U21" i="33" s="1"/>
  <c r="AB21" i="33"/>
  <c r="F21" i="33"/>
  <c r="AA21" i="33"/>
  <c r="C21" i="33"/>
  <c r="Z21" i="21"/>
  <c r="Q21" i="21"/>
  <c r="D83" i="21"/>
  <c r="E83" i="21" s="1"/>
  <c r="F83" i="21" s="1"/>
  <c r="F21" i="21"/>
  <c r="AA21" i="21" s="1"/>
  <c r="C21" i="21"/>
  <c r="G20" i="20"/>
  <c r="B86" i="43" s="1"/>
  <c r="C22" i="20"/>
  <c r="B55" i="43" s="1"/>
  <c r="AB25" i="40"/>
  <c r="S18" i="36"/>
  <c r="W18" i="35"/>
  <c r="U18" i="35"/>
  <c r="U21" i="37"/>
  <c r="S21" i="34"/>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s="1"/>
  <c r="N109" i="43" s="1"/>
  <c r="M99" i="43"/>
  <c r="M108" i="43"/>
  <c r="L99" i="43"/>
  <c r="L108" i="43" s="1"/>
  <c r="K99" i="43"/>
  <c r="K108" i="43"/>
  <c r="J99" i="43"/>
  <c r="J108" i="43" s="1"/>
  <c r="I99" i="43"/>
  <c r="I108" i="43"/>
  <c r="H99" i="43"/>
  <c r="H108" i="43" s="1"/>
  <c r="G99" i="43"/>
  <c r="G108" i="43"/>
  <c r="F99" i="43"/>
  <c r="F108" i="43" s="1"/>
  <c r="E99" i="43"/>
  <c r="E108" i="43"/>
  <c r="D99" i="43"/>
  <c r="D108" i="43" s="1"/>
  <c r="C99" i="43"/>
  <c r="C108" i="43"/>
  <c r="C100" i="43"/>
  <c r="E100" i="43"/>
  <c r="G100" i="43"/>
  <c r="I100" i="43"/>
  <c r="K100" i="43"/>
  <c r="M100" i="43"/>
  <c r="H100" i="43"/>
  <c r="B84" i="43"/>
  <c r="B83" i="43"/>
  <c r="B72" i="43"/>
  <c r="B61" i="43"/>
  <c r="B50" i="43"/>
  <c r="M78" i="43"/>
  <c r="N78" i="43" s="1"/>
  <c r="K78" i="43"/>
  <c r="J78" i="43"/>
  <c r="D78" i="43"/>
  <c r="M77" i="43"/>
  <c r="N77" i="43"/>
  <c r="K77" i="43"/>
  <c r="J77" i="43" s="1"/>
  <c r="D77" i="43"/>
  <c r="M76" i="43"/>
  <c r="N76" i="43"/>
  <c r="K76" i="43"/>
  <c r="J76" i="43" s="1"/>
  <c r="D76" i="43"/>
  <c r="M75" i="43"/>
  <c r="N75" i="43" s="1"/>
  <c r="K75" i="43"/>
  <c r="J75" i="43"/>
  <c r="D75" i="43"/>
  <c r="M74" i="43"/>
  <c r="N74" i="43" s="1"/>
  <c r="K74" i="43"/>
  <c r="J74" i="43"/>
  <c r="D74" i="43"/>
  <c r="M73" i="43"/>
  <c r="N73" i="43"/>
  <c r="K73" i="43"/>
  <c r="J73" i="43" s="1"/>
  <c r="D73" i="43"/>
  <c r="M72" i="43"/>
  <c r="N72" i="43"/>
  <c r="K72" i="43"/>
  <c r="J72" i="43" s="1"/>
  <c r="D72" i="43"/>
  <c r="M71" i="43"/>
  <c r="N71" i="43" s="1"/>
  <c r="K71" i="43"/>
  <c r="J71" i="43"/>
  <c r="D71" i="43"/>
  <c r="M70" i="43"/>
  <c r="N70" i="43" s="1"/>
  <c r="K70" i="43"/>
  <c r="J70" i="43"/>
  <c r="D70" i="43"/>
  <c r="M67" i="43"/>
  <c r="N67" i="43"/>
  <c r="K67" i="43"/>
  <c r="J67" i="43" s="1"/>
  <c r="D67" i="43"/>
  <c r="M66" i="43"/>
  <c r="N66" i="43"/>
  <c r="K66" i="43"/>
  <c r="J66" i="43" s="1"/>
  <c r="D66" i="43"/>
  <c r="M65" i="43"/>
  <c r="N65" i="43" s="1"/>
  <c r="K65" i="43"/>
  <c r="J65" i="43"/>
  <c r="D65" i="43"/>
  <c r="M64" i="43"/>
  <c r="N64" i="43" s="1"/>
  <c r="K64" i="43"/>
  <c r="J64" i="43"/>
  <c r="D64" i="43"/>
  <c r="M63" i="43"/>
  <c r="N63" i="43"/>
  <c r="K63" i="43"/>
  <c r="J63" i="43" s="1"/>
  <c r="D63" i="43"/>
  <c r="M62" i="43"/>
  <c r="N62" i="43"/>
  <c r="K62" i="43"/>
  <c r="J62" i="43" s="1"/>
  <c r="D62" i="43"/>
  <c r="M61" i="43"/>
  <c r="N61" i="43" s="1"/>
  <c r="K61" i="43"/>
  <c r="J61" i="43"/>
  <c r="D61" i="43"/>
  <c r="M60" i="43"/>
  <c r="N60" i="43" s="1"/>
  <c r="K60" i="43"/>
  <c r="J60" i="43"/>
  <c r="D60" i="43"/>
  <c r="M59" i="43"/>
  <c r="N59" i="43"/>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7" i="57" s="1"/>
  <c r="D127" i="57" s="1"/>
  <c r="I109" i="57"/>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A14" i="52" s="1"/>
  <c r="B61" i="60" s="1"/>
  <c r="D17" i="57"/>
  <c r="C17" i="57"/>
  <c r="M4" i="57"/>
  <c r="L4" i="57"/>
  <c r="B32" i="9"/>
  <c r="D32" i="9" s="1"/>
  <c r="C23" i="31"/>
  <c r="C2" i="36"/>
  <c r="F2" i="36"/>
  <c r="C2" i="35"/>
  <c r="F2" i="35" s="1"/>
  <c r="C2" i="37"/>
  <c r="F2" i="37" s="1"/>
  <c r="C2" i="34"/>
  <c r="C2" i="33"/>
  <c r="F2" i="33" s="1"/>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A18" i="54" s="1"/>
  <c r="B15" i="60" s="1"/>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c r="G13" i="31" s="1"/>
  <c r="H13" i="31" s="1"/>
  <c r="I13" i="31" s="1"/>
  <c r="J13" i="31" s="1"/>
  <c r="K13" i="31" s="1"/>
  <c r="L13" i="31" s="1"/>
  <c r="M13" i="31" s="1"/>
  <c r="N13" i="31" s="1"/>
  <c r="O13" i="31" s="1"/>
  <c r="P13" i="31" s="1"/>
  <c r="Q13" i="31" s="1"/>
  <c r="R13" i="31" s="1"/>
  <c r="S13" i="31" s="1"/>
  <c r="D11" i="31"/>
  <c r="E11" i="31" s="1"/>
  <c r="F11" i="31"/>
  <c r="G11" i="31" s="1"/>
  <c r="H11" i="3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c r="G55" i="34"/>
  <c r="H55" i="34" s="1"/>
  <c r="E55" i="34"/>
  <c r="F55" i="34" s="1"/>
  <c r="I48" i="40"/>
  <c r="J48" i="40" s="1"/>
  <c r="G48" i="40"/>
  <c r="H48" i="40" s="1"/>
  <c r="E48" i="40"/>
  <c r="F48" i="40" s="1"/>
  <c r="I53" i="39"/>
  <c r="J53" i="39" s="1"/>
  <c r="G53" i="39"/>
  <c r="H53" i="39" s="1"/>
  <c r="E53" i="39"/>
  <c r="F53" i="39" s="1"/>
  <c r="I42" i="36"/>
  <c r="J42" i="36" s="1"/>
  <c r="G42" i="36"/>
  <c r="H42" i="36" s="1"/>
  <c r="E42" i="36"/>
  <c r="F42" i="36"/>
  <c r="I44" i="35"/>
  <c r="J44" i="35" s="1"/>
  <c r="G44" i="35"/>
  <c r="H44" i="35" s="1"/>
  <c r="E44" i="35"/>
  <c r="F44" i="35" s="1"/>
  <c r="I54" i="33"/>
  <c r="J54" i="33"/>
  <c r="G54" i="33"/>
  <c r="H54" i="33" s="1"/>
  <c r="E54" i="33"/>
  <c r="G111" i="21"/>
  <c r="H111" i="21"/>
  <c r="B109" i="39"/>
  <c r="F35" i="39"/>
  <c r="S35" i="39" s="1"/>
  <c r="B111" i="39"/>
  <c r="J30" i="36"/>
  <c r="H30" i="36"/>
  <c r="F30" i="36"/>
  <c r="AA30" i="36" s="1"/>
  <c r="C79" i="35"/>
  <c r="J31" i="35"/>
  <c r="H31" i="35"/>
  <c r="AB31" i="35" s="1"/>
  <c r="F31" i="35"/>
  <c r="D87" i="35"/>
  <c r="E87" i="35"/>
  <c r="F87" i="35" s="1"/>
  <c r="G87" i="35" s="1"/>
  <c r="H87" i="35" s="1"/>
  <c r="I87" i="35" s="1"/>
  <c r="J87" i="35"/>
  <c r="K87" i="35" s="1"/>
  <c r="L87" i="35" s="1"/>
  <c r="M87" i="35" s="1"/>
  <c r="H29" i="35"/>
  <c r="H34" i="37"/>
  <c r="AB34" i="37" s="1"/>
  <c r="D101" i="37"/>
  <c r="F34" i="37"/>
  <c r="AA34" i="37" s="1"/>
  <c r="D99" i="37"/>
  <c r="E99" i="37" s="1"/>
  <c r="F99" i="37" s="1"/>
  <c r="G99" i="37" s="1"/>
  <c r="H42" i="34"/>
  <c r="J42" i="34"/>
  <c r="F42" i="34"/>
  <c r="J38" i="34"/>
  <c r="AC38" i="34" s="1"/>
  <c r="D114" i="34"/>
  <c r="D112" i="34"/>
  <c r="E112" i="34"/>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c r="F107" i="37"/>
  <c r="G107" i="37" s="1"/>
  <c r="H107" i="37" s="1"/>
  <c r="I107" i="37" s="1"/>
  <c r="J107" i="37"/>
  <c r="K107" i="37" s="1"/>
  <c r="L107" i="37" s="1"/>
  <c r="M107" i="37" s="1"/>
  <c r="D105" i="37"/>
  <c r="E105" i="37" s="1"/>
  <c r="F105" i="37"/>
  <c r="G105" i="37" s="1"/>
  <c r="D103" i="37"/>
  <c r="J35" i="37"/>
  <c r="G97" i="37"/>
  <c r="F97" i="37"/>
  <c r="E97" i="37"/>
  <c r="D97" i="37"/>
  <c r="C97" i="37"/>
  <c r="D96" i="37"/>
  <c r="E96" i="37"/>
  <c r="F96" i="37" s="1"/>
  <c r="G96" i="37" s="1"/>
  <c r="H96" i="37" s="1"/>
  <c r="I96" i="37"/>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c r="K89" i="37" s="1"/>
  <c r="L89" i="37" s="1"/>
  <c r="M89" i="37" s="1"/>
  <c r="B86" i="37"/>
  <c r="B84" i="37"/>
  <c r="B82" i="37"/>
  <c r="D79" i="37"/>
  <c r="E79" i="37"/>
  <c r="F79" i="37" s="1"/>
  <c r="G79" i="37" s="1"/>
  <c r="D75" i="37"/>
  <c r="E75" i="37" s="1"/>
  <c r="F75" i="37" s="1"/>
  <c r="D73" i="37"/>
  <c r="E73" i="37"/>
  <c r="J17" i="37"/>
  <c r="D71" i="37"/>
  <c r="E71" i="37"/>
  <c r="F71" i="37"/>
  <c r="G71" i="37" s="1"/>
  <c r="B68" i="37"/>
  <c r="H14" i="37"/>
  <c r="AB14" i="37"/>
  <c r="B66" i="37"/>
  <c r="B64" i="37"/>
  <c r="H12" i="37"/>
  <c r="U12" i="37"/>
  <c r="D63" i="37"/>
  <c r="E63" i="37" s="1"/>
  <c r="F63" i="37" s="1"/>
  <c r="G63" i="37"/>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s="1"/>
  <c r="J30" i="37"/>
  <c r="AC30" i="37" s="1"/>
  <c r="H30" i="37"/>
  <c r="AB30" i="37" s="1"/>
  <c r="F30" i="37"/>
  <c r="AA30" i="37" s="1"/>
  <c r="Q29" i="37"/>
  <c r="Z29" i="37"/>
  <c r="H29" i="37"/>
  <c r="AB29" i="37" s="1"/>
  <c r="Q28" i="37"/>
  <c r="Z28" i="37" s="1"/>
  <c r="Q27" i="37"/>
  <c r="Z27" i="37"/>
  <c r="Q26" i="37"/>
  <c r="Z26" i="37" s="1"/>
  <c r="Q25" i="37"/>
  <c r="Z25" i="37" s="1"/>
  <c r="J25" i="37"/>
  <c r="AC25" i="37" s="1"/>
  <c r="F25" i="37"/>
  <c r="AA25" i="37" s="1"/>
  <c r="Q23" i="37"/>
  <c r="Z23" i="37" s="1"/>
  <c r="Q19" i="37"/>
  <c r="Z19" i="37"/>
  <c r="Q17" i="37"/>
  <c r="Z17" i="37" s="1"/>
  <c r="Q15" i="37"/>
  <c r="Z15" i="37"/>
  <c r="Q14" i="37"/>
  <c r="Z14" i="37" s="1"/>
  <c r="Q13" i="37"/>
  <c r="Z13" i="37" s="1"/>
  <c r="Q12" i="37"/>
  <c r="Z12" i="37" s="1"/>
  <c r="Q11" i="37"/>
  <c r="Z11" i="37"/>
  <c r="Q10" i="37"/>
  <c r="Z10" i="37" s="1"/>
  <c r="Q9" i="37"/>
  <c r="Z9" i="37" s="1"/>
  <c r="J8" i="37"/>
  <c r="W8" i="37" s="1"/>
  <c r="H8" i="37"/>
  <c r="AB8" i="37" s="1"/>
  <c r="F8" i="37"/>
  <c r="S8" i="37" s="1"/>
  <c r="J31" i="36"/>
  <c r="H31" i="36"/>
  <c r="AB31" i="36" s="1"/>
  <c r="F31" i="36"/>
  <c r="S31" i="36"/>
  <c r="M86" i="36"/>
  <c r="L86" i="36"/>
  <c r="K86" i="36"/>
  <c r="J86" i="36"/>
  <c r="I86" i="36"/>
  <c r="H86" i="36"/>
  <c r="G86" i="36"/>
  <c r="F86" i="36"/>
  <c r="E86" i="36"/>
  <c r="D86" i="36"/>
  <c r="C86" i="36"/>
  <c r="D85" i="36"/>
  <c r="H29" i="36"/>
  <c r="U29" i="36" s="1"/>
  <c r="D81" i="36"/>
  <c r="E81" i="36" s="1"/>
  <c r="F81" i="36" s="1"/>
  <c r="G81" i="36" s="1"/>
  <c r="H81" i="36"/>
  <c r="I81" i="36" s="1"/>
  <c r="J81" i="36" s="1"/>
  <c r="K81" i="36" s="1"/>
  <c r="L81" i="36" s="1"/>
  <c r="M81" i="36" s="1"/>
  <c r="G79" i="36"/>
  <c r="F79" i="36"/>
  <c r="E79" i="36"/>
  <c r="D79" i="36"/>
  <c r="C79" i="36"/>
  <c r="B93" i="36"/>
  <c r="H33" i="36"/>
  <c r="AB33" i="36" s="1"/>
  <c r="B91" i="36"/>
  <c r="F32" i="36" s="1"/>
  <c r="B95" i="36"/>
  <c r="H34" i="36"/>
  <c r="U34" i="36" s="1"/>
  <c r="D83" i="36"/>
  <c r="E83" i="36"/>
  <c r="D78" i="36"/>
  <c r="E78" i="36" s="1"/>
  <c r="F78" i="36" s="1"/>
  <c r="G78" i="36"/>
  <c r="H78" i="36" s="1"/>
  <c r="I78" i="36" s="1"/>
  <c r="J78" i="36" s="1"/>
  <c r="K78" i="36" s="1"/>
  <c r="L78" i="36" s="1"/>
  <c r="M78" i="36" s="1"/>
  <c r="B75" i="36"/>
  <c r="B73" i="36"/>
  <c r="B71" i="36"/>
  <c r="F23" i="36" s="1"/>
  <c r="AA23" i="36" s="1"/>
  <c r="D70" i="36"/>
  <c r="H22" i="36"/>
  <c r="AB22" i="36"/>
  <c r="D68" i="36"/>
  <c r="E68" i="36" s="1"/>
  <c r="F68" i="36" s="1"/>
  <c r="G68" i="36" s="1"/>
  <c r="D64" i="36"/>
  <c r="E64" i="36" s="1"/>
  <c r="F64" i="36" s="1"/>
  <c r="G64" i="36" s="1"/>
  <c r="J16" i="36"/>
  <c r="W16" i="36" s="1"/>
  <c r="D62" i="36"/>
  <c r="E62" i="36"/>
  <c r="F62" i="36"/>
  <c r="G62" i="36" s="1"/>
  <c r="H14" i="36"/>
  <c r="AB14" i="36"/>
  <c r="B59" i="36"/>
  <c r="B57" i="36"/>
  <c r="B55" i="36"/>
  <c r="F54" i="36"/>
  <c r="G54" i="36"/>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Q22" i="36"/>
  <c r="Z22" i="36" s="1"/>
  <c r="J22" i="36"/>
  <c r="AC22" i="36"/>
  <c r="Q20" i="36"/>
  <c r="Z20" i="36" s="1"/>
  <c r="Q16" i="36"/>
  <c r="Z16" i="36"/>
  <c r="Q14" i="36"/>
  <c r="Z14" i="36" s="1"/>
  <c r="Q13" i="36"/>
  <c r="Z13" i="36"/>
  <c r="Q12" i="36"/>
  <c r="Z12" i="36" s="1"/>
  <c r="Q11" i="36"/>
  <c r="Z11" i="36"/>
  <c r="Q10" i="36"/>
  <c r="Z10" i="36" s="1"/>
  <c r="F10" i="36"/>
  <c r="AA10" i="36"/>
  <c r="Q9" i="36"/>
  <c r="Z9" i="36" s="1"/>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c r="F27" i="35"/>
  <c r="J22" i="35"/>
  <c r="AC22" i="35"/>
  <c r="B101" i="35"/>
  <c r="B99" i="35"/>
  <c r="B97" i="35"/>
  <c r="J34" i="35" s="1"/>
  <c r="AC34" i="35" s="1"/>
  <c r="B77" i="35"/>
  <c r="J25" i="35" s="1"/>
  <c r="W25" i="35" s="1"/>
  <c r="B75" i="35"/>
  <c r="B73" i="35"/>
  <c r="H23" i="35"/>
  <c r="U23" i="35"/>
  <c r="B57" i="35"/>
  <c r="B61" i="35"/>
  <c r="B59" i="35"/>
  <c r="F12" i="35" s="1"/>
  <c r="S12" i="35" s="1"/>
  <c r="B131" i="34"/>
  <c r="H47" i="34" s="1"/>
  <c r="U47" i="34" s="1"/>
  <c r="B129" i="34"/>
  <c r="B127" i="34"/>
  <c r="B99" i="34"/>
  <c r="B97" i="34"/>
  <c r="J31" i="34" s="1"/>
  <c r="B95" i="34"/>
  <c r="B93" i="34"/>
  <c r="B75" i="34"/>
  <c r="B73" i="34"/>
  <c r="H13" i="34" s="1"/>
  <c r="B71" i="34"/>
  <c r="B130" i="33"/>
  <c r="B128" i="33"/>
  <c r="B126" i="33"/>
  <c r="H44" i="33" s="1"/>
  <c r="AB44" i="33" s="1"/>
  <c r="B98" i="33"/>
  <c r="B96" i="33"/>
  <c r="B94" i="33"/>
  <c r="B74" i="33"/>
  <c r="H14" i="33" s="1"/>
  <c r="U14" i="33" s="1"/>
  <c r="B72" i="33"/>
  <c r="B70" i="33"/>
  <c r="D96" i="35"/>
  <c r="E96" i="35"/>
  <c r="F96" i="35" s="1"/>
  <c r="G96" i="35" s="1"/>
  <c r="D94" i="35"/>
  <c r="E94" i="35"/>
  <c r="F94" i="35" s="1"/>
  <c r="G94" i="35"/>
  <c r="H94" i="35" s="1"/>
  <c r="I94" i="35" s="1"/>
  <c r="J94" i="35" s="1"/>
  <c r="K94" i="35" s="1"/>
  <c r="L94" i="35" s="1"/>
  <c r="M94" i="35"/>
  <c r="D84" i="35"/>
  <c r="E84" i="35"/>
  <c r="F84" i="35" s="1"/>
  <c r="G84" i="35" s="1"/>
  <c r="H84" i="35" s="1"/>
  <c r="I84" i="35" s="1"/>
  <c r="J84" i="35" s="1"/>
  <c r="K84" i="35" s="1"/>
  <c r="L84" i="35" s="1"/>
  <c r="M84" i="35" s="1"/>
  <c r="D80" i="35"/>
  <c r="E80" i="35"/>
  <c r="F80" i="35" s="1"/>
  <c r="G80" i="35"/>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c r="I56" i="35"/>
  <c r="C53" i="35"/>
  <c r="P39" i="35"/>
  <c r="P38" i="35"/>
  <c r="V37" i="35"/>
  <c r="T37" i="35"/>
  <c r="R37" i="35"/>
  <c r="P37" i="35"/>
  <c r="Q36" i="35"/>
  <c r="Z36" i="35" s="1"/>
  <c r="Q35" i="35"/>
  <c r="Z35" i="35" s="1"/>
  <c r="Q34" i="35"/>
  <c r="Z34" i="35"/>
  <c r="Q33" i="35"/>
  <c r="Z33" i="35"/>
  <c r="Q32" i="35"/>
  <c r="Z32" i="35" s="1"/>
  <c r="H32" i="35"/>
  <c r="AB32" i="35"/>
  <c r="F32" i="35"/>
  <c r="AA32" i="35" s="1"/>
  <c r="Q31" i="35"/>
  <c r="Z31" i="35" s="1"/>
  <c r="AC31" i="35"/>
  <c r="Q30" i="35"/>
  <c r="Z30" i="35"/>
  <c r="Q29" i="35"/>
  <c r="Z29" i="35" s="1"/>
  <c r="Q28" i="35"/>
  <c r="Z28" i="35" s="1"/>
  <c r="J28" i="35"/>
  <c r="AC28" i="35" s="1"/>
  <c r="H28" i="35"/>
  <c r="AB28" i="35"/>
  <c r="F28" i="35"/>
  <c r="AA28" i="35" s="1"/>
  <c r="Q27" i="35"/>
  <c r="Z27" i="35" s="1"/>
  <c r="Q26" i="35"/>
  <c r="Z26" i="35" s="1"/>
  <c r="Q25" i="35"/>
  <c r="Z25" i="35" s="1"/>
  <c r="Q24" i="35"/>
  <c r="Z24" i="35" s="1"/>
  <c r="Q23" i="35"/>
  <c r="Z23" i="35"/>
  <c r="J23" i="35"/>
  <c r="AC23" i="35" s="1"/>
  <c r="Q22" i="35"/>
  <c r="Z22" i="35"/>
  <c r="Q20" i="35"/>
  <c r="Z20" i="35" s="1"/>
  <c r="Q16" i="35"/>
  <c r="Z16" i="35" s="1"/>
  <c r="Q14" i="35"/>
  <c r="Z14" i="35" s="1"/>
  <c r="Q13" i="35"/>
  <c r="Z13" i="35"/>
  <c r="Q12" i="35"/>
  <c r="Z12" i="35" s="1"/>
  <c r="J12" i="35"/>
  <c r="W12" i="35" s="1"/>
  <c r="H12" i="35"/>
  <c r="U12" i="35" s="1"/>
  <c r="Q11" i="35"/>
  <c r="Z11" i="35" s="1"/>
  <c r="Q10" i="35"/>
  <c r="Z10" i="35" s="1"/>
  <c r="Q9" i="35"/>
  <c r="Z9" i="35" s="1"/>
  <c r="J9" i="35"/>
  <c r="AC9" i="35"/>
  <c r="H9" i="35"/>
  <c r="AB9" i="35" s="1"/>
  <c r="F9" i="35"/>
  <c r="AA9" i="35" s="1"/>
  <c r="J8" i="35"/>
  <c r="AC8" i="35" s="1"/>
  <c r="H8" i="35"/>
  <c r="AB8" i="35"/>
  <c r="F8" i="35"/>
  <c r="AA8" i="35" s="1"/>
  <c r="D120" i="34"/>
  <c r="E120" i="34"/>
  <c r="F120" i="34" s="1"/>
  <c r="G120" i="34" s="1"/>
  <c r="H120" i="34"/>
  <c r="I120" i="34" s="1"/>
  <c r="J120" i="34" s="1"/>
  <c r="K120" i="34" s="1"/>
  <c r="L120" i="34" s="1"/>
  <c r="M120" i="34" s="1"/>
  <c r="D90" i="34"/>
  <c r="E90" i="34"/>
  <c r="F90" i="34" s="1"/>
  <c r="G90" i="34"/>
  <c r="H90" i="34" s="1"/>
  <c r="I90" i="34" s="1"/>
  <c r="J90" i="34" s="1"/>
  <c r="K90" i="34" s="1"/>
  <c r="L90" i="34" s="1"/>
  <c r="M90" i="34" s="1"/>
  <c r="C15" i="34"/>
  <c r="F67" i="34"/>
  <c r="G67" i="34" s="1"/>
  <c r="H67" i="34" s="1"/>
  <c r="I67" i="34"/>
  <c r="D126" i="34"/>
  <c r="D124" i="34"/>
  <c r="E124" i="34"/>
  <c r="F124" i="34"/>
  <c r="G124" i="34" s="1"/>
  <c r="H124" i="34" s="1"/>
  <c r="I124" i="34" s="1"/>
  <c r="J124" i="34" s="1"/>
  <c r="K124" i="34" s="1"/>
  <c r="L124" i="34" s="1"/>
  <c r="M124" i="34" s="1"/>
  <c r="D118" i="34"/>
  <c r="E118" i="34" s="1"/>
  <c r="F118" i="34" s="1"/>
  <c r="D116" i="34"/>
  <c r="G110" i="34"/>
  <c r="F110" i="34"/>
  <c r="E110" i="34"/>
  <c r="D110" i="34"/>
  <c r="C110" i="34"/>
  <c r="D109" i="34"/>
  <c r="E109" i="34" s="1"/>
  <c r="D107" i="34"/>
  <c r="E107" i="34"/>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c r="D70" i="34"/>
  <c r="E70" i="34" s="1"/>
  <c r="F70" i="34"/>
  <c r="G70" i="34" s="1"/>
  <c r="H70" i="34"/>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c r="Q14" i="34"/>
  <c r="Z14" i="34" s="1"/>
  <c r="Q13" i="34"/>
  <c r="Z13" i="34" s="1"/>
  <c r="Q12" i="34"/>
  <c r="Z12" i="34" s="1"/>
  <c r="J12" i="34"/>
  <c r="H12" i="34"/>
  <c r="U12" i="34" s="1"/>
  <c r="F12" i="34"/>
  <c r="Q11" i="34"/>
  <c r="Z11" i="34"/>
  <c r="Q10" i="34"/>
  <c r="Z10" i="34" s="1"/>
  <c r="F10" i="34"/>
  <c r="AA10" i="34" s="1"/>
  <c r="Q9" i="34"/>
  <c r="Z9" i="34"/>
  <c r="J8" i="34"/>
  <c r="H8" i="34"/>
  <c r="U8" i="34" s="1"/>
  <c r="F8" i="34"/>
  <c r="AA8" i="34" s="1"/>
  <c r="D121" i="33"/>
  <c r="E121" i="33"/>
  <c r="F121" i="33" s="1"/>
  <c r="G121" i="33" s="1"/>
  <c r="H121" i="33" s="1"/>
  <c r="I121" i="33" s="1"/>
  <c r="J121" i="33"/>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c r="I108" i="33" s="1"/>
  <c r="J108" i="33" s="1"/>
  <c r="K108" i="33" s="1"/>
  <c r="L108" i="33" s="1"/>
  <c r="M108" i="33" s="1"/>
  <c r="J35" i="33"/>
  <c r="AC35" i="33" s="1"/>
  <c r="D106" i="33"/>
  <c r="E106" i="33" s="1"/>
  <c r="F106" i="33" s="1"/>
  <c r="G106" i="33" s="1"/>
  <c r="H106" i="33"/>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AC38" i="33" s="1"/>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c r="J69" i="21" s="1"/>
  <c r="K69" i="21" s="1"/>
  <c r="L69" i="21" s="1"/>
  <c r="M69" i="21" s="1"/>
  <c r="D66" i="21"/>
  <c r="E66" i="21"/>
  <c r="F66" i="21" s="1"/>
  <c r="G66" i="2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H12" i="21" s="1"/>
  <c r="AB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2" i="36"/>
  <c r="AA31" i="36"/>
  <c r="AC31" i="36"/>
  <c r="W31" i="36"/>
  <c r="U31" i="36"/>
  <c r="J33" i="36"/>
  <c r="W33" i="36"/>
  <c r="AB34" i="36"/>
  <c r="H22" i="35"/>
  <c r="AB22" i="35" s="1"/>
  <c r="U9" i="35"/>
  <c r="U31" i="35"/>
  <c r="S32" i="35"/>
  <c r="W31" i="35"/>
  <c r="U32" i="35"/>
  <c r="F36" i="34"/>
  <c r="AA36" i="34" s="1"/>
  <c r="U39" i="34"/>
  <c r="H39" i="33"/>
  <c r="AB39" i="33"/>
  <c r="F26" i="33"/>
  <c r="AA26" i="33"/>
  <c r="S40" i="33"/>
  <c r="W8" i="21"/>
  <c r="H39" i="37"/>
  <c r="AB39" i="37" s="1"/>
  <c r="F11" i="40"/>
  <c r="AA11" i="40" s="1"/>
  <c r="S8" i="40"/>
  <c r="H11" i="40"/>
  <c r="AB11" i="40"/>
  <c r="U9" i="40"/>
  <c r="U34" i="40"/>
  <c r="F42" i="39"/>
  <c r="AA42" i="39" s="1"/>
  <c r="F41" i="39"/>
  <c r="AA41" i="39" s="1"/>
  <c r="H40" i="39"/>
  <c r="AB40" i="39" s="1"/>
  <c r="H39" i="39"/>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c r="F35" i="40"/>
  <c r="S35" i="40"/>
  <c r="J30" i="40"/>
  <c r="W30" i="40"/>
  <c r="F30" i="40"/>
  <c r="AA30" i="40"/>
  <c r="H27" i="40"/>
  <c r="U27" i="40"/>
  <c r="H23" i="40"/>
  <c r="AB23" i="40"/>
  <c r="J11" i="40"/>
  <c r="W11" i="40"/>
  <c r="AA12" i="33"/>
  <c r="S44" i="39"/>
  <c r="F37" i="39"/>
  <c r="S37" i="39" s="1"/>
  <c r="AC9" i="21"/>
  <c r="J34" i="36"/>
  <c r="W34" i="36"/>
  <c r="U30" i="36"/>
  <c r="F22" i="35"/>
  <c r="H10" i="35"/>
  <c r="U10" i="35" s="1"/>
  <c r="U33" i="36"/>
  <c r="AB29" i="36"/>
  <c r="F33" i="36"/>
  <c r="S33" i="36" s="1"/>
  <c r="E85" i="36"/>
  <c r="F85" i="36" s="1"/>
  <c r="G85" i="36" s="1"/>
  <c r="H85" i="36" s="1"/>
  <c r="I85" i="36"/>
  <c r="J85" i="36" s="1"/>
  <c r="K85" i="36" s="1"/>
  <c r="L85" i="36" s="1"/>
  <c r="M85" i="36" s="1"/>
  <c r="J29" i="36"/>
  <c r="AC29" i="36"/>
  <c r="F12" i="36"/>
  <c r="AA12" i="36"/>
  <c r="F34" i="36"/>
  <c r="AA34" i="36"/>
  <c r="H20" i="36"/>
  <c r="J20" i="36"/>
  <c r="W20" i="36" s="1"/>
  <c r="W9" i="35"/>
  <c r="F14" i="35"/>
  <c r="F23" i="35"/>
  <c r="AA23" i="35"/>
  <c r="J32" i="35"/>
  <c r="AC32" i="35"/>
  <c r="J16" i="35"/>
  <c r="W16" i="35"/>
  <c r="H14" i="35"/>
  <c r="AB14" i="35"/>
  <c r="H33" i="35"/>
  <c r="AB33" i="35"/>
  <c r="S8" i="35"/>
  <c r="W8" i="35"/>
  <c r="S9" i="35"/>
  <c r="J20" i="35"/>
  <c r="W20" i="35" s="1"/>
  <c r="H20" i="35"/>
  <c r="F20" i="35"/>
  <c r="AA20" i="35" s="1"/>
  <c r="E101" i="37"/>
  <c r="F101" i="37" s="1"/>
  <c r="G101" i="37" s="1"/>
  <c r="H101" i="37" s="1"/>
  <c r="I101" i="37"/>
  <c r="J101" i="37" s="1"/>
  <c r="K101" i="37" s="1"/>
  <c r="L101" i="37" s="1"/>
  <c r="M101" i="37" s="1"/>
  <c r="J34" i="37"/>
  <c r="W34" i="37" s="1"/>
  <c r="AA39" i="37"/>
  <c r="J43" i="34"/>
  <c r="AC43" i="34"/>
  <c r="H43" i="34"/>
  <c r="AB43" i="34"/>
  <c r="U42"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F41" i="33"/>
  <c r="S41" i="33" s="1"/>
  <c r="E113" i="33"/>
  <c r="J34" i="33"/>
  <c r="F36" i="33"/>
  <c r="F25" i="33"/>
  <c r="AA25" i="33" s="1"/>
  <c r="J25" i="33"/>
  <c r="AC25" i="33" s="1"/>
  <c r="H25" i="33"/>
  <c r="AB25" i="33" s="1"/>
  <c r="J23" i="33"/>
  <c r="F23" i="33"/>
  <c r="AA23" i="33" s="1"/>
  <c r="H23" i="33"/>
  <c r="F19" i="33"/>
  <c r="S19" i="33"/>
  <c r="J19" i="33"/>
  <c r="W19" i="33"/>
  <c r="J17" i="33"/>
  <c r="AC17" i="33"/>
  <c r="H17" i="33"/>
  <c r="AB17" i="33"/>
  <c r="J15" i="33"/>
  <c r="AC15" i="33"/>
  <c r="F11" i="33"/>
  <c r="AA11" i="33"/>
  <c r="H10" i="33"/>
  <c r="U10" i="33" s="1"/>
  <c r="S10" i="21"/>
  <c r="S26" i="33"/>
  <c r="U40" i="33"/>
  <c r="U8" i="33"/>
  <c r="S8" i="33"/>
  <c r="F37" i="40"/>
  <c r="AA37" i="40"/>
  <c r="F36" i="40"/>
  <c r="AA36" i="40"/>
  <c r="J27" i="40"/>
  <c r="W27" i="40" s="1"/>
  <c r="F27" i="40"/>
  <c r="S27" i="40" s="1"/>
  <c r="F23" i="40"/>
  <c r="AA23" i="40" s="1"/>
  <c r="AC11" i="40"/>
  <c r="AB30" i="36"/>
  <c r="AC34" i="36"/>
  <c r="W32" i="35"/>
  <c r="F29" i="35"/>
  <c r="U34" i="37"/>
  <c r="AB42" i="34"/>
  <c r="H38" i="34"/>
  <c r="F113" i="33"/>
  <c r="G113" i="33" s="1"/>
  <c r="H113" i="33" s="1"/>
  <c r="I113" i="33" s="1"/>
  <c r="J113" i="33" s="1"/>
  <c r="K113" i="33"/>
  <c r="L113" i="33" s="1"/>
  <c r="M113" i="33" s="1"/>
  <c r="H37" i="33"/>
  <c r="AB37" i="33" s="1"/>
  <c r="AA37" i="33"/>
  <c r="H36" i="33"/>
  <c r="U36" i="33"/>
  <c r="S25" i="33"/>
  <c r="F17" i="33"/>
  <c r="H15" i="33"/>
  <c r="AB15" i="33"/>
  <c r="AB11" i="33"/>
  <c r="AC42" i="34"/>
  <c r="W42" i="34"/>
  <c r="AA42" i="34"/>
  <c r="S42" i="34"/>
  <c r="W38" i="34"/>
  <c r="J37" i="33"/>
  <c r="AC37" i="33"/>
  <c r="J36" i="33"/>
  <c r="AC36" i="33" s="1"/>
  <c r="J11" i="33"/>
  <c r="AC11" i="33" s="1"/>
  <c r="J42" i="21"/>
  <c r="AC42" i="21" s="1"/>
  <c r="H42" i="21"/>
  <c r="AB42" i="21"/>
  <c r="J10" i="35"/>
  <c r="AC10" i="35" s="1"/>
  <c r="J14" i="21"/>
  <c r="W14" i="21" s="1"/>
  <c r="F14" i="21"/>
  <c r="H14" i="21"/>
  <c r="U14" i="21" s="1"/>
  <c r="AB14" i="21"/>
  <c r="H28" i="21"/>
  <c r="AB28" i="21" s="1"/>
  <c r="F28" i="21"/>
  <c r="J28" i="21"/>
  <c r="W28" i="21" s="1"/>
  <c r="H30" i="21"/>
  <c r="AB30" i="21"/>
  <c r="F30" i="21"/>
  <c r="S30" i="21" s="1"/>
  <c r="J30" i="21"/>
  <c r="W30" i="21" s="1"/>
  <c r="J44" i="21"/>
  <c r="H44" i="21"/>
  <c r="U44" i="21"/>
  <c r="F44" i="21"/>
  <c r="AA44" i="21" s="1"/>
  <c r="H46" i="21"/>
  <c r="J46" i="21"/>
  <c r="W46" i="21" s="1"/>
  <c r="F46" i="21"/>
  <c r="AA46" i="21"/>
  <c r="E119" i="21"/>
  <c r="F119" i="21"/>
  <c r="G119" i="21" s="1"/>
  <c r="H119" i="21"/>
  <c r="I119" i="21" s="1"/>
  <c r="J119" i="21" s="1"/>
  <c r="K119" i="21" s="1"/>
  <c r="L119" i="21" s="1"/>
  <c r="M119" i="21" s="1"/>
  <c r="H26" i="33"/>
  <c r="U26" i="33" s="1"/>
  <c r="H28" i="33"/>
  <c r="F28" i="33"/>
  <c r="S28" i="33" s="1"/>
  <c r="J28" i="33"/>
  <c r="AC28" i="33" s="1"/>
  <c r="F33" i="35"/>
  <c r="S33" i="35" s="1"/>
  <c r="J33" i="35"/>
  <c r="F30" i="35"/>
  <c r="S30" i="35" s="1"/>
  <c r="E89" i="35"/>
  <c r="F89" i="35" s="1"/>
  <c r="G89" i="35" s="1"/>
  <c r="H89" i="35" s="1"/>
  <c r="I89" i="35"/>
  <c r="J89" i="35" s="1"/>
  <c r="K89" i="35" s="1"/>
  <c r="L89" i="35" s="1"/>
  <c r="M89" i="35"/>
  <c r="H10" i="36"/>
  <c r="AB10" i="36"/>
  <c r="F83" i="36"/>
  <c r="G83" i="36"/>
  <c r="H83" i="36" s="1"/>
  <c r="I83" i="36" s="1"/>
  <c r="J83" i="36" s="1"/>
  <c r="K83" i="36"/>
  <c r="L83" i="36" s="1"/>
  <c r="M83" i="36" s="1"/>
  <c r="F28" i="36"/>
  <c r="AA28" i="36"/>
  <c r="J13" i="33"/>
  <c r="AC13" i="33"/>
  <c r="H13" i="33"/>
  <c r="AB13" i="33"/>
  <c r="F13" i="33"/>
  <c r="S13" i="33"/>
  <c r="J29" i="33"/>
  <c r="H29" i="33"/>
  <c r="F29" i="33"/>
  <c r="S29" i="33" s="1"/>
  <c r="J31" i="33"/>
  <c r="H31" i="33"/>
  <c r="AB31" i="33" s="1"/>
  <c r="F31" i="33"/>
  <c r="H45" i="33"/>
  <c r="AB45" i="33" s="1"/>
  <c r="J45" i="33"/>
  <c r="W45" i="33" s="1"/>
  <c r="F45" i="33"/>
  <c r="S45" i="33" s="1"/>
  <c r="J14" i="34"/>
  <c r="F14" i="34"/>
  <c r="H14" i="34"/>
  <c r="U14" i="34"/>
  <c r="H30" i="34"/>
  <c r="U30" i="34"/>
  <c r="F30" i="34"/>
  <c r="S30" i="34"/>
  <c r="J30" i="34"/>
  <c r="W30" i="34"/>
  <c r="H32" i="34"/>
  <c r="F32" i="34"/>
  <c r="J32" i="34"/>
  <c r="W32" i="34" s="1"/>
  <c r="H46" i="34"/>
  <c r="U46" i="34" s="1"/>
  <c r="F46" i="34"/>
  <c r="S46" i="34" s="1"/>
  <c r="J46" i="34"/>
  <c r="W46" i="34" s="1"/>
  <c r="H11" i="35"/>
  <c r="U11" i="35" s="1"/>
  <c r="J11" i="35"/>
  <c r="AC11" i="35" s="1"/>
  <c r="F11" i="35"/>
  <c r="S11" i="35" s="1"/>
  <c r="J26" i="36"/>
  <c r="H28" i="36"/>
  <c r="U28" i="36" s="1"/>
  <c r="H32" i="36"/>
  <c r="AB32" i="36" s="1"/>
  <c r="J32" i="36"/>
  <c r="W32" i="36" s="1"/>
  <c r="J11" i="36"/>
  <c r="H11" i="36"/>
  <c r="AB11" i="36" s="1"/>
  <c r="F11" i="36"/>
  <c r="H13" i="36"/>
  <c r="AB13" i="36" s="1"/>
  <c r="J13" i="36"/>
  <c r="F13" i="36"/>
  <c r="S13" i="36" s="1"/>
  <c r="H36" i="37"/>
  <c r="H37" i="37"/>
  <c r="AB37" i="37" s="1"/>
  <c r="AC12" i="40"/>
  <c r="W12" i="40"/>
  <c r="F14" i="33"/>
  <c r="H30" i="33"/>
  <c r="F30" i="33"/>
  <c r="S30" i="33" s="1"/>
  <c r="J30" i="33"/>
  <c r="AC30" i="33" s="1"/>
  <c r="J44" i="33"/>
  <c r="J46" i="33"/>
  <c r="F46" i="33"/>
  <c r="S46" i="33" s="1"/>
  <c r="H46" i="33"/>
  <c r="J13" i="34"/>
  <c r="J29" i="34"/>
  <c r="F29" i="34"/>
  <c r="S29" i="34" s="1"/>
  <c r="H29" i="34"/>
  <c r="H31" i="34"/>
  <c r="H45" i="34"/>
  <c r="J45" i="34"/>
  <c r="W45" i="34" s="1"/>
  <c r="F45" i="34"/>
  <c r="F47" i="34"/>
  <c r="F13" i="35"/>
  <c r="J13" i="35"/>
  <c r="AC13" i="35" s="1"/>
  <c r="H13" i="35"/>
  <c r="U13" i="35" s="1"/>
  <c r="F25" i="35"/>
  <c r="S25" i="35" s="1"/>
  <c r="J35" i="35"/>
  <c r="F35" i="35"/>
  <c r="AA35" i="35" s="1"/>
  <c r="H35" i="35"/>
  <c r="J25" i="36"/>
  <c r="AC25" i="36" s="1"/>
  <c r="F25" i="36"/>
  <c r="H25" i="36"/>
  <c r="AB25" i="36" s="1"/>
  <c r="H13" i="37"/>
  <c r="F13" i="37"/>
  <c r="S13" i="37" s="1"/>
  <c r="J13" i="37"/>
  <c r="W13" i="37" s="1"/>
  <c r="F28" i="37"/>
  <c r="AA28" i="37" s="1"/>
  <c r="J28" i="37"/>
  <c r="H28" i="37"/>
  <c r="U28" i="37" s="1"/>
  <c r="H38" i="37"/>
  <c r="J38" i="37"/>
  <c r="AC38" i="37" s="1"/>
  <c r="F38" i="37"/>
  <c r="F43" i="39"/>
  <c r="AA43" i="39" s="1"/>
  <c r="H43" i="39"/>
  <c r="U43" i="39" s="1"/>
  <c r="J14" i="39"/>
  <c r="H14" i="39"/>
  <c r="AB14" i="39" s="1"/>
  <c r="F12" i="40"/>
  <c r="AA12" i="40" s="1"/>
  <c r="H12" i="40"/>
  <c r="AB12" i="40" s="1"/>
  <c r="H30" i="40"/>
  <c r="AB30" i="40" s="1"/>
  <c r="F33" i="40"/>
  <c r="AA33" i="40" s="1"/>
  <c r="H33" i="40"/>
  <c r="J35" i="40"/>
  <c r="AC35" i="40" s="1"/>
  <c r="H13" i="40"/>
  <c r="J13" i="40"/>
  <c r="W13" i="40" s="1"/>
  <c r="F13" i="40"/>
  <c r="F14" i="37"/>
  <c r="S14" i="37" s="1"/>
  <c r="F13" i="39"/>
  <c r="AA13" i="39" s="1"/>
  <c r="J13" i="39"/>
  <c r="W13" i="39" s="1"/>
  <c r="H13" i="39"/>
  <c r="H14" i="40"/>
  <c r="AB14" i="40" s="1"/>
  <c r="J14" i="40"/>
  <c r="F14" i="40"/>
  <c r="AA14" i="40" s="1"/>
  <c r="J14" i="37"/>
  <c r="AC14" i="37" s="1"/>
  <c r="W13" i="35"/>
  <c r="W30" i="33"/>
  <c r="AC32" i="34"/>
  <c r="J10" i="36"/>
  <c r="AC14" i="21"/>
  <c r="U31" i="33"/>
  <c r="AC29" i="33"/>
  <c r="W29" i="33"/>
  <c r="U42" i="21"/>
  <c r="S33" i="21"/>
  <c r="S19" i="21"/>
  <c r="J41" i="39"/>
  <c r="W41" i="39" s="1"/>
  <c r="AC45" i="39"/>
  <c r="U36" i="39"/>
  <c r="S508" i="31"/>
  <c r="S506" i="31"/>
  <c r="S504" i="31"/>
  <c r="S502" i="31"/>
  <c r="O30" i="31"/>
  <c r="O31" i="31"/>
  <c r="O29" i="31"/>
  <c r="M30" i="31"/>
  <c r="M31" i="31"/>
  <c r="M29" i="31"/>
  <c r="E15" i="31"/>
  <c r="F15" i="31" s="1"/>
  <c r="G15" i="31"/>
  <c r="H15" i="31" s="1"/>
  <c r="I15" i="31" s="1"/>
  <c r="J15" i="31" s="1"/>
  <c r="K15" i="3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A11" i="35"/>
  <c r="AC12" i="35"/>
  <c r="S28" i="37"/>
  <c r="U39" i="37"/>
  <c r="S25" i="37"/>
  <c r="AB8" i="34"/>
  <c r="AA13" i="33"/>
  <c r="AA30" i="33"/>
  <c r="AB10" i="33"/>
  <c r="S11" i="33"/>
  <c r="AC33" i="21"/>
  <c r="AB38" i="21"/>
  <c r="AA23" i="37"/>
  <c r="H37" i="21"/>
  <c r="U37" i="21" s="1"/>
  <c r="J37" i="21"/>
  <c r="W37" i="21" s="1"/>
  <c r="H19" i="34"/>
  <c r="F36" i="35"/>
  <c r="AA36" i="35" s="1"/>
  <c r="J9" i="37"/>
  <c r="H9" i="37"/>
  <c r="AB9" i="37" s="1"/>
  <c r="F9" i="37"/>
  <c r="AA9" i="37" s="1"/>
  <c r="F11" i="37"/>
  <c r="S11" i="37" s="1"/>
  <c r="J42" i="39"/>
  <c r="AC42" i="39" s="1"/>
  <c r="S37" i="21"/>
  <c r="AB37" i="21"/>
  <c r="AB27" i="40"/>
  <c r="AC31" i="39"/>
  <c r="U31" i="39"/>
  <c r="C12" i="43"/>
  <c r="D15" i="47"/>
  <c r="D17" i="47"/>
  <c r="D19" i="47"/>
  <c r="D21" i="47"/>
  <c r="D23" i="47"/>
  <c r="D27" i="47"/>
  <c r="D33" i="47"/>
  <c r="D37" i="47"/>
  <c r="F37" i="47" s="1"/>
  <c r="B35" i="47" s="1"/>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7" i="39"/>
  <c r="AC43" i="39"/>
  <c r="W43" i="39"/>
  <c r="U45" i="39"/>
  <c r="AB45" i="39"/>
  <c r="AB44" i="39"/>
  <c r="U44" i="39"/>
  <c r="G102" i="39"/>
  <c r="H37" i="39"/>
  <c r="AC37" i="39"/>
  <c r="H25" i="39"/>
  <c r="U25" i="39" s="1"/>
  <c r="J25" i="39"/>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F109" i="34"/>
  <c r="G109" i="34" s="1"/>
  <c r="H109" i="34" s="1"/>
  <c r="I109" i="34" s="1"/>
  <c r="J109" i="34" s="1"/>
  <c r="K109" i="34" s="1"/>
  <c r="L109" i="34" s="1"/>
  <c r="M109" i="34" s="1"/>
  <c r="H36" i="34"/>
  <c r="AB36" i="34" s="1"/>
  <c r="F35" i="34"/>
  <c r="F107" i="34"/>
  <c r="G107" i="34" s="1"/>
  <c r="H107" i="34"/>
  <c r="I107" i="34" s="1"/>
  <c r="J107" i="34" s="1"/>
  <c r="K107" i="34" s="1"/>
  <c r="L107" i="34"/>
  <c r="M107" i="34" s="1"/>
  <c r="J35" i="34"/>
  <c r="AC35" i="34" s="1"/>
  <c r="F27" i="34"/>
  <c r="W34" i="34"/>
  <c r="S28" i="34"/>
  <c r="J33" i="34"/>
  <c r="J37" i="34"/>
  <c r="W37" i="34" s="1"/>
  <c r="S23" i="34"/>
  <c r="AB33" i="34"/>
  <c r="AC37" i="34"/>
  <c r="J26" i="35"/>
  <c r="W26" i="35"/>
  <c r="F26" i="35"/>
  <c r="AA26" i="35"/>
  <c r="H26" i="35"/>
  <c r="U26" i="35"/>
  <c r="U28" i="21"/>
  <c r="K145" i="21"/>
  <c r="K144" i="21"/>
  <c r="K141" i="21"/>
  <c r="K143" i="21"/>
  <c r="W25" i="21"/>
  <c r="B101" i="9"/>
  <c r="C112" i="9" s="1"/>
  <c r="H110" i="9" s="1"/>
  <c r="F23" i="21"/>
  <c r="J23" i="21"/>
  <c r="AC23" i="21" s="1"/>
  <c r="H23" i="21"/>
  <c r="F17" i="21"/>
  <c r="AA17" i="21" s="1"/>
  <c r="J17" i="21"/>
  <c r="H17" i="21"/>
  <c r="AB17" i="21" s="1"/>
  <c r="J15" i="21"/>
  <c r="W15" i="21" s="1"/>
  <c r="U35" i="21"/>
  <c r="AC35" i="21"/>
  <c r="H103" i="57"/>
  <c r="A131" i="9"/>
  <c r="B103" i="57"/>
  <c r="B107" i="57" s="1"/>
  <c r="C112" i="57"/>
  <c r="H107" i="57" s="1"/>
  <c r="D128" i="57"/>
  <c r="T27" i="31"/>
  <c r="S27" i="31"/>
  <c r="B113" i="43"/>
  <c r="M101" i="43"/>
  <c r="M109" i="43" s="1"/>
  <c r="K101" i="43"/>
  <c r="K107" i="43" s="1"/>
  <c r="I101" i="43"/>
  <c r="I102" i="43" s="1"/>
  <c r="G101" i="43"/>
  <c r="E101" i="43"/>
  <c r="E109" i="43" s="1"/>
  <c r="C101" i="43"/>
  <c r="N101" i="43"/>
  <c r="N107" i="43" s="1"/>
  <c r="L101" i="43"/>
  <c r="L109" i="43" s="1"/>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S14" i="34"/>
  <c r="AA14" i="34"/>
  <c r="AB38" i="34"/>
  <c r="U38" i="34"/>
  <c r="F40" i="34"/>
  <c r="AA40" i="34" s="1"/>
  <c r="G118" i="34"/>
  <c r="U20" i="36"/>
  <c r="AB20" i="36"/>
  <c r="AA16" i="36"/>
  <c r="AC44" i="39"/>
  <c r="W44" i="39"/>
  <c r="H13" i="21"/>
  <c r="AB13" i="21" s="1"/>
  <c r="J13" i="21"/>
  <c r="W13" i="21" s="1"/>
  <c r="F13" i="21"/>
  <c r="AA13" i="21"/>
  <c r="J45" i="21"/>
  <c r="F45" i="21"/>
  <c r="AA45" i="21" s="1"/>
  <c r="S42" i="21"/>
  <c r="B41" i="47"/>
  <c r="C23" i="40"/>
  <c r="AC8" i="34"/>
  <c r="W8" i="34"/>
  <c r="W12" i="34"/>
  <c r="AC12" i="34"/>
  <c r="J9" i="34"/>
  <c r="AC9" i="34"/>
  <c r="F9" i="34"/>
  <c r="S9" i="34"/>
  <c r="AA19" i="34"/>
  <c r="S19" i="34"/>
  <c r="J12" i="36"/>
  <c r="W12" i="36"/>
  <c r="H12" i="36"/>
  <c r="AB12" i="36"/>
  <c r="AA9" i="39"/>
  <c r="S9" i="39"/>
  <c r="AB12" i="39"/>
  <c r="U12" i="39"/>
  <c r="J12" i="39"/>
  <c r="F12" i="39"/>
  <c r="R29" i="31"/>
  <c r="T29" i="31" s="1"/>
  <c r="F15" i="21"/>
  <c r="S15" i="21" s="1"/>
  <c r="C106" i="9"/>
  <c r="H102" i="9" s="1"/>
  <c r="AA30" i="21"/>
  <c r="J36" i="34"/>
  <c r="W36" i="34" s="1"/>
  <c r="S8" i="34"/>
  <c r="J19" i="40"/>
  <c r="AC19" i="40"/>
  <c r="W9" i="39"/>
  <c r="U14" i="39"/>
  <c r="H32" i="39"/>
  <c r="U32" i="39" s="1"/>
  <c r="F21" i="39"/>
  <c r="AA21" i="39" s="1"/>
  <c r="F31" i="37"/>
  <c r="AA31" i="37" s="1"/>
  <c r="U25" i="36"/>
  <c r="S44" i="21"/>
  <c r="AC36" i="40"/>
  <c r="F17" i="37"/>
  <c r="AA17" i="37"/>
  <c r="AA29" i="33"/>
  <c r="AB28" i="36"/>
  <c r="U44" i="33"/>
  <c r="U11" i="36"/>
  <c r="AB11" i="35"/>
  <c r="U32" i="34"/>
  <c r="AB32" i="34"/>
  <c r="AA30" i="34"/>
  <c r="H45" i="21"/>
  <c r="AB45" i="21" s="1"/>
  <c r="J14" i="36"/>
  <c r="AC30" i="21"/>
  <c r="S15" i="34"/>
  <c r="J40" i="34"/>
  <c r="S37" i="40"/>
  <c r="H19" i="33"/>
  <c r="AB19" i="33"/>
  <c r="AB23" i="33"/>
  <c r="U23" i="33"/>
  <c r="AA41" i="33"/>
  <c r="J23" i="34"/>
  <c r="W23" i="34"/>
  <c r="AC30" i="40"/>
  <c r="AB17" i="39"/>
  <c r="W22" i="35"/>
  <c r="S30" i="36"/>
  <c r="S38" i="21"/>
  <c r="AA38" i="21"/>
  <c r="E106" i="21"/>
  <c r="F106" i="21"/>
  <c r="G106" i="21" s="1"/>
  <c r="H106" i="21"/>
  <c r="I106" i="21" s="1"/>
  <c r="J106" i="21" s="1"/>
  <c r="K106" i="21" s="1"/>
  <c r="L106" i="21"/>
  <c r="M106" i="21" s="1"/>
  <c r="F34" i="21"/>
  <c r="S34" i="21" s="1"/>
  <c r="H34" i="2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J27" i="36"/>
  <c r="AC27" i="36" s="1"/>
  <c r="F37" i="34"/>
  <c r="AA37" i="34"/>
  <c r="H37" i="34"/>
  <c r="U37" i="34"/>
  <c r="AA32" i="37"/>
  <c r="U12" i="40"/>
  <c r="AC46" i="34"/>
  <c r="U10" i="36"/>
  <c r="W28" i="33"/>
  <c r="W34" i="33"/>
  <c r="AC34" i="33"/>
  <c r="AA14" i="35"/>
  <c r="S14" i="35"/>
  <c r="W11" i="21"/>
  <c r="S45" i="39"/>
  <c r="AA45" i="39"/>
  <c r="H27" i="21"/>
  <c r="J27" i="21"/>
  <c r="W27" i="21" s="1"/>
  <c r="F27" i="21"/>
  <c r="AA27" i="21" s="1"/>
  <c r="J29" i="21"/>
  <c r="W29" i="21" s="1"/>
  <c r="H29" i="21"/>
  <c r="F29" i="21"/>
  <c r="AA29" i="21" s="1"/>
  <c r="J31" i="21"/>
  <c r="W31" i="21"/>
  <c r="H31" i="21"/>
  <c r="F31" i="21"/>
  <c r="S31" i="21" s="1"/>
  <c r="H39" i="21"/>
  <c r="U39" i="21" s="1"/>
  <c r="F117" i="21"/>
  <c r="G117" i="21" s="1"/>
  <c r="S9" i="21"/>
  <c r="AA9" i="21"/>
  <c r="AA15" i="33"/>
  <c r="S15" i="33"/>
  <c r="AA35" i="33"/>
  <c r="E117" i="33"/>
  <c r="F117" i="33"/>
  <c r="G117" i="33" s="1"/>
  <c r="J39" i="33"/>
  <c r="AC39" i="33" s="1"/>
  <c r="E125" i="33"/>
  <c r="F125" i="33" s="1"/>
  <c r="G125" i="33" s="1"/>
  <c r="H43" i="33"/>
  <c r="U43" i="33"/>
  <c r="E91" i="33"/>
  <c r="F91" i="33"/>
  <c r="G91" i="33" s="1"/>
  <c r="H91" i="33"/>
  <c r="I91" i="33" s="1"/>
  <c r="J91" i="33" s="1"/>
  <c r="K91" i="33" s="1"/>
  <c r="L91" i="33"/>
  <c r="M91" i="33" s="1"/>
  <c r="F27" i="33"/>
  <c r="S27" i="33" s="1"/>
  <c r="H41" i="33"/>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B25" i="37"/>
  <c r="U8" i="39"/>
  <c r="AB8" i="39"/>
  <c r="J29" i="35"/>
  <c r="AC29" i="35"/>
  <c r="AC30" i="36"/>
  <c r="W30" i="36"/>
  <c r="H35" i="39"/>
  <c r="U35" i="39" s="1"/>
  <c r="J35" i="39"/>
  <c r="AC35" i="39" s="1"/>
  <c r="AA19" i="39"/>
  <c r="H16" i="36"/>
  <c r="U16" i="36" s="1"/>
  <c r="U32" i="37"/>
  <c r="E101" i="21"/>
  <c r="F101" i="21"/>
  <c r="G101" i="21" s="1"/>
  <c r="H101" i="21" s="1"/>
  <c r="I101" i="21" s="1"/>
  <c r="J101" i="21"/>
  <c r="K101" i="21" s="1"/>
  <c r="L101" i="21" s="1"/>
  <c r="M101" i="21" s="1"/>
  <c r="F32" i="21"/>
  <c r="J32" i="21"/>
  <c r="W32" i="21" s="1"/>
  <c r="H32" i="21"/>
  <c r="U32" i="21" s="1"/>
  <c r="F40" i="21"/>
  <c r="AA40" i="21" s="1"/>
  <c r="H40" i="21"/>
  <c r="J40" i="21"/>
  <c r="AC40" i="21" s="1"/>
  <c r="B44" i="47"/>
  <c r="C21" i="40"/>
  <c r="AC33" i="33"/>
  <c r="W33" i="33"/>
  <c r="S34" i="33"/>
  <c r="AA38" i="33"/>
  <c r="S38" i="33"/>
  <c r="W38" i="33"/>
  <c r="J9" i="33"/>
  <c r="AC9" i="33"/>
  <c r="F9" i="33"/>
  <c r="AA9" i="33"/>
  <c r="F25" i="34"/>
  <c r="S25" i="34"/>
  <c r="E126" i="34"/>
  <c r="H44" i="34"/>
  <c r="U44" i="34" s="1"/>
  <c r="AB26" i="36"/>
  <c r="U26" i="36"/>
  <c r="F20" i="36"/>
  <c r="J24" i="36"/>
  <c r="W24" i="36" s="1"/>
  <c r="H24" i="36"/>
  <c r="F24" i="36"/>
  <c r="S24" i="36" s="1"/>
  <c r="AA32" i="36"/>
  <c r="S32" i="36"/>
  <c r="J26" i="37"/>
  <c r="AC26" i="37" s="1"/>
  <c r="H26" i="37"/>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C25" i="57"/>
  <c r="N102" i="43"/>
  <c r="F59" i="43"/>
  <c r="H63" i="43" s="1"/>
  <c r="G15" i="47"/>
  <c r="W40" i="40"/>
  <c r="U15" i="37"/>
  <c r="H25" i="34"/>
  <c r="U25" i="34"/>
  <c r="AB35" i="39"/>
  <c r="AC40" i="37"/>
  <c r="S27" i="37"/>
  <c r="AA12" i="37"/>
  <c r="AA34" i="35"/>
  <c r="S34" i="35"/>
  <c r="AB24" i="35"/>
  <c r="J17" i="34"/>
  <c r="G80" i="34"/>
  <c r="F17" i="34"/>
  <c r="AA17" i="34"/>
  <c r="H27" i="33"/>
  <c r="AB27" i="33"/>
  <c r="F43" i="33"/>
  <c r="S43" i="33"/>
  <c r="J43" i="33"/>
  <c r="AC43" i="33"/>
  <c r="AB31" i="21"/>
  <c r="U31" i="21"/>
  <c r="S29" i="21"/>
  <c r="AC27" i="21"/>
  <c r="S37" i="34"/>
  <c r="H27" i="36"/>
  <c r="F27" i="36"/>
  <c r="AA27" i="36" s="1"/>
  <c r="J28" i="34"/>
  <c r="H11" i="34"/>
  <c r="U11" i="34"/>
  <c r="S17" i="37"/>
  <c r="J11" i="37"/>
  <c r="AC11" i="37" s="1"/>
  <c r="AC36" i="34"/>
  <c r="W12" i="39"/>
  <c r="AC12" i="39"/>
  <c r="W9" i="34"/>
  <c r="S45" i="21"/>
  <c r="AC37" i="37"/>
  <c r="U38" i="40"/>
  <c r="F23" i="39"/>
  <c r="F96" i="39"/>
  <c r="G96" i="39" s="1"/>
  <c r="S26" i="37"/>
  <c r="F44" i="34"/>
  <c r="AA44" i="34" s="1"/>
  <c r="F126" i="34"/>
  <c r="G126" i="34"/>
  <c r="J44" i="34"/>
  <c r="AC44" i="34"/>
  <c r="W27" i="37"/>
  <c r="AB27" i="37"/>
  <c r="H10" i="37"/>
  <c r="U10" i="37" s="1"/>
  <c r="S24" i="35"/>
  <c r="AB43" i="33"/>
  <c r="W27" i="36"/>
  <c r="U9" i="34"/>
  <c r="F101" i="33"/>
  <c r="G101" i="33" s="1"/>
  <c r="H101" i="33"/>
  <c r="I101" i="33" s="1"/>
  <c r="J101" i="33" s="1"/>
  <c r="K101" i="33" s="1"/>
  <c r="L101" i="33" s="1"/>
  <c r="M101" i="33" s="1"/>
  <c r="J32" i="33"/>
  <c r="AC32" i="33" s="1"/>
  <c r="H32" i="33"/>
  <c r="U12" i="36"/>
  <c r="AC45" i="21"/>
  <c r="W45" i="21"/>
  <c r="AC13" i="21"/>
  <c r="S44" i="34"/>
  <c r="AB25" i="34"/>
  <c r="J10" i="37"/>
  <c r="AC10" i="37" s="1"/>
  <c r="H23" i="39"/>
  <c r="J11" i="34"/>
  <c r="W11" i="34" s="1"/>
  <c r="J27" i="33"/>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37" i="11"/>
  <c r="M29" i="15"/>
  <c r="P51" i="15"/>
  <c r="D10" i="11"/>
  <c r="C2" i="31"/>
  <c r="I23" i="31" s="1"/>
  <c r="P60" i="15"/>
  <c r="D3" i="35"/>
  <c r="D3" i="34"/>
  <c r="D95" i="57"/>
  <c r="A16" i="55"/>
  <c r="B46" i="60" s="1"/>
  <c r="D3" i="33"/>
  <c r="D3" i="37"/>
  <c r="D3" i="36"/>
  <c r="AB36" i="40"/>
  <c r="W31" i="40"/>
  <c r="AC9" i="40"/>
  <c r="S9" i="40"/>
  <c r="AA27" i="40"/>
  <c r="AC38" i="40"/>
  <c r="S40" i="40"/>
  <c r="W35" i="40"/>
  <c r="W33" i="40"/>
  <c r="W34" i="40"/>
  <c r="AB39" i="40"/>
  <c r="J37" i="40"/>
  <c r="H35" i="40"/>
  <c r="U35" i="40" s="1"/>
  <c r="H37" i="40"/>
  <c r="H28" i="40"/>
  <c r="U28" i="40" s="1"/>
  <c r="F28" i="40"/>
  <c r="J28" i="40"/>
  <c r="AC28" i="40" s="1"/>
  <c r="G97" i="40"/>
  <c r="H97" i="40" s="1"/>
  <c r="I97" i="40"/>
  <c r="J97" i="40" s="1"/>
  <c r="K97" i="40" s="1"/>
  <c r="L97" i="40" s="1"/>
  <c r="M97" i="40" s="1"/>
  <c r="F21" i="40"/>
  <c r="H21" i="40"/>
  <c r="AB21" i="40" s="1"/>
  <c r="F89" i="40"/>
  <c r="G89" i="40"/>
  <c r="J21" i="40"/>
  <c r="W21" i="40"/>
  <c r="W19" i="40"/>
  <c r="F85" i="40"/>
  <c r="G85" i="40" s="1"/>
  <c r="H17" i="40"/>
  <c r="U17" i="40" s="1"/>
  <c r="J17" i="40"/>
  <c r="W17" i="40" s="1"/>
  <c r="F17" i="40"/>
  <c r="S17" i="40"/>
  <c r="F83" i="40"/>
  <c r="G83" i="40"/>
  <c r="F15" i="40"/>
  <c r="J15" i="40"/>
  <c r="AC15" i="40" s="1"/>
  <c r="H15" i="40"/>
  <c r="AB15" i="40" s="1"/>
  <c r="AC25" i="40"/>
  <c r="W25" i="40"/>
  <c r="U19" i="40"/>
  <c r="U14" i="40"/>
  <c r="U8" i="40"/>
  <c r="AA19" i="40"/>
  <c r="S36" i="40"/>
  <c r="AA35" i="40"/>
  <c r="AC38" i="39"/>
  <c r="AC17" i="39"/>
  <c r="AA37" i="39"/>
  <c r="AB29" i="39"/>
  <c r="AC23" i="39"/>
  <c r="W27" i="39"/>
  <c r="AC27" i="39"/>
  <c r="U41" i="39"/>
  <c r="U42" i="39"/>
  <c r="U19" i="39"/>
  <c r="AB27" i="39"/>
  <c r="U27" i="39"/>
  <c r="AA27" i="39"/>
  <c r="S27" i="39"/>
  <c r="S40" i="39"/>
  <c r="S31" i="39"/>
  <c r="AC11" i="39"/>
  <c r="S13" i="39"/>
  <c r="S34" i="36"/>
  <c r="AC24" i="36"/>
  <c r="S12" i="36"/>
  <c r="S22" i="36"/>
  <c r="AC16" i="36"/>
  <c r="S26" i="36"/>
  <c r="S14" i="36"/>
  <c r="U14" i="36"/>
  <c r="S10" i="36"/>
  <c r="W18" i="36"/>
  <c r="AC18" i="36"/>
  <c r="AC12" i="36"/>
  <c r="W25" i="36"/>
  <c r="AC32" i="36"/>
  <c r="AC20" i="36"/>
  <c r="W29" i="36"/>
  <c r="W28" i="36"/>
  <c r="W8" i="36"/>
  <c r="AB16" i="36"/>
  <c r="U13" i="36"/>
  <c r="AB18" i="36"/>
  <c r="U18" i="36"/>
  <c r="S28" i="36"/>
  <c r="S29" i="36"/>
  <c r="W24" i="35"/>
  <c r="W23" i="35"/>
  <c r="S23" i="35"/>
  <c r="AB23" i="35"/>
  <c r="W11" i="35"/>
  <c r="AA12" i="35"/>
  <c r="W10" i="35"/>
  <c r="AB16" i="35"/>
  <c r="W14" i="35"/>
  <c r="W34" i="35"/>
  <c r="AC26" i="35"/>
  <c r="W28" i="35"/>
  <c r="AC27" i="35"/>
  <c r="U14" i="35"/>
  <c r="AB10" i="35"/>
  <c r="U8" i="35"/>
  <c r="AB12" i="35"/>
  <c r="S20" i="35"/>
  <c r="AB13" i="35"/>
  <c r="S10" i="35"/>
  <c r="S34" i="37"/>
  <c r="W32" i="37"/>
  <c r="W26" i="37"/>
  <c r="AB28" i="37"/>
  <c r="AC12" i="37"/>
  <c r="J33" i="37"/>
  <c r="AC33" i="37" s="1"/>
  <c r="F33" i="37"/>
  <c r="AA33" i="37" s="1"/>
  <c r="H99" i="37"/>
  <c r="I99" i="37" s="1"/>
  <c r="J99" i="37"/>
  <c r="K99" i="37" s="1"/>
  <c r="L99" i="37" s="1"/>
  <c r="M99" i="37" s="1"/>
  <c r="H33" i="37"/>
  <c r="AC35" i="37"/>
  <c r="W35" i="37"/>
  <c r="S31" i="37"/>
  <c r="H35" i="37"/>
  <c r="F35" i="37"/>
  <c r="AA35" i="37" s="1"/>
  <c r="E103" i="37"/>
  <c r="F103" i="37"/>
  <c r="G103" i="37" s="1"/>
  <c r="H103" i="37" s="1"/>
  <c r="I103" i="37" s="1"/>
  <c r="J103" i="37"/>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W35" i="34"/>
  <c r="AB11" i="34"/>
  <c r="S40" i="34"/>
  <c r="AB41" i="34"/>
  <c r="S38" i="34"/>
  <c r="S36" i="34"/>
  <c r="U43" i="34"/>
  <c r="S43" i="34"/>
  <c r="S17" i="34"/>
  <c r="AB17" i="34"/>
  <c r="AA9" i="34"/>
  <c r="W15" i="34"/>
  <c r="U23" i="34"/>
  <c r="U36" i="34"/>
  <c r="U21" i="34"/>
  <c r="AB21" i="34"/>
  <c r="AA25" i="34"/>
  <c r="AA41" i="34"/>
  <c r="AA46" i="34"/>
  <c r="W42" i="33"/>
  <c r="U25" i="33"/>
  <c r="W11" i="33"/>
  <c r="U17" i="33"/>
  <c r="W25" i="33"/>
  <c r="U27" i="33"/>
  <c r="U34" i="33"/>
  <c r="U38" i="33"/>
  <c r="W37" i="33"/>
  <c r="W43" i="33"/>
  <c r="AC41" i="33"/>
  <c r="AA45" i="33"/>
  <c r="S23" i="33"/>
  <c r="W17" i="33"/>
  <c r="U15" i="33"/>
  <c r="AB9" i="33"/>
  <c r="U9" i="33"/>
  <c r="S10" i="33"/>
  <c r="AC12" i="33"/>
  <c r="W9" i="33"/>
  <c r="W13" i="33"/>
  <c r="AC19" i="33"/>
  <c r="W21" i="33"/>
  <c r="AC21" i="33"/>
  <c r="AB42" i="33"/>
  <c r="U13" i="33"/>
  <c r="U39" i="33"/>
  <c r="S42" i="33"/>
  <c r="S9" i="33"/>
  <c r="W42" i="21"/>
  <c r="AA39" i="21"/>
  <c r="W39" i="21"/>
  <c r="AA34" i="21"/>
  <c r="AA15" i="21"/>
  <c r="AC26" i="21"/>
  <c r="AB39" i="21"/>
  <c r="W40" i="21"/>
  <c r="AC37" i="21"/>
  <c r="AC28" i="21"/>
  <c r="U19" i="21"/>
  <c r="U43" i="21"/>
  <c r="U26" i="21"/>
  <c r="AB44" i="21"/>
  <c r="U30" i="21"/>
  <c r="AB36" i="21"/>
  <c r="S17" i="21"/>
  <c r="AA36" i="21"/>
  <c r="AB32"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2" i="57"/>
  <c r="D35" i="50"/>
  <c r="D14" i="50"/>
  <c r="B28" i="60" s="1"/>
  <c r="D22" i="15"/>
  <c r="C37" i="57"/>
  <c r="F125" i="57" s="1"/>
  <c r="Y25" i="31"/>
  <c r="C36" i="57"/>
  <c r="D125" i="57" s="1"/>
  <c r="V25" i="31"/>
  <c r="H102" i="43"/>
  <c r="D3" i="21"/>
  <c r="M6" i="43"/>
  <c r="M5" i="43"/>
  <c r="F81" i="43"/>
  <c r="H13" i="44"/>
  <c r="H11" i="44"/>
  <c r="C51" i="10"/>
  <c r="A8" i="54"/>
  <c r="B8" i="60" s="1"/>
  <c r="F2" i="34"/>
  <c r="C114" i="9"/>
  <c r="H112" i="9"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D19" i="11"/>
  <c r="C20" i="12"/>
  <c r="C19" i="12"/>
  <c r="G22" i="11"/>
  <c r="G41" i="11"/>
  <c r="H113" i="43"/>
  <c r="X7" i="43"/>
  <c r="E59" i="43"/>
  <c r="B57" i="43"/>
  <c r="E70" i="43"/>
  <c r="B68" i="43"/>
  <c r="C24" i="43" s="1"/>
  <c r="AI11" i="43"/>
  <c r="AI13" i="43" s="1"/>
  <c r="AG11" i="43"/>
  <c r="AG13" i="43" s="1"/>
  <c r="AE11" i="43"/>
  <c r="AC11" i="43"/>
  <c r="AC13" i="43" s="1"/>
  <c r="AA11" i="43"/>
  <c r="AA13" i="43" s="1"/>
  <c r="Y11" i="43"/>
  <c r="Y13" i="43" s="1"/>
  <c r="AJ11" i="43"/>
  <c r="AJ13" i="43" s="1"/>
  <c r="AH11" i="43"/>
  <c r="AH13" i="43" s="1"/>
  <c r="AF11" i="43"/>
  <c r="AF13" i="43" s="1"/>
  <c r="AD11" i="43"/>
  <c r="AD13" i="43" s="1"/>
  <c r="AB11" i="43"/>
  <c r="AB13" i="43" s="1"/>
  <c r="Z11" i="43"/>
  <c r="Z13" i="43" s="1"/>
  <c r="Z7" i="43"/>
  <c r="C53" i="10"/>
  <c r="D123" i="9"/>
  <c r="D6" i="52" s="1"/>
  <c r="D124" i="9"/>
  <c r="D7" i="52"/>
  <c r="N49" i="57"/>
  <c r="B58" i="60"/>
  <c r="K106" i="43"/>
  <c r="C104" i="43"/>
  <c r="A125" i="57"/>
  <c r="N104" i="46"/>
  <c r="J17" i="43"/>
  <c r="C7" i="21"/>
  <c r="C58" i="21" s="1"/>
  <c r="D58" i="21" s="1"/>
  <c r="C7" i="37"/>
  <c r="C52" i="37" s="1"/>
  <c r="D52" i="37" s="1"/>
  <c r="E52" i="37" s="1"/>
  <c r="F52" i="37" s="1"/>
  <c r="H104" i="43"/>
  <c r="K103" i="43"/>
  <c r="C105" i="43"/>
  <c r="N106" i="43"/>
  <c r="G37" i="47"/>
  <c r="G19" i="43"/>
  <c r="O19" i="43" s="1"/>
  <c r="F36" i="43"/>
  <c r="C17" i="43"/>
  <c r="F35" i="43"/>
  <c r="F37" i="43"/>
  <c r="F39" i="43"/>
  <c r="K17" i="43"/>
  <c r="C7" i="36"/>
  <c r="C46" i="36" s="1"/>
  <c r="F38" i="43"/>
  <c r="K86" i="43"/>
  <c r="J86" i="43"/>
  <c r="D86" i="43"/>
  <c r="M87" i="43"/>
  <c r="N87" i="43" s="1"/>
  <c r="K82" i="43"/>
  <c r="J82" i="43" s="1"/>
  <c r="D82" i="43"/>
  <c r="M83" i="43"/>
  <c r="N83" i="43"/>
  <c r="H65" i="43"/>
  <c r="E105" i="43"/>
  <c r="F106" i="43"/>
  <c r="M12" i="43"/>
  <c r="M8" i="43"/>
  <c r="N7" i="43"/>
  <c r="M3" i="43"/>
  <c r="M11" i="43"/>
  <c r="N8" i="43"/>
  <c r="H8" i="44"/>
  <c r="H12" i="44"/>
  <c r="C62" i="39"/>
  <c r="M85" i="43"/>
  <c r="N85" i="43"/>
  <c r="K85" i="43"/>
  <c r="J85" i="43"/>
  <c r="D85" i="43"/>
  <c r="M82" i="43"/>
  <c r="N82" i="43" s="1"/>
  <c r="K83" i="43"/>
  <c r="J83" i="43" s="1"/>
  <c r="D83" i="43"/>
  <c r="F103" i="43"/>
  <c r="J107" i="43"/>
  <c r="J104" i="43"/>
  <c r="N105" i="43"/>
  <c r="E102" i="43"/>
  <c r="E106" i="43"/>
  <c r="I103" i="43"/>
  <c r="M107" i="43"/>
  <c r="M104" i="43"/>
  <c r="D118" i="43"/>
  <c r="E118" i="43" s="1"/>
  <c r="F118" i="43" s="1"/>
  <c r="M7" i="15"/>
  <c r="J6" i="15" s="1"/>
  <c r="F35" i="15"/>
  <c r="F64" i="15" s="1"/>
  <c r="E18" i="1"/>
  <c r="C34" i="11" s="1"/>
  <c r="C17" i="15"/>
  <c r="A2" i="9"/>
  <c r="W23" i="40"/>
  <c r="S23" i="40"/>
  <c r="U23" i="40"/>
  <c r="S38" i="40"/>
  <c r="U40" i="40"/>
  <c r="S33" i="40"/>
  <c r="AB31" i="40"/>
  <c r="AC13" i="40"/>
  <c r="S14" i="40"/>
  <c r="S31" i="40"/>
  <c r="S11" i="40"/>
  <c r="AB32" i="39"/>
  <c r="W42" i="39"/>
  <c r="W34" i="39"/>
  <c r="S43" i="39"/>
  <c r="AA25" i="39"/>
  <c r="S29" i="39"/>
  <c r="U40" i="39"/>
  <c r="AB43" i="39"/>
  <c r="AC41" i="39"/>
  <c r="U11" i="39"/>
  <c r="W36" i="39"/>
  <c r="S34" i="39"/>
  <c r="S39" i="39"/>
  <c r="U9" i="39"/>
  <c r="AA13" i="36"/>
  <c r="AA33" i="36"/>
  <c r="S8" i="36"/>
  <c r="AB34" i="35"/>
  <c r="W29" i="35"/>
  <c r="U33" i="35"/>
  <c r="S36" i="35"/>
  <c r="U22" i="35"/>
  <c r="AA33" i="35"/>
  <c r="U28" i="35"/>
  <c r="AB27" i="35"/>
  <c r="S35" i="35"/>
  <c r="S26" i="35"/>
  <c r="AB26" i="35"/>
  <c r="AC16" i="35"/>
  <c r="AA25" i="35"/>
  <c r="S28" i="35"/>
  <c r="AC34" i="37"/>
  <c r="U29" i="37"/>
  <c r="U30" i="37"/>
  <c r="AC29" i="37"/>
  <c r="AA13" i="37"/>
  <c r="W25" i="37"/>
  <c r="S9" i="37"/>
  <c r="G84" i="34"/>
  <c r="J21" i="34"/>
  <c r="AC21" i="34" s="1"/>
  <c r="AB40" i="34"/>
  <c r="AC19" i="34"/>
  <c r="AC23" i="34"/>
  <c r="AB28" i="34"/>
  <c r="AB37" i="34"/>
  <c r="W41" i="34"/>
  <c r="AB35" i="34"/>
  <c r="AB27" i="34"/>
  <c r="W43" i="34"/>
  <c r="U34" i="34"/>
  <c r="S34" i="34"/>
  <c r="AC25" i="34"/>
  <c r="W44" i="34"/>
  <c r="AB44" i="34"/>
  <c r="AB14" i="34"/>
  <c r="AC45" i="34"/>
  <c r="AA29" i="34"/>
  <c r="U37" i="33"/>
  <c r="U19" i="33"/>
  <c r="AA43" i="33"/>
  <c r="S32" i="33"/>
  <c r="U33" i="33"/>
  <c r="AA28" i="33"/>
  <c r="S39" i="33"/>
  <c r="AB26" i="33"/>
  <c r="W35" i="33"/>
  <c r="W40" i="33"/>
  <c r="W26" i="33"/>
  <c r="S33" i="33"/>
  <c r="U35" i="33"/>
  <c r="AB36" i="33"/>
  <c r="W15" i="33"/>
  <c r="AA19" i="33"/>
  <c r="W8" i="33"/>
  <c r="G83" i="21"/>
  <c r="J21" i="21"/>
  <c r="S27" i="21"/>
  <c r="AC31" i="21"/>
  <c r="W23" i="21"/>
  <c r="AB25" i="21"/>
  <c r="AA25" i="21"/>
  <c r="S46" i="21"/>
  <c r="AC46" i="21"/>
  <c r="AA26" i="21"/>
  <c r="W10"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B17" i="40"/>
  <c r="AA17" i="40"/>
  <c r="AC17" i="40"/>
  <c r="AA15" i="40"/>
  <c r="S15" i="40"/>
  <c r="W15" i="40"/>
  <c r="S35" i="37"/>
  <c r="W33" i="37"/>
  <c r="AA19" i="37"/>
  <c r="S19" i="37"/>
  <c r="AB19" i="37"/>
  <c r="AC15" i="37"/>
  <c r="W15" i="37"/>
  <c r="AC21" i="21"/>
  <c r="W21" i="21"/>
  <c r="M86" i="43"/>
  <c r="N86" i="43"/>
  <c r="F34" i="11"/>
  <c r="D18" i="1"/>
  <c r="F50" i="11"/>
  <c r="D19" i="1"/>
  <c r="K87" i="43"/>
  <c r="J87" i="43"/>
  <c r="D87" i="43"/>
  <c r="C3" i="4"/>
  <c r="B4" i="55" s="1"/>
  <c r="B53" i="60" s="1"/>
  <c r="L106" i="9"/>
  <c r="A18" i="55" s="1"/>
  <c r="B48" i="60" s="1"/>
  <c r="J22" i="43"/>
  <c r="M84" i="43"/>
  <c r="N84" i="43"/>
  <c r="K84" i="43"/>
  <c r="J84" i="43"/>
  <c r="D84" i="43"/>
  <c r="M81" i="43"/>
  <c r="N81" i="43" s="1"/>
  <c r="K81" i="43"/>
  <c r="J81" i="43" s="1"/>
  <c r="D81" i="43"/>
  <c r="M88" i="43"/>
  <c r="N88" i="43"/>
  <c r="K88" i="43"/>
  <c r="J88" i="43"/>
  <c r="D88" i="43"/>
  <c r="I114" i="57"/>
  <c r="D131" i="57" s="1"/>
  <c r="B41" i="1"/>
  <c r="M27" i="15" s="1"/>
  <c r="C13" i="12"/>
  <c r="C36" i="11"/>
  <c r="D118" i="57"/>
  <c r="D119" i="57"/>
  <c r="I115" i="57" s="1"/>
  <c r="D132" i="57" s="1"/>
  <c r="D134" i="57"/>
  <c r="D130" i="9"/>
  <c r="D13" i="52"/>
  <c r="H59" i="43"/>
  <c r="H60" i="43"/>
  <c r="H67" i="43"/>
  <c r="H66" i="43"/>
  <c r="H9" i="44"/>
  <c r="H7" i="44"/>
  <c r="H10" i="44"/>
  <c r="N12" i="43"/>
  <c r="N4" i="43"/>
  <c r="F70" i="43" s="1"/>
  <c r="M7" i="43"/>
  <c r="N1" i="43"/>
  <c r="M10" i="43"/>
  <c r="M2" i="43"/>
  <c r="H15" i="44"/>
  <c r="H64" i="43"/>
  <c r="H61" i="43"/>
  <c r="H5" i="44"/>
  <c r="N10" i="43"/>
  <c r="N2" i="43"/>
  <c r="N11" i="43"/>
  <c r="N9" i="43"/>
  <c r="M4" i="43"/>
  <c r="C6" i="43" s="1"/>
  <c r="N5" i="43"/>
  <c r="N3" i="43"/>
  <c r="M9" i="43"/>
  <c r="E17" i="43"/>
  <c r="N17" i="43"/>
  <c r="L17" i="43"/>
  <c r="O17" i="43"/>
  <c r="M17" i="43"/>
  <c r="J1" i="61"/>
  <c r="C23" i="59"/>
  <c r="D23" i="59"/>
  <c r="D24" i="59"/>
  <c r="B25" i="59"/>
  <c r="S25" i="59" s="1"/>
  <c r="AB25" i="59"/>
  <c r="U25" i="59"/>
  <c r="AA24" i="59"/>
  <c r="X24" i="59"/>
  <c r="AB24" i="59"/>
  <c r="AA23" i="59"/>
  <c r="Y23" i="59"/>
  <c r="Z23" i="59"/>
  <c r="Y21" i="59"/>
  <c r="Z21" i="59"/>
  <c r="AB21" i="59"/>
  <c r="AB19" i="59"/>
  <c r="X21" i="59"/>
  <c r="X19" i="59"/>
  <c r="AA21" i="59"/>
  <c r="AA19" i="59"/>
  <c r="AB20" i="59"/>
  <c r="X20" i="59"/>
  <c r="J30" i="35"/>
  <c r="W30" i="35" s="1"/>
  <c r="H30" i="35"/>
  <c r="AB30" i="35" s="1"/>
  <c r="AA30" i="35"/>
  <c r="N56" i="9"/>
  <c r="O56" i="9"/>
  <c r="O58" i="57"/>
  <c r="K58" i="57"/>
  <c r="K59" i="57" s="1"/>
  <c r="K61" i="57" s="1"/>
  <c r="K63" i="57" s="1"/>
  <c r="N58" i="57"/>
  <c r="K56" i="9"/>
  <c r="K57" i="9" s="1"/>
  <c r="K59" i="9" s="1"/>
  <c r="K61" i="9" s="1"/>
  <c r="L58" i="57"/>
  <c r="F22" i="59"/>
  <c r="F21" i="59"/>
  <c r="F20" i="59" s="1"/>
  <c r="F19" i="59" s="1"/>
  <c r="F18" i="59" s="1"/>
  <c r="F17" i="59" s="1"/>
  <c r="C22" i="59"/>
  <c r="C21" i="59"/>
  <c r="X3" i="59"/>
  <c r="Y3" i="59"/>
  <c r="Z3" i="59" s="1"/>
  <c r="D22" i="59"/>
  <c r="F48" i="43"/>
  <c r="H50" i="43" s="1"/>
  <c r="G4" i="47"/>
  <c r="AC30" i="35"/>
  <c r="U30" i="35"/>
  <c r="I116" i="57"/>
  <c r="D133" i="57" s="1"/>
  <c r="D120" i="57"/>
  <c r="I114" i="9"/>
  <c r="D129" i="9" s="1"/>
  <c r="I112" i="9"/>
  <c r="D116" i="9"/>
  <c r="D114" i="9"/>
  <c r="D115" i="9"/>
  <c r="I113" i="9" s="1"/>
  <c r="E2" i="33"/>
  <c r="E2" i="21"/>
  <c r="E2" i="36"/>
  <c r="D20" i="57"/>
  <c r="E2" i="11"/>
  <c r="D7" i="61"/>
  <c r="F6" i="61"/>
  <c r="D4" i="61"/>
  <c r="F3" i="61"/>
  <c r="H23" i="31"/>
  <c r="F5" i="61"/>
  <c r="D5" i="61"/>
  <c r="E2" i="37"/>
  <c r="C20" i="57"/>
  <c r="E2" i="35"/>
  <c r="D3" i="61"/>
  <c r="D19" i="57"/>
  <c r="D6" i="61"/>
  <c r="E2" i="34"/>
  <c r="F4" i="61"/>
  <c r="C19" i="57"/>
  <c r="F7" i="61"/>
  <c r="C18" i="9" l="1"/>
  <c r="D18" i="9" s="1"/>
  <c r="C5" i="11"/>
  <c r="D93" i="9"/>
  <c r="D78" i="9"/>
  <c r="D80" i="57"/>
  <c r="C14" i="12"/>
  <c r="C37" i="11"/>
  <c r="F18" i="1"/>
  <c r="C11" i="12" s="1"/>
  <c r="C15" i="12" s="1"/>
  <c r="D20" i="1"/>
  <c r="F19" i="1"/>
  <c r="A132" i="9"/>
  <c r="F117" i="9"/>
  <c r="C116" i="9"/>
  <c r="H114" i="9" s="1"/>
  <c r="C120" i="57"/>
  <c r="H116" i="57" s="1"/>
  <c r="F33" i="9"/>
  <c r="D36" i="57"/>
  <c r="D42" i="50"/>
  <c r="D43" i="50" s="1"/>
  <c r="G125" i="57"/>
  <c r="N46" i="9"/>
  <c r="C7" i="33"/>
  <c r="C58" i="33" s="1"/>
  <c r="D58" i="33" s="1"/>
  <c r="E58" i="33" s="1"/>
  <c r="F58" i="33" s="1"/>
  <c r="G58" i="33" s="1"/>
  <c r="H58" i="33" s="1"/>
  <c r="I58" i="33" s="1"/>
  <c r="J58" i="33" s="1"/>
  <c r="K58" i="33" s="1"/>
  <c r="L58" i="33" s="1"/>
  <c r="M58" i="33" s="1"/>
  <c r="N58" i="33" s="1"/>
  <c r="O58" i="33" s="1"/>
  <c r="N47" i="9"/>
  <c r="C7" i="40"/>
  <c r="C62" i="40" s="1"/>
  <c r="J52" i="15"/>
  <c r="M60" i="15" s="1"/>
  <c r="C7" i="34"/>
  <c r="C59" i="34" s="1"/>
  <c r="C7" i="39"/>
  <c r="C67" i="39" s="1"/>
  <c r="C69" i="39" s="1"/>
  <c r="C7" i="35"/>
  <c r="C48" i="35" s="1"/>
  <c r="D48" i="35" s="1"/>
  <c r="E48" i="35" s="1"/>
  <c r="F48" i="35" s="1"/>
  <c r="G48" i="35" s="1"/>
  <c r="H48" i="35" s="1"/>
  <c r="AA20" i="36"/>
  <c r="S20" i="36"/>
  <c r="D103" i="43"/>
  <c r="D105" i="43"/>
  <c r="D102" i="43"/>
  <c r="G105" i="43"/>
  <c r="G103" i="43"/>
  <c r="G104" i="43"/>
  <c r="I118" i="43"/>
  <c r="J118" i="43" s="1"/>
  <c r="K118" i="43" s="1"/>
  <c r="L118" i="43" s="1"/>
  <c r="M118" i="43" s="1"/>
  <c r="B116" i="43"/>
  <c r="C116" i="43" s="1"/>
  <c r="B115" i="43"/>
  <c r="C115" i="43" s="1"/>
  <c r="D115" i="43"/>
  <c r="E115" i="43" s="1"/>
  <c r="F115" i="43" s="1"/>
  <c r="G115" i="43" s="1"/>
  <c r="H115" i="43" s="1"/>
  <c r="D116" i="43"/>
  <c r="E116" i="43" s="1"/>
  <c r="F116" i="43" s="1"/>
  <c r="G116" i="43" s="1"/>
  <c r="H116" i="43" s="1"/>
  <c r="U23" i="21"/>
  <c r="AB23" i="21"/>
  <c r="W33" i="34"/>
  <c r="AC33" i="34"/>
  <c r="AA35" i="34"/>
  <c r="S35" i="34"/>
  <c r="U19" i="34"/>
  <c r="AB19" i="34"/>
  <c r="W31" i="34"/>
  <c r="AC31" i="34"/>
  <c r="C20" i="59"/>
  <c r="T21" i="59"/>
  <c r="D21" i="59"/>
  <c r="D117" i="43"/>
  <c r="E117" i="43" s="1"/>
  <c r="F117" i="43" s="1"/>
  <c r="G117" i="43" s="1"/>
  <c r="H117" i="43" s="1"/>
  <c r="AB23" i="39"/>
  <c r="U23" i="39"/>
  <c r="AB32" i="33"/>
  <c r="U32" i="33"/>
  <c r="U31" i="37"/>
  <c r="AA23" i="39"/>
  <c r="S23" i="39"/>
  <c r="W28" i="34"/>
  <c r="AC28" i="34"/>
  <c r="AB26" i="37"/>
  <c r="U26" i="37"/>
  <c r="AB40" i="21"/>
  <c r="U40" i="21"/>
  <c r="S32" i="21"/>
  <c r="AA32" i="21"/>
  <c r="AA40" i="37"/>
  <c r="S40" i="37"/>
  <c r="AC14" i="36"/>
  <c r="W14" i="36"/>
  <c r="S33" i="34"/>
  <c r="AA33" i="34"/>
  <c r="U37" i="39"/>
  <c r="AB37" i="39"/>
  <c r="U13" i="39"/>
  <c r="AB13" i="39"/>
  <c r="AA13" i="40"/>
  <c r="S13" i="40"/>
  <c r="AB33" i="40"/>
  <c r="U33" i="40"/>
  <c r="AA47" i="34"/>
  <c r="S47" i="34"/>
  <c r="AB31" i="34"/>
  <c r="U31" i="34"/>
  <c r="W13" i="34"/>
  <c r="AC13" i="34"/>
  <c r="AC44" i="33"/>
  <c r="W44" i="33"/>
  <c r="AA14" i="33"/>
  <c r="S14" i="33"/>
  <c r="AB36" i="37"/>
  <c r="U36" i="37"/>
  <c r="AA11" i="36"/>
  <c r="S11" i="36"/>
  <c r="AC33" i="35"/>
  <c r="W33" i="35"/>
  <c r="U28" i="33"/>
  <c r="AB28" i="33"/>
  <c r="S29" i="35"/>
  <c r="AA29" i="35"/>
  <c r="AC23" i="33"/>
  <c r="W23" i="33"/>
  <c r="S36" i="33"/>
  <c r="AA36" i="33"/>
  <c r="AB10" i="34"/>
  <c r="U10" i="34"/>
  <c r="H85" i="43"/>
  <c r="H84" i="43"/>
  <c r="H87" i="43"/>
  <c r="H81" i="43"/>
  <c r="H86" i="43"/>
  <c r="AC10" i="36"/>
  <c r="W10" i="36"/>
  <c r="AB38" i="37"/>
  <c r="U38" i="37"/>
  <c r="S25" i="36"/>
  <c r="AA25" i="36"/>
  <c r="AC35" i="35"/>
  <c r="W35" i="35"/>
  <c r="S13" i="35"/>
  <c r="AA13" i="35"/>
  <c r="U45" i="34"/>
  <c r="AB45" i="34"/>
  <c r="AC29" i="34"/>
  <c r="W29" i="34"/>
  <c r="W46" i="33"/>
  <c r="AC46" i="33"/>
  <c r="AB30" i="33"/>
  <c r="U30" i="33"/>
  <c r="W31" i="33"/>
  <c r="AC31" i="33"/>
  <c r="AA28" i="21"/>
  <c r="S28" i="21"/>
  <c r="S14" i="21"/>
  <c r="AA14" i="21"/>
  <c r="AB13" i="34"/>
  <c r="U13" i="34"/>
  <c r="AB35" i="37"/>
  <c r="U35" i="37"/>
  <c r="AC25" i="35"/>
  <c r="E48" i="43"/>
  <c r="B46" i="43" s="1"/>
  <c r="AC17" i="34"/>
  <c r="W17" i="34"/>
  <c r="U24" i="36"/>
  <c r="AB24" i="36"/>
  <c r="W39" i="34"/>
  <c r="AC39" i="34"/>
  <c r="AC40" i="34"/>
  <c r="W40" i="34"/>
  <c r="AA23" i="21"/>
  <c r="S23" i="21"/>
  <c r="W9" i="37"/>
  <c r="AC9" i="37"/>
  <c r="U32" i="36"/>
  <c r="S38" i="37"/>
  <c r="AA38" i="37"/>
  <c r="AC28" i="37"/>
  <c r="W28" i="37"/>
  <c r="U13" i="37"/>
  <c r="AB13" i="37"/>
  <c r="AB35" i="35"/>
  <c r="U35" i="35"/>
  <c r="S45" i="34"/>
  <c r="AA45" i="34"/>
  <c r="U29" i="34"/>
  <c r="AB29" i="34"/>
  <c r="AB46" i="33"/>
  <c r="U46" i="33"/>
  <c r="W14" i="34"/>
  <c r="AC14" i="34"/>
  <c r="AA31" i="33"/>
  <c r="S31" i="33"/>
  <c r="U29" i="33"/>
  <c r="AB29" i="33"/>
  <c r="U46" i="21"/>
  <c r="AB46" i="21"/>
  <c r="AC44" i="21"/>
  <c r="W44" i="21"/>
  <c r="AA17" i="33"/>
  <c r="S17" i="33"/>
  <c r="AA22" i="35"/>
  <c r="S22" i="35"/>
  <c r="AC45" i="33"/>
  <c r="W39" i="33"/>
  <c r="AB33" i="37"/>
  <c r="U33" i="37"/>
  <c r="E81" i="43"/>
  <c r="B79" i="43" s="1"/>
  <c r="U34" i="21"/>
  <c r="AB34" i="21"/>
  <c r="S12" i="39"/>
  <c r="AA12" i="39"/>
  <c r="AC17" i="21"/>
  <c r="W17" i="21"/>
  <c r="W25" i="39"/>
  <c r="AC25" i="39"/>
  <c r="B24" i="59"/>
  <c r="B23" i="59" s="1"/>
  <c r="B22" i="59" s="1"/>
  <c r="B21" i="59" s="1"/>
  <c r="S33" i="37"/>
  <c r="AB47" i="34"/>
  <c r="AC13" i="37"/>
  <c r="AA32" i="39"/>
  <c r="B117" i="43"/>
  <c r="C117" i="43" s="1"/>
  <c r="L104" i="43"/>
  <c r="D11" i="50"/>
  <c r="B25" i="60" s="1"/>
  <c r="B23" i="60"/>
  <c r="W27" i="33"/>
  <c r="AC27" i="33"/>
  <c r="AB27" i="36"/>
  <c r="U27" i="36"/>
  <c r="U41" i="33"/>
  <c r="AB41" i="33"/>
  <c r="U29" i="21"/>
  <c r="AB29" i="21"/>
  <c r="AB27" i="21"/>
  <c r="U27" i="21"/>
  <c r="AB46" i="34"/>
  <c r="AC15" i="21"/>
  <c r="S27" i="34"/>
  <c r="AA27" i="34"/>
  <c r="AC32" i="39"/>
  <c r="W32" i="39"/>
  <c r="F26" i="47"/>
  <c r="B24" i="47" s="1"/>
  <c r="AB14" i="33"/>
  <c r="W14" i="40"/>
  <c r="AC14" i="40"/>
  <c r="U13" i="40"/>
  <c r="AB13" i="40"/>
  <c r="W14" i="39"/>
  <c r="AC14" i="39"/>
  <c r="W13" i="36"/>
  <c r="AC13" i="36"/>
  <c r="W11" i="36"/>
  <c r="AC11" i="36"/>
  <c r="W26" i="36"/>
  <c r="AC26" i="36"/>
  <c r="S32" i="34"/>
  <c r="AA32" i="34"/>
  <c r="U20" i="35"/>
  <c r="AB20" i="35"/>
  <c r="AC10" i="33"/>
  <c r="W10" i="33"/>
  <c r="U8" i="36"/>
  <c r="AB8" i="36"/>
  <c r="J9" i="36"/>
  <c r="H9" i="36"/>
  <c r="F9" i="36"/>
  <c r="D33" i="59"/>
  <c r="T33" i="59"/>
  <c r="Q67" i="59"/>
  <c r="Q66" i="59"/>
  <c r="E16" i="59"/>
  <c r="E15" i="59" s="1"/>
  <c r="E14" i="59" s="1"/>
  <c r="E13" i="59" s="1"/>
  <c r="U17" i="59"/>
  <c r="D39" i="50"/>
  <c r="D40" i="50" s="1"/>
  <c r="I14" i="62"/>
  <c r="B8" i="62" s="1"/>
  <c r="D8" i="62" s="1"/>
  <c r="U12" i="21"/>
  <c r="AA43" i="21"/>
  <c r="W34" i="21"/>
  <c r="AC32" i="21"/>
  <c r="W11" i="37"/>
  <c r="W35" i="39"/>
  <c r="S27" i="36"/>
  <c r="U45" i="21"/>
  <c r="W32" i="33"/>
  <c r="AA27" i="33"/>
  <c r="S40" i="21"/>
  <c r="AA24" i="36"/>
  <c r="AA31" i="21"/>
  <c r="AC29" i="21"/>
  <c r="U13" i="21"/>
  <c r="AC13" i="39"/>
  <c r="W38" i="37"/>
  <c r="AA46" i="33"/>
  <c r="U37" i="37"/>
  <c r="U45" i="33"/>
  <c r="U39" i="39"/>
  <c r="AB39" i="39"/>
  <c r="U12" i="33"/>
  <c r="AB12" i="33"/>
  <c r="W21" i="34"/>
  <c r="S10" i="34"/>
  <c r="H25" i="35"/>
  <c r="J47" i="34"/>
  <c r="F31" i="34"/>
  <c r="F13" i="34"/>
  <c r="F44" i="33"/>
  <c r="J14" i="33"/>
  <c r="AB15" i="34"/>
  <c r="U15" i="34"/>
  <c r="AA27" i="35"/>
  <c r="S27" i="35"/>
  <c r="J39" i="40"/>
  <c r="F39" i="40"/>
  <c r="AA39" i="40" s="1"/>
  <c r="F16" i="59"/>
  <c r="F15" i="59" s="1"/>
  <c r="F14" i="59" s="1"/>
  <c r="F13" i="59" s="1"/>
  <c r="V17" i="59"/>
  <c r="V21" i="59"/>
  <c r="U21" i="59"/>
  <c r="C110" i="57"/>
  <c r="H104" i="57" s="1"/>
  <c r="H36" i="35"/>
  <c r="J36" i="35"/>
  <c r="AA31" i="35"/>
  <c r="S31" i="35"/>
  <c r="AC38" i="21"/>
  <c r="J12" i="21"/>
  <c r="F12" i="21"/>
  <c r="H23" i="36"/>
  <c r="J23" i="36"/>
  <c r="V29" i="59"/>
  <c r="F28" i="59"/>
  <c r="F27" i="59" s="1"/>
  <c r="M19" i="43"/>
  <c r="U41" i="59"/>
  <c r="C56" i="59"/>
  <c r="D55" i="59"/>
  <c r="D41" i="59"/>
  <c r="T41" i="59"/>
  <c r="D59" i="59"/>
  <c r="C60" i="59"/>
  <c r="N100" i="43"/>
  <c r="F100" i="43"/>
  <c r="S21" i="21"/>
  <c r="S21" i="37"/>
  <c r="AA18" i="35"/>
  <c r="B66" i="43"/>
  <c r="D67" i="59"/>
  <c r="D80" i="59"/>
  <c r="AA28" i="59"/>
  <c r="AB28" i="59"/>
  <c r="C44" i="59"/>
  <c r="Y28" i="59"/>
  <c r="Z28" i="59" s="1"/>
  <c r="Y30" i="59"/>
  <c r="Z30" i="59" s="1"/>
  <c r="AB30" i="59"/>
  <c r="Y31" i="59"/>
  <c r="Z31" i="59" s="1"/>
  <c r="Y33" i="59"/>
  <c r="Z33" i="59" s="1"/>
  <c r="AA35" i="59"/>
  <c r="AA36" i="59"/>
  <c r="AA37" i="59"/>
  <c r="AA39" i="59"/>
  <c r="AB7" i="59"/>
  <c r="AB8" i="59"/>
  <c r="AB5" i="59"/>
  <c r="AB6" i="59"/>
  <c r="AB10" i="59"/>
  <c r="AB9" i="59"/>
  <c r="AB40" i="59"/>
  <c r="AB11" i="59"/>
  <c r="B44" i="59"/>
  <c r="B45" i="59" s="1"/>
  <c r="S45" i="59" s="1"/>
  <c r="V69" i="59"/>
  <c r="F80" i="59"/>
  <c r="F79" i="59" s="1"/>
  <c r="V81" i="59"/>
  <c r="AA30" i="59"/>
  <c r="X25" i="59"/>
  <c r="X23" i="59"/>
  <c r="X22" i="59"/>
  <c r="Y18" i="59"/>
  <c r="Z18" i="59" s="1"/>
  <c r="Y19" i="59"/>
  <c r="Z19" i="59" s="1"/>
  <c r="Y20" i="59"/>
  <c r="Z20" i="59" s="1"/>
  <c r="Y13" i="59"/>
  <c r="Z13" i="59" s="1"/>
  <c r="I4" i="47"/>
  <c r="L100" i="43"/>
  <c r="D100" i="43"/>
  <c r="B75" i="43"/>
  <c r="X38" i="59"/>
  <c r="B39" i="59"/>
  <c r="B40" i="59" s="1"/>
  <c r="B41" i="59" s="1"/>
  <c r="S41" i="59" s="1"/>
  <c r="X27" i="59"/>
  <c r="X26" i="59"/>
  <c r="Y25" i="59"/>
  <c r="Z25" i="59" s="1"/>
  <c r="Y24" i="59"/>
  <c r="Z24" i="59" s="1"/>
  <c r="J100" i="43"/>
  <c r="C29" i="39"/>
  <c r="C25" i="40"/>
  <c r="C75" i="59"/>
  <c r="D75" i="59" s="1"/>
  <c r="X28" i="59"/>
  <c r="X30" i="59"/>
  <c r="B31" i="59"/>
  <c r="B32" i="59" s="1"/>
  <c r="B33" i="59" s="1"/>
  <c r="S33" i="59" s="1"/>
  <c r="AB32" i="59"/>
  <c r="X34" i="59"/>
  <c r="X35" i="59"/>
  <c r="X36" i="59"/>
  <c r="Y9" i="59"/>
  <c r="Z9" i="59" s="1"/>
  <c r="P68" i="59"/>
  <c r="AA38" i="59"/>
  <c r="AB22" i="59"/>
  <c r="AA18" i="59"/>
  <c r="Y15" i="59"/>
  <c r="Z15" i="59" s="1"/>
  <c r="AB17" i="59"/>
  <c r="AB18" i="59"/>
  <c r="AB12" i="59"/>
  <c r="X29" i="59"/>
  <c r="Y26" i="59"/>
  <c r="Z26" i="59" s="1"/>
  <c r="Y29" i="59"/>
  <c r="Z29" i="59" s="1"/>
  <c r="Y34" i="59"/>
  <c r="Z34" i="59" s="1"/>
  <c r="C35" i="59"/>
  <c r="AB38" i="59"/>
  <c r="AA8" i="59"/>
  <c r="AA6" i="59"/>
  <c r="AA7" i="59"/>
  <c r="AA5" i="59"/>
  <c r="AA9" i="59"/>
  <c r="AA11" i="59"/>
  <c r="AA40" i="59"/>
  <c r="F64" i="59"/>
  <c r="F65" i="59" s="1"/>
  <c r="V65" i="59" s="1"/>
  <c r="AB37" i="59"/>
  <c r="AA25" i="59"/>
  <c r="Y22" i="59"/>
  <c r="Z22" i="59" s="1"/>
  <c r="AA20" i="59"/>
  <c r="X18" i="59"/>
  <c r="AB13" i="59"/>
  <c r="AB15" i="59"/>
  <c r="AA13" i="59"/>
  <c r="X6" i="59"/>
  <c r="X7" i="59"/>
  <c r="X5" i="59"/>
  <c r="X8" i="59"/>
  <c r="X12" i="59"/>
  <c r="X9" i="59"/>
  <c r="P69" i="59"/>
  <c r="AC10" i="43"/>
  <c r="AE12" i="43"/>
  <c r="AE13" i="43" s="1"/>
  <c r="AA22" i="59"/>
  <c r="X16" i="59"/>
  <c r="AA16" i="59"/>
  <c r="Y11" i="59"/>
  <c r="Z11" i="59" s="1"/>
  <c r="X10" i="59"/>
  <c r="AA12" i="59"/>
  <c r="AB34" i="59"/>
  <c r="V25" i="59"/>
  <c r="Y16" i="59"/>
  <c r="Z16" i="59" s="1"/>
  <c r="X13" i="59"/>
  <c r="X15" i="59"/>
  <c r="X40" i="59"/>
  <c r="Y8" i="59"/>
  <c r="Z8" i="59" s="1"/>
  <c r="Y6" i="59"/>
  <c r="Z6" i="59" s="1"/>
  <c r="Y7" i="59"/>
  <c r="Z7" i="59" s="1"/>
  <c r="Y5" i="59"/>
  <c r="Z5" i="59" s="1"/>
  <c r="Y12" i="59"/>
  <c r="Z12" i="59" s="1"/>
  <c r="F72" i="59"/>
  <c r="F71" i="59" s="1"/>
  <c r="AB16" i="59"/>
  <c r="AB14" i="59"/>
  <c r="Y10" i="59"/>
  <c r="Z10" i="59" s="1"/>
  <c r="Y14" i="59"/>
  <c r="Z14" i="59" s="1"/>
  <c r="X11" i="59"/>
  <c r="AA14" i="59"/>
  <c r="AA15" i="59"/>
  <c r="U15" i="40"/>
  <c r="W32" i="40"/>
  <c r="AC32" i="40"/>
  <c r="AA32" i="40"/>
  <c r="S12" i="40"/>
  <c r="AC27"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E58" i="21"/>
  <c r="H72" i="43"/>
  <c r="H74" i="43"/>
  <c r="H77" i="43"/>
  <c r="F102" i="43"/>
  <c r="F107" i="43"/>
  <c r="J103" i="43"/>
  <c r="J109" i="43"/>
  <c r="M103" i="43"/>
  <c r="M105" i="43"/>
  <c r="E22" i="43"/>
  <c r="D22" i="43" s="1"/>
  <c r="C21" i="43" s="1"/>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D19" i="50" l="1"/>
  <c r="B32" i="60" s="1"/>
  <c r="C8" i="62"/>
  <c r="N60" i="15"/>
  <c r="D69" i="39"/>
  <c r="D60" i="59"/>
  <c r="C61" i="59"/>
  <c r="AA13" i="34"/>
  <c r="S13" i="34"/>
  <c r="AB9" i="36"/>
  <c r="U9" i="36"/>
  <c r="B20" i="59"/>
  <c r="B19" i="59" s="1"/>
  <c r="B18" i="59" s="1"/>
  <c r="B17" i="59" s="1"/>
  <c r="S21" i="59"/>
  <c r="C19" i="59"/>
  <c r="D20" i="59"/>
  <c r="F7" i="37"/>
  <c r="S7" i="37" s="1"/>
  <c r="D35" i="59"/>
  <c r="C36" i="59"/>
  <c r="C45" i="59"/>
  <c r="D44" i="59"/>
  <c r="C57" i="59"/>
  <c r="D56" i="59"/>
  <c r="AC12" i="21"/>
  <c r="W12" i="21"/>
  <c r="AC36" i="35"/>
  <c r="W36" i="35"/>
  <c r="AC39" i="40"/>
  <c r="W39" i="40"/>
  <c r="AA31" i="34"/>
  <c r="S31" i="34"/>
  <c r="AC9" i="36"/>
  <c r="W9" i="36"/>
  <c r="AA12" i="21"/>
  <c r="S12" i="21"/>
  <c r="J7" i="37"/>
  <c r="W7" i="37" s="1"/>
  <c r="W23" i="36"/>
  <c r="AC23" i="36"/>
  <c r="AB36" i="35"/>
  <c r="U36" i="35"/>
  <c r="W14" i="33"/>
  <c r="AC14" i="33"/>
  <c r="AC47" i="34"/>
  <c r="W47" i="34"/>
  <c r="H7" i="37"/>
  <c r="AB7" i="37" s="1"/>
  <c r="T42" i="37" s="1"/>
  <c r="G42" i="37" s="1"/>
  <c r="G46" i="37" s="1"/>
  <c r="H46" i="37" s="1"/>
  <c r="S39" i="40"/>
  <c r="AB23" i="36"/>
  <c r="U23" i="36"/>
  <c r="S44" i="33"/>
  <c r="AA44" i="33"/>
  <c r="U25" i="35"/>
  <c r="AB25" i="35"/>
  <c r="AA9" i="36"/>
  <c r="S9" i="36"/>
  <c r="F69" i="39"/>
  <c r="C7" i="43"/>
  <c r="U9" i="59"/>
  <c r="E8" i="59"/>
  <c r="V9" i="59"/>
  <c r="F8"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W7" i="35"/>
  <c r="D57" i="59"/>
  <c r="T57" i="59"/>
  <c r="B16" i="59"/>
  <c r="B15" i="59" s="1"/>
  <c r="B14" i="59" s="1"/>
  <c r="B13" i="59" s="1"/>
  <c r="S17" i="59"/>
  <c r="T45" i="59"/>
  <c r="D45" i="59"/>
  <c r="T61" i="59"/>
  <c r="D61" i="59"/>
  <c r="J7" i="36"/>
  <c r="W7" i="36" s="1"/>
  <c r="U7" i="37"/>
  <c r="C37" i="59"/>
  <c r="D36" i="59"/>
  <c r="C18" i="59"/>
  <c r="D19" i="59"/>
  <c r="F7"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37" i="59" l="1"/>
  <c r="D37" i="59"/>
  <c r="B12" i="59"/>
  <c r="B11" i="59" s="1"/>
  <c r="B10" i="59" s="1"/>
  <c r="B9" i="59" s="1"/>
  <c r="S13" i="59"/>
  <c r="U7" i="36"/>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S9" i="59"/>
  <c r="B8" i="59"/>
  <c r="B7" i="59" s="1"/>
  <c r="B6" i="59" s="1"/>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D15" i="59"/>
  <c r="C14"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20" i="9"/>
  <c r="C19" i="9"/>
  <c r="C101" i="9" l="1"/>
  <c r="C102" i="9"/>
  <c r="C98" i="57"/>
  <c r="E98" i="57" s="1"/>
  <c r="E99" i="57" s="1"/>
  <c r="D14" i="59"/>
  <c r="C13" i="59"/>
  <c r="N71" i="57"/>
  <c r="O71" i="57" s="1"/>
  <c r="O61" i="57"/>
  <c r="O60" i="57"/>
  <c r="Q59" i="57"/>
  <c r="J64" i="40"/>
  <c r="K62" i="40"/>
  <c r="N69" i="39"/>
  <c r="O67" i="39"/>
  <c r="O69" i="39" s="1"/>
  <c r="G53" i="21"/>
  <c r="H53" i="21" s="1"/>
  <c r="G52" i="21"/>
  <c r="H52" i="21" s="1"/>
  <c r="K59" i="34"/>
  <c r="R49" i="21"/>
  <c r="E48" i="21"/>
  <c r="I53" i="21" s="1"/>
  <c r="J53" i="21" s="1"/>
  <c r="I52" i="21"/>
  <c r="J52"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O17" i="9" l="1"/>
  <c r="N19" i="9" s="1"/>
  <c r="D101" i="9"/>
  <c r="D22" i="9"/>
  <c r="G19" i="9"/>
  <c r="D102" i="9"/>
  <c r="G20" i="9"/>
  <c r="C32" i="9" s="1"/>
  <c r="C35" i="9" s="1"/>
  <c r="C34" i="9" s="1"/>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D8" i="59" l="1"/>
  <c r="C7" i="59"/>
  <c r="AC7" i="40"/>
  <c r="V42" i="40" s="1"/>
  <c r="I42" i="40" s="1"/>
  <c r="I46" i="40" s="1"/>
  <c r="J46" i="40" s="1"/>
  <c r="W7" i="40"/>
  <c r="S7" i="40"/>
  <c r="AA7" i="40"/>
  <c r="R42" i="40" s="1"/>
  <c r="R43" i="40" s="1"/>
  <c r="AB7" i="40"/>
  <c r="T42" i="40" s="1"/>
  <c r="G42" i="40" s="1"/>
  <c r="G46" i="40" s="1"/>
  <c r="H46" i="40" s="1"/>
  <c r="U7" i="40"/>
  <c r="D7" i="59" l="1"/>
  <c r="C6" i="59"/>
  <c r="G47" i="40"/>
  <c r="H47" i="40" s="1"/>
  <c r="E42" i="40"/>
  <c r="D6" i="59" l="1"/>
  <c r="C5" i="59"/>
  <c r="I47" i="40"/>
  <c r="J47" i="40" s="1"/>
  <c r="E47" i="40"/>
  <c r="F47" i="40" s="1"/>
  <c r="E46" i="40"/>
  <c r="F46" i="40" s="1"/>
  <c r="C43" i="40"/>
  <c r="C42" i="40"/>
  <c r="M20" i="43" l="1"/>
  <c r="T5" i="59"/>
  <c r="D5" i="59"/>
  <c r="B57" i="40"/>
  <c r="F57" i="40" s="1"/>
  <c r="B54" i="40"/>
  <c r="F54" i="40" s="1"/>
  <c r="B56" i="40"/>
  <c r="F56" i="40" s="1"/>
  <c r="B53" i="40"/>
  <c r="F53" i="40" s="1"/>
  <c r="B58" i="40"/>
  <c r="F58" i="40" s="1"/>
  <c r="B52" i="40"/>
  <c r="F52" i="40" s="1"/>
  <c r="B55" i="40"/>
  <c r="F55" i="40" s="1"/>
  <c r="B51" i="40"/>
  <c r="F51" i="40" s="1"/>
  <c r="F60" i="40" s="1"/>
  <c r="B2" i="40" s="1"/>
  <c r="B3" i="40" s="1"/>
  <c r="B59" i="40"/>
  <c r="F59" i="40" s="1"/>
  <c r="M68" i="9"/>
  <c r="N68" i="9" s="1"/>
  <c r="N49" i="9"/>
  <c r="M65" i="9" s="1"/>
  <c r="N65" i="9" s="1"/>
  <c r="M63" i="9" l="1"/>
  <c r="N63" i="9" s="1"/>
  <c r="N69" i="9" s="1"/>
  <c r="O69" i="9" s="1"/>
  <c r="M66" i="9"/>
  <c r="N66" i="9" s="1"/>
  <c r="M67" i="9"/>
  <c r="N67" i="9" s="1"/>
  <c r="M64" i="9"/>
  <c r="N64" i="9" s="1"/>
  <c r="G121" i="9"/>
  <c r="E121" i="9"/>
  <c r="I121" i="9"/>
  <c r="D121" i="9" l="1"/>
  <c r="E4" i="52"/>
  <c r="B38" i="60" s="1"/>
  <c r="F121" i="9"/>
  <c r="G4" i="52"/>
  <c r="B41" i="60" s="1"/>
  <c r="C104" i="9"/>
  <c r="I4" i="52"/>
  <c r="H121" i="9"/>
  <c r="D107" i="9"/>
  <c r="I103" i="9"/>
  <c r="F122" i="9" l="1"/>
  <c r="F5" i="52" s="1"/>
  <c r="B42" i="60" s="1"/>
  <c r="F4" i="52"/>
  <c r="B40" i="60" s="1"/>
  <c r="C103" i="9"/>
  <c r="H4" i="52"/>
  <c r="D9" i="50"/>
  <c r="B21" i="60" s="1"/>
  <c r="D30" i="50"/>
  <c r="D122" i="9"/>
  <c r="D5" i="52" s="1"/>
  <c r="B39" i="60" s="1"/>
  <c r="D4" i="52"/>
  <c r="B37" i="60" s="1"/>
  <c r="D14" i="62"/>
  <c r="B5" i="62" s="1"/>
  <c r="D106" i="9"/>
  <c r="D112" i="9" s="1"/>
  <c r="D113" i="9" s="1"/>
  <c r="I102" i="9"/>
  <c r="H122" i="9"/>
  <c r="H5" i="52" s="1"/>
  <c r="E14" i="62" l="1"/>
  <c r="I110" i="9"/>
  <c r="D7" i="50"/>
  <c r="D28" i="50"/>
  <c r="D29" i="50" s="1"/>
  <c r="I111" i="9"/>
  <c r="D38" i="50"/>
  <c r="B62" i="60" s="1"/>
  <c r="D45" i="9"/>
  <c r="C78" i="9" s="1"/>
  <c r="C73" i="9" s="1"/>
  <c r="F14" i="62"/>
  <c r="N48" i="9"/>
  <c r="D117" i="9"/>
  <c r="C5" i="62"/>
  <c r="D5" i="62"/>
  <c r="C72" i="9" l="1"/>
  <c r="C79" i="9" s="1"/>
  <c r="C80" i="9" s="1"/>
  <c r="E80" i="9" s="1"/>
  <c r="E81" i="9" s="1"/>
  <c r="C64" i="9"/>
  <c r="C63" i="9" s="1"/>
  <c r="C67" i="9" s="1"/>
  <c r="C68" i="9" s="1"/>
  <c r="D54" i="9" s="1"/>
  <c r="C85" i="9"/>
  <c r="D53" i="9"/>
  <c r="D48" i="9" s="1"/>
  <c r="N52" i="9" s="1"/>
  <c r="O57" i="9" s="1"/>
  <c r="Q57" i="9" s="1"/>
  <c r="D52" i="9"/>
  <c r="C93" i="9"/>
  <c r="C86" i="9" s="1"/>
  <c r="D8" i="50"/>
  <c r="B22" i="60" s="1"/>
  <c r="B19" i="60"/>
  <c r="D126" i="9"/>
  <c r="D9" i="52" s="1"/>
  <c r="D17" i="50"/>
  <c r="I115" i="9"/>
  <c r="D23" i="50" s="1"/>
  <c r="B34" i="60" s="1"/>
  <c r="D44" i="50"/>
  <c r="D125" i="9"/>
  <c r="D36" i="50"/>
  <c r="D37" i="50" s="1"/>
  <c r="D15" i="50"/>
  <c r="C95" i="9" l="1"/>
  <c r="C96" i="9" s="1"/>
  <c r="E96" i="9" s="1"/>
  <c r="E97" i="9" s="1"/>
  <c r="O58" i="9"/>
  <c r="O59" i="9"/>
  <c r="O61" i="9" s="1"/>
  <c r="C81" i="9"/>
  <c r="G14" i="62"/>
  <c r="B6" i="62" s="1"/>
  <c r="D8" i="52"/>
  <c r="B29" i="60"/>
  <c r="D16" i="50"/>
  <c r="B30" i="60" s="1"/>
  <c r="C97" i="9"/>
  <c r="D58" i="9" s="1"/>
  <c r="O60" i="9" l="1"/>
  <c r="D6" i="62"/>
  <c r="C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<sst xmlns="http://schemas.openxmlformats.org/spreadsheetml/2006/main" count="6905" uniqueCount="3045">
  <si>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</si>
  <si>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</si>
  <si>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</si>
  <si>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</si>
  <si>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</si>
  <si>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</si>
  <si>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</si>
  <si>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</si>
  <si>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</si>
  <si>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</si>
  <si>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</si>
  <si>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</si>
  <si>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</si>
  <si>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</si>
  <si>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</si>
  <si>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</si>
  <si>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</si>
  <si>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</si>
  <si>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</si>
  <si>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</si>
  <si>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</si>
  <si>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</si>
  <si>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</si>
  <si>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</si>
  <si>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</si>
  <si>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</si>
  <si>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</si>
  <si>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</si>
  <si>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</si>
  <si>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</si>
  <si>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</si>
  <si>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</si>
  <si>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</si>
  <si>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</si>
  <si>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</si>
  <si>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</si>
  <si>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</si>
  <si>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</si>
  <si>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</si>
  <si>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</si>
  <si>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</si>
  <si>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</si>
  <si>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</si>
  <si>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</si>
  <si>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</si>
  <si>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</si>
  <si>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</si>
  <si>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</si>
  <si>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</si>
  <si>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</si>
  <si>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</si>
  <si>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</si>
  <si>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</si>
  <si>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</si>
  <si>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</si>
  <si>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</si>
  <si>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</si>
  <si>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</si>
  <si>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</si>
  <si>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</si>
  <si>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</si>
  <si>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</si>
  <si>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</si>
  <si>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</si>
  <si>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</si>
  <si>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</si>
  <si>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</si>
  <si>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</si>
  <si>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</si>
  <si>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</si>
  <si>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</si>
  <si>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</si>
  <si>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</si>
  <si>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</si>
  <si>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</si>
  <si>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</si>
  <si>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</si>
  <si>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</si>
  <si>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</si>
  <si>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</si>
  <si>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</si>
  <si>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</si>
  <si>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</si>
  <si>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</si>
  <si>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</si>
  <si>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</si>
  <si>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</si>
  <si>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</si>
  <si>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</si>
  <si>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</si>
  <si>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</si>
  <si>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</si>
  <si>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</si>
  <si>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</si>
  <si>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</si>
  <si>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</si>
  <si>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</si>
  <si>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</si>
  <si>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</si>
  <si>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</si>
  <si>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</si>
  <si>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</si>
  <si>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</si>
  <si>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</si>
  <si>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</si>
  <si>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</si>
  <si>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</si>
  <si>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</si>
  <si>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</si>
  <si>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</si>
  <si>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</si>
  <si>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</si>
  <si>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</si>
  <si>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</si>
  <si>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</si>
  <si>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</si>
  <si>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</si>
  <si>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</si>
  <si>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</si>
  <si>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</si>
  <si>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</si>
  <si>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</si>
  <si>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</si>
  <si>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</si>
  <si>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</si>
  <si>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</si>
  <si>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</si>
  <si>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</si>
  <si>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</si>
  <si>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</si>
  <si>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</si>
  <si>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</si>
  <si>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</si>
  <si>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</si>
  <si>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</si>
  <si>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</si>
  <si>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</si>
  <si>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</si>
  <si>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</si>
  <si>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</si>
  <si>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</si>
  <si>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</si>
  <si>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</si>
  <si>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</si>
  <si>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</si>
  <si>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</si>
  <si>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</si>
  <si>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</si>
  <si>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</si>
  <si>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</si>
  <si>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</si>
  <si>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</si>
  <si>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</si>
  <si>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</si>
  <si>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</si>
  <si>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</si>
  <si>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</si>
  <si>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</si>
  <si>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</si>
  <si>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</si>
  <si>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</si>
  <si>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</si>
  <si>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</si>
  <si>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</si>
  <si>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</si>
  <si>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</si>
  <si>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</si>
  <si>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</si>
  <si>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</si>
  <si>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</si>
  <si>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</si>
  <si>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</si>
  <si>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</si>
  <si>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</si>
  <si>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</si>
  <si>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</si>
  <si>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</si>
  <si>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</si>
  <si>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</si>
  <si>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</si>
  <si>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</si>
  <si>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</si>
  <si>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</si>
  <si>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</si>
  <si>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</si>
  <si>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</si>
  <si>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</si>
  <si>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</si>
  <si>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</si>
  <si>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</si>
  <si>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</si>
  <si>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</si>
  <si>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</si>
  <si>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</si>
  <si>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</si>
  <si>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</si>
  <si>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</si>
  <si>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</si>
  <si>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</si>
  <si>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</si>
  <si>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</si>
  <si>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</si>
  <si>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</si>
  <si>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</si>
  <si>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</si>
  <si>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</si>
  <si>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</si>
  <si>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</si>
  <si>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</si>
  <si>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</si>
  <si>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</si>
  <si>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</si>
  <si>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</si>
  <si>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</si>
  <si>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</si>
  <si>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</si>
  <si>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</si>
  <si>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</si>
  <si>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</si>
  <si>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</si>
  <si>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</si>
  <si>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</si>
  <si>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</si>
  <si>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</si>
  <si>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</si>
  <si>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</si>
  <si>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</si>
  <si>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</si>
  <si>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</si>
  <si>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</si>
  <si>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</si>
  <si>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</si>
  <si>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</si>
  <si>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</si>
  <si>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</si>
  <si>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</si>
  <si>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</si>
  <si>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</si>
  <si>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</si>
  <si>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</si>
  <si>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</si>
  <si>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</si>
  <si>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</si>
  <si>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</si>
  <si>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</si>
  <si>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</si>
  <si>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</si>
  <si>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</si>
  <si>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</si>
  <si>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</si>
  <si>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</si>
  <si>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</si>
  <si>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</si>
  <si>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</si>
  <si>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</si>
  <si>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</si>
  <si>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</si>
  <si>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</si>
  <si>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</si>
  <si>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</si>
  <si>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</si>
  <si>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</si>
  <si>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</si>
  <si>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</si>
  <si>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</si>
  <si>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</si>
  <si>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</si>
  <si>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</si>
  <si>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</si>
  <si>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</si>
  <si>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</si>
  <si>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</si>
  <si>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</si>
  <si>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</si>
  <si>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</si>
  <si>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</si>
  <si>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</si>
  <si>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</si>
  <si>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</si>
  <si>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</si>
  <si>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</si>
  <si>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</si>
  <si>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</si>
  <si>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</si>
  <si>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</si>
  <si>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</si>
  <si>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</si>
  <si>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</si>
  <si>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</si>
  <si>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</si>
  <si>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</si>
  <si>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</si>
  <si>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</si>
  <si>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</si>
  <si>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</si>
  <si>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</si>
  <si>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</si>
  <si>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</si>
  <si>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</si>
  <si>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</si>
  <si>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</si>
  <si>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</si>
  <si>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</si>
  <si>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</si>
  <si>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</si>
  <si>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</si>
  <si>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</si>
  <si>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</si>
  <si>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</si>
  <si>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</si>
  <si>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</si>
  <si>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</si>
  <si>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</si>
  <si>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</si>
  <si>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</si>
  <si>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</si>
  <si>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</si>
  <si>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</si>
  <si>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</si>
  <si>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</si>
  <si>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</si>
  <si>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</si>
  <si>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</si>
  <si>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</si>
  <si>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</si>
  <si>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</si>
  <si>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</si>
  <si>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</si>
  <si>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</si>
  <si>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</si>
  <si>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</si>
  <si>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</si>
  <si>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</si>
  <si>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</si>
  <si>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</si>
  <si>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</si>
  <si>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</si>
  <si>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</si>
  <si>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</si>
  <si>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</si>
  <si>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</si>
  <si>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</si>
  <si>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</si>
  <si>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</si>
  <si>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</si>
  <si>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</si>
  <si>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</si>
  <si>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</si>
  <si>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</si>
  <si>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</si>
  <si>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</si>
  <si>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</si>
  <si>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</si>
  <si>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</si>
  <si>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</si>
  <si>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</si>
  <si>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</si>
  <si>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</si>
  <si>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</si>
  <si>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</si>
  <si>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</si>
  <si>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</si>
  <si>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</si>
  <si>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</si>
  <si>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</si>
  <si>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</si>
  <si>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</si>
  <si>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</si>
  <si>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</si>
  <si>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</si>
  <si>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</si>
  <si>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</si>
  <si>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</si>
  <si>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</si>
  <si>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</si>
  <si>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</si>
  <si>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</si>
  <si>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</si>
  <si>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</si>
  <si>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</si>
  <si>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</si>
  <si>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</si>
  <si>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</si>
  <si>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</si>
  <si>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</si>
  <si>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</si>
  <si>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</si>
  <si>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</si>
  <si>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</si>
  <si>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</si>
  <si>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</si>
  <si>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</si>
  <si>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</si>
  <si>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</si>
  <si>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</si>
  <si>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</si>
  <si>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</si>
  <si>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</si>
  <si>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</si>
  <si>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</si>
  <si>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</si>
  <si>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</si>
  <si>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</si>
  <si>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</si>
  <si>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</si>
  <si>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</si>
  <si>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</si>
  <si>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</si>
  <si>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</si>
  <si>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</si>
  <si>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</si>
  <si>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</si>
  <si>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</si>
  <si>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</si>
  <si>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</si>
  <si>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</si>
  <si>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</si>
  <si>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</si>
  <si>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</si>
  <si>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</si>
  <si>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</si>
  <si>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</si>
  <si>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</si>
  <si>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</si>
  <si>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</si>
  <si>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</si>
  <si>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</si>
  <si>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</si>
  <si>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</si>
  <si>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</si>
  <si>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</si>
  <si>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</si>
  <si>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</si>
  <si>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</si>
  <si>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</si>
  <si>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</si>
  <si>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</si>
  <si>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</si>
  <si>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</si>
  <si>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</si>
  <si>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</si>
  <si>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</si>
  <si>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</si>
  <si>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</si>
  <si>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</si>
  <si>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</si>
  <si>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</si>
  <si>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</si>
  <si>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</si>
  <si>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</si>
  <si>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</si>
  <si>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</si>
  <si>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</si>
  <si>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</si>
  <si>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</si>
  <si>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</si>
  <si>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</si>
  <si>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</si>
  <si>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</si>
  <si>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</si>
  <si>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</si>
  <si>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</si>
  <si>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</si>
  <si>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</si>
  <si>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</si>
  <si>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</si>
  <si>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</si>
  <si>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</si>
  <si>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</si>
  <si>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</si>
  <si>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</si>
  <si>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</si>
  <si>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</si>
  <si>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</si>
  <si>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</si>
  <si>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</si>
  <si>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</si>
  <si>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</si>
  <si>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</si>
  <si>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</si>
  <si>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</si>
  <si>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</si>
  <si>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</si>
  <si>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</si>
  <si>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</si>
  <si>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</si>
  <si>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</si>
  <si>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</si>
  <si>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</si>
  <si>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</si>
  <si>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</si>
  <si>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</si>
  <si>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</si>
  <si>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</si>
  <si>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</si>
  <si>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</si>
  <si>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</si>
  <si>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</si>
  <si>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</si>
  <si>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</si>
  <si>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</si>
  <si>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</si>
  <si>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</si>
  <si>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</si>
  <si>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</si>
  <si>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</si>
  <si>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</si>
  <si>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</si>
  <si>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</si>
  <si>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</si>
  <si>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</si>
  <si>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</si>
  <si>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</si>
  <si>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</si>
  <si>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</si>
  <si>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</si>
  <si>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</si>
  <si>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</si>
  <si>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</si>
  <si>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</si>
  <si>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</si>
  <si>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</si>
  <si>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</si>
  <si>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</si>
  <si>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</si>
  <si>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</si>
  <si>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</si>
  <si>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</si>
  <si>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</si>
  <si>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</si>
  <si>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</si>
  <si>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</si>
  <si>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</si>
  <si>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</si>
  <si>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</si>
  <si>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</si>
  <si>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</si>
  <si>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</si>
  <si>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</si>
  <si>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</si>
  <si>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</si>
  <si>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</si>
  <si>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</si>
  <si>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</si>
  <si>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</si>
  <si>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</si>
  <si>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</si>
  <si>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</si>
  <si>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</si>
  <si>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</si>
  <si>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</si>
  <si>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</si>
  <si>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</si>
  <si>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</si>
  <si>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</si>
  <si>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</si>
  <si>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</si>
  <si>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</si>
  <si>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</si>
  <si>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</si>
  <si>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</si>
  <si>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</si>
  <si>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</si>
  <si>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</si>
  <si>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</si>
  <si>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</si>
  <si>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</si>
  <si>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</si>
  <si>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</si>
  <si>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</si>
  <si>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</si>
  <si>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</si>
  <si>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</si>
  <si>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</si>
  <si>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</si>
  <si>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</si>
  <si>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</si>
  <si>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</si>
  <si>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</si>
  <si>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</si>
  <si>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</si>
  <si>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</si>
  <si>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</si>
  <si>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</si>
  <si>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</si>
  <si>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</si>
  <si>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</si>
  <si>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</si>
  <si>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</si>
  <si>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</si>
  <si>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</si>
  <si>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</si>
  <si>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</si>
  <si>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</si>
  <si>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</si>
  <si>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</si>
  <si>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</si>
  <si>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</si>
  <si>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</si>
  <si>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</si>
  <si>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</si>
  <si>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</si>
  <si>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</si>
  <si>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</si>
  <si>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</si>
  <si>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</si>
  <si>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</si>
  <si>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</si>
  <si>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</si>
  <si>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</si>
  <si>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</si>
  <si>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</si>
  <si>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</si>
  <si>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</si>
  <si>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</si>
  <si>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</si>
  <si>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</si>
  <si>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</si>
  <si>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</si>
  <si>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</si>
  <si>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</si>
  <si>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</si>
  <si>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</si>
  <si>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</si>
  <si>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</si>
  <si>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</si>
  <si>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</si>
  <si>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</si>
  <si>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</si>
  <si>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</si>
  <si>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</si>
  <si>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</si>
  <si>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</si>
  <si>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</si>
  <si>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</si>
  <si>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</si>
  <si>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</si>
  <si>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</si>
  <si>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</si>
  <si>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</si>
  <si>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</si>
  <si>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</si>
  <si>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</si>
  <si>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</si>
  <si>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</si>
  <si>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</si>
  <si>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</si>
  <si>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</si>
  <si>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</si>
  <si>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</si>
  <si>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</si>
  <si>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</si>
  <si>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</si>
  <si>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</si>
  <si>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</si>
  <si>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</si>
  <si>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</si>
  <si>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</si>
  <si>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</si>
  <si>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</si>
  <si>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</si>
  <si>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</si>
  <si>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</si>
  <si>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</si>
  <si>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</si>
  <si>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</si>
  <si>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</si>
  <si>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</si>
  <si>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</si>
  <si>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</si>
  <si>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</si>
  <si>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</si>
  <si>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</si>
  <si>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</si>
  <si>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</si>
  <si>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</si>
  <si>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</si>
  <si>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</si>
  <si>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</si>
  <si>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</si>
  <si>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</si>
  <si>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</si>
  <si>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</si>
  <si>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</si>
  <si>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</si>
  <si>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</si>
  <si>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</si>
  <si>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</si>
  <si>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</si>
  <si>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</si>
  <si>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</si>
  <si>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</si>
  <si>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</si>
  <si>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</si>
  <si>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</si>
  <si>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</si>
  <si>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</si>
  <si>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</si>
  <si>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</si>
  <si>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</si>
  <si>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</si>
  <si>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</si>
  <si>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</si>
  <si>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</si>
  <si>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</si>
  <si>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</si>
  <si>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</si>
  <si>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</si>
  <si>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</si>
  <si>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</si>
  <si>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</si>
  <si>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</si>
  <si>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</si>
  <si>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</si>
  <si>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</si>
  <si>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</si>
  <si>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</si>
  <si>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</si>
  <si>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</si>
  <si>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</si>
  <si>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</si>
  <si>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</si>
  <si>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</si>
  <si>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</si>
  <si>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</si>
  <si>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</si>
  <si>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</si>
  <si>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</si>
  <si>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</si>
  <si>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</si>
  <si>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</si>
  <si>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</si>
  <si>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</si>
  <si>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</si>
  <si>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</si>
  <si>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</si>
  <si>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</si>
  <si>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</si>
  <si>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</si>
  <si>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</si>
  <si>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</si>
  <si>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</si>
  <si>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</si>
  <si>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</si>
  <si>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</si>
  <si>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</si>
  <si>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</si>
  <si>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</si>
  <si>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</si>
  <si>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</si>
  <si>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</si>
  <si>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</si>
  <si>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</si>
  <si>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</si>
  <si>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</si>
  <si>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</si>
  <si>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</si>
  <si>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</si>
  <si>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</si>
  <si>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</si>
  <si>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</si>
  <si>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</si>
  <si>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</si>
  <si>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</si>
  <si>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</si>
  <si>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</si>
  <si>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</si>
  <si>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</si>
  <si>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</si>
  <si>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</si>
  <si>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</si>
  <si>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</si>
  <si>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</si>
  <si>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</si>
  <si>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</si>
  <si>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</si>
  <si>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</si>
  <si>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</si>
  <si>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</si>
  <si>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</si>
  <si>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</si>
  <si>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</si>
  <si>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</si>
  <si>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</si>
  <si>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</si>
  <si>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</si>
  <si>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</si>
  <si>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</si>
  <si>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</si>
  <si>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</si>
  <si>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</si>
  <si>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</si>
  <si>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</si>
  <si>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</si>
  <si>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</si>
  <si>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</si>
  <si>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</si>
  <si>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</si>
  <si>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</si>
  <si>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</si>
  <si>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</si>
  <si>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</si>
  <si>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</si>
  <si>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</si>
  <si>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</si>
  <si>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</si>
  <si>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</si>
  <si>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</si>
  <si>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</si>
  <si>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</si>
  <si>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</si>
  <si>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</si>
  <si>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</si>
  <si>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</si>
  <si>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</si>
  <si>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</si>
  <si>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</si>
  <si>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</si>
  <si>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</si>
  <si>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</si>
  <si>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</si>
  <si>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</si>
  <si>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</si>
  <si>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</si>
  <si>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</si>
  <si>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</si>
  <si>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</si>
  <si>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</si>
  <si>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</si>
  <si>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</si>
  <si>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</si>
  <si>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</si>
  <si>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</si>
  <si>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</si>
  <si>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</si>
  <si>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</si>
  <si>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</si>
  <si>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</si>
  <si>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</si>
  <si>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</si>
  <si>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</si>
  <si>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</si>
  <si>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</si>
  <si>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</si>
  <si>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</si>
  <si>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</si>
  <si>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</si>
  <si>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</si>
  <si>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</si>
  <si>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</si>
  <si>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</si>
  <si>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</si>
  <si>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</si>
  <si>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</si>
  <si>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</si>
  <si>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</si>
  <si>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</si>
  <si>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</si>
  <si>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</si>
  <si>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</si>
  <si>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</si>
  <si>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</si>
  <si>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</si>
  <si>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</si>
  <si>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</si>
  <si>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</si>
  <si>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</si>
  <si>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</si>
  <si>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</si>
  <si>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</si>
  <si>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</si>
  <si>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</si>
  <si>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</si>
  <si>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</si>
  <si>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</si>
  <si>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</si>
  <si>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</si>
  <si>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</si>
  <si>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</si>
  <si>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</si>
  <si>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</si>
  <si>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</si>
  <si>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</si>
  <si>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</si>
  <si>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</si>
  <si>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</si>
  <si>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</si>
  <si>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</si>
  <si>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</si>
  <si>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</si>
  <si>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</si>
  <si>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</si>
  <si>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</si>
  <si>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</si>
  <si>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</si>
  <si>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</si>
  <si>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</si>
  <si>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</si>
  <si>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</si>
  <si>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</si>
  <si>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</si>
  <si>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</si>
  <si>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</si>
  <si>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</si>
  <si>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</si>
  <si>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</si>
  <si>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</si>
  <si>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</si>
  <si>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</si>
  <si>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</si>
  <si>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</si>
  <si>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</si>
  <si>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</si>
  <si>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</si>
  <si>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</si>
  <si>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</si>
  <si>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</si>
  <si>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</si>
  <si>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</si>
  <si>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</si>
  <si>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</si>
  <si>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</si>
  <si>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</si>
  <si>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</si>
  <si>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</si>
  <si>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</si>
  <si>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</si>
  <si>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</si>
  <si>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</si>
  <si>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</si>
  <si>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</si>
  <si>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</si>
  <si>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</si>
  <si>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</si>
  <si>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</si>
  <si>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</si>
  <si>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</si>
  <si>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</si>
  <si>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</si>
  <si>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</si>
  <si>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</si>
  <si>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</si>
  <si>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</si>
  <si>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</si>
  <si>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</si>
  <si>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</si>
  <si>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</si>
  <si>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</si>
  <si>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</si>
  <si>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</si>
  <si>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</si>
  <si>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</si>
  <si>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</si>
  <si>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</si>
  <si>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</si>
  <si>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</si>
  <si>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</si>
  <si>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</si>
  <si>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</si>
  <si>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</si>
  <si>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</si>
  <si>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</si>
  <si>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</si>
  <si>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</si>
  <si>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</si>
  <si>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</si>
  <si>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</si>
  <si>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</si>
  <si>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</si>
  <si>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</si>
  <si>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</si>
  <si>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</si>
  <si>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</si>
  <si>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</si>
  <si>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</si>
  <si>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</si>
  <si>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</si>
  <si>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</si>
  <si>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</si>
  <si>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</si>
  <si>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</si>
  <si>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</si>
  <si>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</si>
  <si>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</si>
  <si>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</si>
  <si>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</si>
  <si>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</si>
  <si>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</si>
  <si>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</si>
  <si>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</si>
  <si>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</si>
  <si>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</si>
  <si>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</si>
  <si>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</si>
  <si>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</si>
  <si>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</si>
  <si>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</si>
  <si>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</si>
  <si>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</si>
  <si>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</si>
  <si>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</si>
  <si>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</si>
  <si>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</si>
  <si>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</si>
  <si>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</si>
  <si>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</si>
  <si>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</si>
  <si>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</si>
  <si>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</si>
  <si>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</si>
  <si>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</si>
  <si>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</si>
  <si>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</si>
  <si>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</si>
  <si>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</si>
  <si>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</si>
  <si>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</si>
  <si>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</si>
  <si>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</si>
  <si>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</si>
  <si>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</si>
  <si>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</si>
  <si>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</si>
  <si>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</si>
  <si>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</si>
  <si>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</si>
  <si>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</si>
  <si>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</si>
  <si>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</si>
  <si>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</si>
  <si>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</si>
  <si>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</si>
  <si>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</si>
  <si>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</si>
  <si>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</si>
  <si>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</si>
  <si>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</si>
  <si>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</si>
  <si>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</si>
  <si>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</si>
  <si>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</si>
  <si>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</si>
  <si>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</si>
  <si>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</si>
  <si>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</si>
  <si>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</si>
  <si>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</si>
  <si>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</si>
  <si>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</si>
  <si>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</si>
  <si>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</si>
  <si>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</si>
  <si>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</si>
  <si>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</si>
  <si>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</si>
  <si>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</si>
  <si>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</si>
  <si>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</si>
  <si>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</si>
  <si>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</si>
  <si>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</si>
  <si>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</si>
  <si>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</si>
  <si>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</si>
  <si>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</si>
  <si>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</si>
  <si>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</si>
  <si>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</si>
  <si>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</si>
  <si>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</si>
  <si>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</si>
  <si>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</si>
  <si>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</si>
  <si>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</si>
  <si>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</si>
  <si>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</si>
  <si>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</si>
  <si>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</si>
  <si>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</si>
  <si>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</si>
  <si>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</si>
  <si>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</si>
  <si>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</si>
  <si>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</si>
  <si>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</si>
  <si>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</si>
  <si>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</si>
  <si>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</si>
  <si>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</si>
  <si>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</si>
  <si>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</si>
  <si>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</si>
  <si>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</si>
  <si>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</si>
  <si>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</si>
  <si>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</si>
  <si>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</si>
  <si>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</si>
  <si>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</si>
  <si>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</si>
  <si>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</si>
  <si>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</si>
  <si>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</si>
  <si>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</si>
  <si>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</si>
  <si>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</si>
  <si>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</si>
  <si>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</si>
  <si>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</si>
  <si>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</si>
  <si>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</si>
  <si>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</si>
  <si>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</si>
  <si>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</si>
  <si>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</si>
  <si>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</si>
  <si>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</si>
  <si>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</si>
  <si>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</si>
  <si>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</si>
  <si>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</si>
  <si>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</si>
  <si>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</si>
  <si>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</si>
  <si>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</si>
  <si>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</si>
  <si>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</si>
  <si>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</si>
  <si>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</si>
  <si>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</si>
  <si>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</si>
  <si>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</si>
  <si>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</si>
  <si>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</si>
  <si>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</si>
  <si>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</si>
  <si>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</si>
  <si>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</si>
  <si>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</si>
  <si>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</si>
  <si>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</si>
  <si>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</si>
  <si>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</si>
  <si>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</si>
  <si>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</si>
  <si>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</si>
  <si>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</si>
  <si>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</si>
  <si>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</si>
  <si>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</si>
  <si>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</si>
  <si>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</si>
  <si>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</si>
  <si>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</si>
  <si>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</si>
  <si>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</si>
  <si>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</si>
  <si>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</si>
  <si>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</si>
  <si>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</si>
  <si>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</si>
  <si>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</si>
  <si>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</si>
  <si>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</si>
  <si>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</si>
  <si>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</si>
  <si>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</si>
  <si>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</si>
  <si>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</si>
  <si>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</si>
  <si>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</si>
  <si>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</si>
  <si>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</si>
  <si>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</si>
  <si>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</si>
  <si>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</si>
  <si>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</si>
  <si>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</si>
  <si>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</si>
  <si>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</si>
  <si>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</si>
  <si>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</si>
  <si>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</si>
  <si>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</si>
  <si>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</si>
  <si>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</si>
  <si>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</si>
  <si>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</si>
  <si>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</si>
  <si>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</si>
  <si>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</si>
  <si>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</si>
  <si>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</si>
  <si>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</si>
  <si>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</si>
  <si>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</si>
  <si>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</si>
  <si>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</si>
  <si>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</si>
  <si>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</si>
  <si>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</si>
  <si>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</si>
  <si>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</si>
  <si>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</si>
  <si>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</si>
  <si>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</si>
  <si>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</si>
  <si>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</si>
  <si>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</si>
  <si>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</si>
  <si>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</si>
  <si>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</si>
  <si>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</si>
  <si>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</si>
  <si>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</si>
  <si>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</si>
  <si>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</si>
  <si>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</si>
  <si>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</si>
  <si>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</si>
  <si>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</si>
  <si>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</si>
  <si>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</si>
  <si>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</si>
  <si>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</si>
  <si>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</si>
  <si>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</si>
  <si>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</si>
  <si>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</si>
  <si>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</si>
  <si>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</si>
  <si>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</si>
  <si>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</si>
  <si>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</si>
  <si>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</si>
  <si>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</si>
  <si>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</si>
  <si>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</si>
  <si>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</si>
  <si>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</si>
  <si>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</si>
  <si>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</si>
  <si>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</si>
  <si>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</si>
  <si>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</si>
  <si>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</si>
  <si>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</si>
  <si>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</si>
  <si>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</si>
  <si>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</si>
  <si>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</si>
  <si>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</si>
  <si>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</si>
  <si>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</si>
  <si>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</si>
  <si>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</si>
  <si>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</si>
  <si>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</si>
  <si>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</si>
  <si>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</si>
  <si>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</si>
  <si>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</si>
  <si>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</si>
  <si>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</si>
  <si>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</si>
  <si>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</si>
  <si>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</si>
  <si>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</si>
  <si>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</si>
  <si>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</si>
  <si>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</si>
  <si>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</si>
  <si>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</si>
  <si>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</si>
  <si>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</si>
  <si>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</si>
  <si>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</si>
  <si>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</si>
  <si>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</si>
  <si>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</si>
  <si>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</si>
  <si>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</si>
  <si>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</si>
  <si>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</si>
  <si>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</si>
  <si>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</si>
  <si>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</si>
  <si>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</si>
  <si>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</si>
  <si>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</si>
  <si>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</si>
  <si>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</si>
  <si>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</si>
  <si>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</si>
  <si>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</si>
  <si>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</si>
  <si>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</si>
  <si>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</si>
  <si>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</si>
  <si>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</si>
  <si>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</si>
  <si>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</si>
  <si>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</si>
  <si>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</si>
  <si>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</si>
  <si>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</si>
  <si>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</si>
  <si>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</si>
  <si>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</si>
  <si>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</si>
  <si>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</si>
  <si>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</si>
  <si>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</si>
  <si>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</si>
  <si>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</si>
  <si>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</si>
  <si>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</si>
  <si>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</si>
  <si>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</si>
  <si>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</si>
  <si>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</si>
  <si>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</si>
  <si>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</si>
  <si>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</si>
  <si>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</si>
  <si>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</si>
  <si>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</si>
  <si>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</si>
  <si>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</si>
  <si>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</si>
  <si>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</si>
  <si>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</si>
  <si>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</si>
  <si>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</si>
  <si>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</si>
  <si>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</si>
  <si>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</si>
  <si>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</si>
  <si>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</si>
  <si>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</si>
  <si>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</si>
  <si>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</si>
  <si>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</si>
  <si>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</si>
  <si>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</si>
  <si>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</si>
  <si>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</si>
  <si>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</si>
  <si>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</si>
  <si>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</si>
  <si>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</si>
  <si>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</si>
  <si>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</si>
  <si>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</si>
  <si>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</si>
  <si>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</si>
  <si>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</si>
  <si>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</si>
  <si>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</si>
  <si>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</si>
  <si>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</si>
  <si>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</si>
  <si>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</si>
  <si>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</si>
  <si>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</si>
  <si>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</si>
  <si>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</si>
  <si>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</si>
  <si>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</si>
  <si>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</si>
  <si>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</si>
  <si>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</si>
  <si>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</si>
  <si>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</si>
  <si>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</si>
  <si>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</si>
  <si>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</si>
  <si>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</si>
  <si>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</si>
  <si>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</si>
  <si>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</si>
  <si>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</si>
  <si>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</si>
  <si>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</si>
  <si>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</si>
  <si>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</si>
  <si>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</si>
  <si>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</si>
  <si>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</si>
  <si>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</si>
  <si>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</si>
  <si>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</si>
  <si>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</si>
  <si>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</si>
  <si>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</si>
  <si>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</si>
  <si>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</si>
  <si>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</si>
  <si>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</si>
  <si>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</si>
  <si>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</si>
  <si>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</si>
  <si>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</si>
  <si>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</si>
  <si>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</si>
  <si>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</si>
  <si>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</si>
  <si>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</si>
  <si>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</si>
  <si>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</si>
  <si>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</si>
  <si>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</si>
  <si>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</si>
  <si>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</si>
  <si>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</si>
  <si>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</si>
  <si>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</si>
  <si>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</si>
  <si>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</si>
  <si>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</si>
  <si>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</si>
  <si>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</si>
  <si>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</si>
  <si>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</si>
  <si>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</si>
  <si>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</si>
  <si>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</si>
  <si>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</si>
  <si>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</si>
  <si>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</si>
  <si>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</si>
  <si>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</si>
  <si>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</si>
  <si>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</si>
  <si>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</si>
  <si>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</si>
  <si>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</si>
  <si>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</si>
  <si>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</si>
  <si>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</si>
  <si>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</si>
  <si>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</si>
  <si>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</si>
  <si>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</si>
  <si>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</si>
  <si>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</si>
  <si>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</si>
  <si>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</si>
  <si>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</si>
  <si>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</si>
  <si>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</si>
  <si>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</si>
  <si>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</si>
  <si>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</si>
  <si>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</si>
  <si>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</si>
  <si>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</si>
  <si>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</si>
  <si>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</si>
  <si>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</si>
  <si>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</si>
  <si>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</si>
  <si>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</si>
  <si>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</si>
  <si>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</si>
  <si>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</si>
  <si>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</si>
  <si>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</si>
  <si>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</si>
  <si>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</si>
  <si>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</si>
  <si>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</si>
  <si>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</si>
  <si>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</si>
  <si>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</si>
  <si>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</si>
  <si>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</si>
  <si>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</si>
  <si>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</si>
  <si>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</si>
  <si>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</si>
  <si>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</si>
  <si>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</si>
  <si>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</si>
  <si>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</si>
  <si>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</si>
  <si>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</si>
  <si>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</si>
  <si>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</si>
  <si>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</si>
  <si>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</si>
  <si>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</si>
  <si>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</si>
  <si>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</si>
  <si>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</si>
  <si>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</si>
  <si>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</si>
  <si>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</si>
  <si>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</si>
  <si>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</si>
  <si>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</si>
  <si>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</si>
  <si>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</si>
  <si>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</si>
  <si>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</si>
  <si>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</si>
  <si>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</si>
  <si>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</si>
  <si>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</si>
  <si>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</si>
  <si>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</si>
  <si>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</si>
  <si>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</si>
  <si>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</si>
  <si>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</si>
  <si>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</si>
  <si>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</si>
  <si>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</si>
  <si>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</si>
  <si>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</si>
  <si>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</si>
  <si>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</si>
  <si>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</si>
  <si>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</si>
  <si>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</si>
  <si>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</si>
  <si>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</si>
  <si>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</si>
  <si>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</si>
  <si>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</si>
  <si>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</si>
  <si>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</si>
  <si>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</si>
  <si>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</si>
  <si>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</si>
  <si>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</si>
  <si>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</si>
  <si>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</si>
  <si>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</si>
  <si>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</si>
  <si>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</si>
  <si>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</si>
  <si>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</si>
  <si>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</si>
  <si>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</si>
  <si>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</si>
  <si>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</si>
  <si>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</si>
  <si>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</si>
  <si>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</si>
  <si>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</si>
  <si>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</si>
  <si>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</si>
  <si>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</si>
  <si>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</si>
  <si>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</si>
  <si>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</si>
  <si>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</si>
  <si>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</si>
  <si>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</si>
  <si>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</si>
  <si>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</si>
  <si>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</si>
  <si>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</si>
  <si>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</si>
  <si>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</si>
  <si>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</si>
  <si>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</si>
  <si>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</si>
  <si>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</si>
  <si>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</si>
  <si>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</si>
  <si>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</si>
  <si>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</si>
  <si>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</si>
  <si>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</si>
  <si>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</si>
  <si>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</si>
  <si>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</si>
  <si>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</si>
  <si>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</si>
  <si>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</si>
  <si>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</si>
  <si>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</si>
  <si>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</si>
  <si>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</si>
  <si>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</si>
  <si>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</si>
  <si>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</si>
  <si>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</si>
  <si>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</si>
  <si>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</si>
  <si>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</si>
  <si>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</si>
  <si>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</si>
  <si>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</si>
  <si>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</si>
  <si>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</si>
  <si>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</si>
  <si>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</si>
  <si>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</si>
  <si>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</si>
  <si>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</si>
  <si>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</si>
  <si>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</si>
  <si>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</si>
  <si>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</si>
  <si>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</si>
  <si>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</si>
  <si>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</si>
  <si>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</si>
  <si>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</si>
  <si>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</si>
  <si>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</si>
  <si>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</si>
  <si>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</si>
  <si>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</si>
  <si>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</si>
  <si>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</si>
  <si>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</si>
  <si>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</si>
  <si>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</si>
  <si>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</si>
  <si>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</si>
  <si>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</si>
  <si>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</si>
  <si>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</si>
  <si>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</si>
  <si>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</si>
  <si>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</si>
  <si>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</si>
  <si>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</si>
  <si>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</si>
  <si>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</si>
  <si>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</si>
  <si>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</si>
  <si>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</si>
  <si>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</si>
  <si>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</si>
  <si>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</si>
  <si>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</si>
  <si>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</si>
  <si>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</si>
  <si>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</si>
  <si>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</si>
  <si>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</si>
  <si>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</si>
  <si>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</si>
  <si>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</si>
  <si>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</si>
  <si>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</si>
  <si>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</si>
  <si>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</si>
  <si>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</si>
  <si>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</si>
  <si>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</si>
  <si>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</si>
  <si>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</si>
  <si>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</si>
  <si>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</si>
  <si>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</si>
  <si>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</si>
  <si>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</si>
  <si>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</si>
  <si>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</si>
  <si>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</si>
  <si>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</si>
  <si>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</si>
  <si>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</si>
  <si>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</si>
  <si>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</si>
  <si>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</si>
  <si>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</si>
  <si>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</si>
  <si>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</si>
  <si>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</si>
  <si>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</si>
  <si>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</si>
  <si>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</si>
  <si>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</si>
  <si>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</si>
  <si>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</si>
  <si>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</si>
  <si>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</si>
  <si>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</si>
  <si>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</si>
  <si>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</si>
  <si>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</si>
  <si>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</si>
  <si>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</si>
  <si>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</si>
  <si>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</si>
  <si>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</si>
  <si>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</si>
  <si>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</si>
  <si>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</si>
  <si>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</si>
  <si>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</si>
  <si>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</si>
  <si>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</si>
  <si>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</si>
  <si>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</si>
  <si>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</si>
  <si>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</si>
  <si>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</si>
  <si>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</si>
  <si>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</si>
  <si>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</si>
  <si>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</si>
  <si>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</si>
  <si>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</si>
  <si>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</si>
  <si>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</si>
  <si>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</si>
  <si>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</si>
  <si>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</si>
  <si>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</si>
  <si>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</si>
  <si>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</si>
  <si>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</si>
  <si>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</si>
  <si>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</si>
  <si>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</si>
  <si>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</si>
  <si>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</si>
  <si>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</si>
  <si>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</si>
  <si>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</si>
  <si>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</si>
  <si>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</si>
  <si>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</si>
  <si>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</si>
  <si>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</si>
  <si>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</si>
  <si>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</si>
  <si>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</si>
  <si>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</si>
  <si>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</si>
  <si>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</si>
  <si>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</si>
  <si>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</si>
  <si>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</si>
  <si>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</si>
  <si>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</si>
  <si>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</si>
  <si>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</si>
  <si>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</si>
  <si>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</si>
  <si>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</si>
  <si>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</si>
  <si>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</si>
  <si>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</si>
  <si>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</si>
  <si>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</si>
  <si>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</si>
  <si>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</si>
  <si>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</si>
  <si>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</si>
  <si>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</si>
  <si>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</si>
  <si>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</si>
  <si>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</si>
  <si>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</si>
  <si>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</si>
  <si>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</si>
  <si>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</si>
  <si>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</si>
  <si>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</si>
  <si>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</si>
  <si>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</si>
  <si>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</si>
  <si>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</si>
  <si>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</si>
  <si>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</si>
  <si>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</si>
  <si>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</si>
  <si>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</si>
  <si>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</si>
  <si>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</si>
  <si>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</si>
  <si>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</si>
  <si>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</si>
  <si>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</si>
  <si>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</si>
  <si>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</si>
  <si>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</si>
  <si>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</si>
  <si>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</si>
  <si>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</si>
  <si>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</si>
  <si>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</si>
  <si>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</si>
  <si>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</si>
  <si>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</si>
  <si>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</si>
  <si>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</si>
  <si>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</si>
  <si>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</si>
  <si>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</si>
  <si>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</si>
  <si>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</si>
  <si>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</si>
  <si>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</si>
  <si>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</si>
  <si>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</si>
  <si>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</si>
  <si>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</si>
  <si>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</si>
  <si>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</si>
  <si>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</si>
  <si>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</si>
  <si>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</si>
  <si>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</si>
  <si>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</si>
  <si>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</si>
  <si>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</si>
  <si>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</si>
  <si>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</si>
  <si>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</si>
  <si>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</si>
  <si>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</si>
  <si>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</si>
  <si>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</si>
  <si>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</si>
  <si>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</si>
  <si>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</si>
  <si>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</si>
  <si>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</si>
  <si>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</si>
  <si>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</si>
  <si>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</si>
  <si>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</si>
  <si>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</si>
  <si>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</si>
  <si>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</si>
  <si>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</si>
  <si>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</si>
  <si>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</si>
  <si>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</si>
  <si>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</si>
  <si>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</si>
  <si>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</si>
  <si>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</si>
  <si>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</si>
  <si>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</si>
  <si>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</si>
  <si>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</si>
  <si>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</si>
  <si>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</si>
  <si>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</si>
  <si>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</si>
  <si>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</si>
  <si>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</si>
  <si>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</si>
  <si>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</si>
  <si>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</si>
  <si>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</si>
  <si>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</si>
  <si>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</si>
  <si>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</si>
  <si>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</si>
  <si>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</si>
  <si>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</si>
  <si>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</si>
  <si>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</si>
  <si>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</si>
  <si>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</si>
  <si>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</si>
  <si>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</si>
  <si>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</si>
  <si>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</si>
  <si>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</si>
  <si>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</si>
  <si>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</si>
  <si>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</si>
  <si>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</si>
  <si>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</si>
  <si>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</si>
  <si>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</si>
  <si>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</si>
  <si>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</si>
  <si>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</si>
  <si>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</si>
  <si>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</si>
  <si>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</si>
  <si>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</si>
  <si>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</si>
  <si>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</si>
  <si>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</si>
  <si>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</si>
  <si>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</si>
  <si>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</si>
  <si>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</si>
  <si>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</si>
  <si>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</si>
  <si>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</si>
  <si>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</si>
  <si>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</si>
  <si>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</si>
  <si>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</si>
  <si>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</si>
  <si>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</si>
  <si>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</si>
  <si>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</si>
  <si>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</si>
  <si>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</si>
  <si>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</si>
  <si>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</si>
  <si>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</si>
  <si>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</si>
  <si>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</si>
  <si>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</si>
  <si>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</si>
  <si>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</si>
  <si>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</si>
  <si>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</si>
  <si>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</si>
  <si>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</si>
  <si>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</si>
  <si>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</si>
  <si>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</si>
  <si>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</si>
  <si>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</si>
  <si>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</si>
  <si>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</si>
  <si>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</si>
  <si>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</si>
  <si>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</si>
  <si>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</si>
  <si>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</si>
  <si>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</si>
  <si>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</si>
  <si>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</si>
  <si>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</si>
  <si>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</si>
  <si>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</si>
  <si>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</si>
  <si>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</si>
  <si>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</si>
  <si>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</si>
  <si>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</si>
  <si>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</si>
  <si>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</si>
  <si>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</si>
  <si>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</si>
  <si>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</si>
  <si>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</si>
  <si>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</si>
  <si>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</si>
  <si>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</si>
  <si>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</si>
  <si>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</si>
  <si>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</si>
  <si>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</si>
  <si>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</si>
  <si>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</si>
  <si>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</si>
  <si>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</si>
  <si>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</si>
  <si>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</si>
  <si>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</si>
  <si>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</si>
  <si>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</si>
  <si>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</si>
  <si>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</si>
  <si>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</si>
  <si>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</si>
  <si>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</si>
  <si>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</si>
  <si>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</si>
  <si>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</si>
  <si>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</si>
  <si>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</si>
  <si>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</si>
  <si>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</si>
  <si>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</si>
  <si>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</si>
  <si>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</si>
  <si>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</si>
  <si>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</si>
  <si>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</si>
  <si>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</si>
  <si>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</si>
  <si>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</si>
  <si>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</si>
  <si>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</si>
  <si>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</si>
  <si>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</si>
  <si>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</si>
  <si>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</si>
  <si>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</si>
  <si>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</si>
  <si>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</si>
  <si>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</si>
  <si>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</si>
  <si>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</si>
  <si>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</si>
  <si>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</si>
  <si>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</si>
  <si>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</si>
  <si>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</si>
  <si>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</si>
  <si>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</si>
  <si>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</si>
  <si>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</si>
  <si>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</si>
  <si>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</si>
  <si>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</si>
  <si>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</si>
  <si>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</si>
  <si>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</si>
  <si>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</si>
  <si>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</si>
  <si>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</si>
  <si>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</si>
  <si>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</si>
  <si>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</si>
  <si>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</si>
  <si>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</si>
  <si>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</si>
  <si>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</si>
  <si>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</si>
  <si>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</si>
  <si>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</si>
  <si>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</si>
  <si>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</si>
  <si>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</si>
  <si>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</si>
  <si>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</si>
  <si>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</si>
  <si>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</si>
  <si>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</si>
  <si>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</si>
  <si>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</si>
  <si>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</si>
  <si>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</si>
  <si>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</si>
  <si>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</si>
  <si>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</si>
  <si>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</si>
  <si>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</si>
  <si>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</si>
  <si>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</si>
  <si>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</si>
  <si>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</si>
  <si>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</si>
  <si>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</si>
  <si>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</si>
  <si>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</si>
  <si>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</si>
  <si>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</si>
  <si>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</si>
  <si>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</si>
  <si>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</si>
  <si>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</si>
  <si>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</si>
  <si>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</si>
  <si>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</si>
  <si>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</si>
  <si>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</si>
  <si>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</si>
  <si>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</si>
  <si>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</si>
  <si>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</si>
  <si>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</si>
  <si>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</si>
  <si>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</si>
  <si>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</si>
  <si>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</si>
  <si>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</si>
  <si>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</si>
  <si>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</si>
  <si>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</si>
  <si>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</si>
  <si>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</si>
  <si>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</si>
  <si>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</si>
  <si>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</si>
  <si>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</si>
  <si>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</si>
  <si>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</si>
  <si>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</si>
  <si>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</si>
  <si>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</si>
  <si>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</si>
  <si>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</si>
  <si>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</si>
  <si>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</si>
  <si>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</si>
  <si>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</si>
  <si>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</si>
  <si>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</si>
  <si>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</si>
  <si>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</si>
  <si>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</si>
  <si>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</si>
  <si>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</si>
  <si>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</si>
  <si>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</si>
  <si>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</si>
  <si>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</si>
  <si>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</si>
  <si>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</si>
  <si>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</si>
  <si>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</si>
  <si>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</si>
  <si>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</si>
  <si>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</si>
  <si>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</si>
  <si>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</si>
  <si>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</si>
  <si>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</si>
  <si>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</si>
  <si>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</si>
  <si>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</si>
  <si>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</si>
  <si>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</si>
  <si>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</si>
  <si>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</si>
  <si>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</si>
  <si>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</si>
  <si>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</si>
  <si>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</si>
  <si>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</si>
  <si>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</si>
  <si>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</si>
  <si>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</si>
  <si>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</si>
  <si>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</si>
  <si>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</si>
  <si>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</si>
  <si>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</si>
  <si>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</si>
  <si>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</si>
  <si>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</si>
  <si>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</si>
  <si>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</si>
  <si>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</si>
  <si>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</si>
  <si>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</si>
  <si>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</si>
  <si>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</si>
  <si>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</si>
  <si>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</si>
  <si>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</si>
  <si>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</si>
  <si>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</si>
  <si>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</si>
  <si>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</si>
  <si>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</si>
  <si>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</si>
  <si>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</si>
  <si>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</si>
  <si>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</si>
  <si>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</si>
  <si>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</si>
  <si>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</si>
  <si>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</si>
  <si>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</si>
  <si>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</si>
  <si>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</si>
  <si>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</si>
  <si>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</si>
  <si>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</si>
  <si>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</si>
  <si>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</si>
  <si>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</si>
  <si>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</si>
  <si>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</si>
  <si>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</si>
  <si>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</si>
  <si>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</si>
  <si>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</si>
  <si>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</si>
  <si>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</si>
  <si>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</si>
  <si>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</si>
  <si>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</si>
  <si>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</si>
  <si>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</si>
  <si>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</si>
  <si>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</si>
  <si>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</si>
  <si>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</si>
  <si>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</si>
  <si>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</si>
  <si>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</si>
  <si>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</si>
  <si>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</si>
  <si>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</si>
  <si>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</si>
  <si>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</si>
  <si>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</si>
  <si>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</si>
  <si>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</si>
  <si>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</si>
  <si>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</si>
  <si>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</si>
  <si>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</si>
  <si>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</si>
  <si>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</si>
  <si>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</si>
  <si>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</si>
  <si>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</si>
  <si>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</si>
  <si>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</si>
  <si>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</si>
  <si>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</si>
  <si>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</si>
  <si>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</si>
  <si>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</si>
  <si>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</si>
  <si>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</si>
  <si>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</si>
  <si>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</si>
  <si>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</si>
  <si>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</si>
  <si>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</si>
  <si>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</si>
  <si>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</si>
  <si>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</si>
  <si>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</si>
  <si>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</si>
  <si>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</si>
  <si>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</si>
  <si>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</si>
  <si>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</si>
  <si>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</si>
  <si>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</si>
  <si>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</si>
  <si>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</si>
  <si>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</si>
  <si>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</si>
  <si>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</si>
  <si>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</si>
  <si>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</si>
  <si>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</si>
  <si>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</si>
  <si>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</si>
  <si>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</si>
  <si>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</si>
  <si>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</si>
  <si>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</si>
  <si>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</si>
  <si>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</si>
  <si>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</si>
  <si>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</si>
  <si>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</si>
  <si>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</si>
  <si>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</si>
  <si>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</si>
  <si>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</si>
  <si>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</si>
  <si>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</si>
  <si>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</si>
  <si>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</si>
  <si>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</si>
  <si>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</si>
  <si>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</si>
  <si>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</si>
  <si>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</si>
  <si>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</si>
  <si>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</si>
  <si>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</si>
  <si>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</si>
  <si>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</si>
  <si>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</si>
  <si>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</si>
  <si>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</si>
  <si>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</si>
  <si>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</si>
  <si>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</si>
  <si>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</si>
  <si>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</si>
  <si>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</si>
  <si>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</si>
  <si>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</si>
  <si>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</si>
  <si>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</si>
  <si>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</si>
  <si>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</si>
  <si>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</si>
  <si>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</si>
  <si>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</si>
  <si>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</si>
  <si>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</si>
  <si>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</si>
  <si>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</si>
  <si>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</si>
  <si>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</si>
  <si>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</si>
  <si>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</si>
  <si>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</si>
  <si>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</si>
  <si>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</si>
  <si>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</si>
  <si>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</si>
  <si>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</si>
  <si>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</si>
  <si>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</si>
  <si>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</si>
  <si>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</si>
  <si>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</si>
  <si>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</si>
  <si>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</si>
  <si>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</si>
  <si>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</si>
  <si>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</si>
  <si>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</si>
  <si>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</si>
  <si>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</si>
  <si>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</si>
  <si>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</si>
  <si>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</si>
  <si>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</si>
  <si>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</si>
  <si>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</si>
  <si>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</si>
  <si>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</si>
  <si>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</si>
  <si>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</si>
  <si>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</si>
  <si>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</si>
  <si>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</si>
  <si>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</si>
  <si>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</si>
  <si>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</si>
  <si>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</si>
  <si>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</si>
  <si>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</si>
  <si>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</si>
  <si>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</si>
  <si>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</si>
  <si>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</si>
  <si>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</si>
  <si>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</si>
  <si>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</si>
  <si>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</si>
  <si>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</si>
  <si>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</si>
  <si>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</si>
  <si>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</si>
  <si>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</si>
  <si>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</si>
  <si>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</si>
  <si>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</si>
  <si>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</si>
  <si>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</si>
  <si>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</si>
  <si>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</si>
  <si>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</si>
  <si>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</si>
  <si>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</si>
  <si>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</si>
  <si>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</si>
  <si>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</si>
  <si>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</si>
  <si>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</si>
  <si>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</si>
  <si>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</si>
  <si>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</si>
  <si>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</si>
  <si>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</si>
  <si>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</si>
  <si>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</si>
  <si>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</si>
  <si>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</si>
  <si>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</si>
  <si>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</si>
  <si>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</si>
  <si>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</si>
  <si>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</si>
  <si>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</si>
  <si>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</si>
  <si>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</si>
  <si>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</si>
  <si>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</si>
  <si>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</si>
  <si>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</si>
  <si>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</si>
  <si>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</si>
  <si>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</si>
  <si>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</si>
  <si>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</si>
  <si>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</si>
  <si>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</si>
  <si>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</si>
  <si>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</si>
  <si>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</si>
  <si>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</si>
  <si>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</si>
  <si>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</si>
  <si>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</si>
  <si>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</si>
  <si>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</si>
  <si>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</si>
  <si>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</si>
  <si>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</si>
  <si>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</si>
  <si>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</si>
  <si>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</si>
  <si>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</si>
  <si>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</si>
  <si>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</si>
  <si>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</si>
  <si>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</si>
  <si>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</si>
  <si>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</si>
  <si>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</si>
  <si>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</si>
  <si>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</si>
  <si>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</si>
  <si>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</si>
  <si>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</si>
  <si>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</si>
  <si>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</si>
  <si>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</si>
  <si>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</si>
  <si>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</si>
  <si>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</si>
  <si>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</si>
  <si>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</si>
  <si>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</si>
  <si>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</si>
  <si>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</si>
  <si>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</si>
  <si>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</si>
  <si>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</si>
  <si>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</si>
  <si>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</si>
  <si>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</si>
  <si>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</si>
  <si>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</si>
  <si>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</si>
  <si>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</si>
  <si>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</si>
  <si>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</si>
  <si>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</si>
  <si>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</si>
  <si>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</si>
  <si>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</si>
  <si>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</si>
  <si>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</si>
  <si>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</si>
  <si>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</si>
  <si>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</si>
  <si>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</si>
  <si>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</si>
  <si>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</si>
  <si>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</si>
  <si>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</si>
  <si>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</si>
  <si>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</si>
  <si>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</si>
  <si>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</si>
  <si>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</si>
  <si>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</si>
  <si>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</si>
  <si>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</si>
  <si>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</si>
  <si>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</si>
  <si>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</si>
  <si>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</si>
  <si>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</si>
  <si>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</si>
  <si>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</si>
  <si>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</si>
  <si>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</si>
  <si>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</si>
  <si>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</si>
  <si>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</si>
  <si>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</si>
  <si>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</si>
  <si>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</si>
  <si>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</si>
  <si>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</si>
  <si>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</si>
  <si>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</si>
  <si>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</si>
  <si>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</si>
  <si>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</si>
  <si>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</si>
  <si>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</si>
  <si>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</si>
  <si>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</si>
  <si>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</si>
  <si>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</si>
  <si>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</si>
  <si>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</si>
  <si>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</si>
  <si>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</si>
  <si>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</si>
  <si>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</si>
  <si>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</si>
  <si>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</si>
  <si>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</si>
  <si>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</si>
  <si>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</si>
  <si>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</si>
  <si>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</si>
  <si>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</si>
  <si>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</si>
  <si>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</si>
  <si>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</si>
  <si>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</si>
  <si>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</si>
  <si>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</si>
  <si>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</si>
  <si>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</si>
  <si>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</si>
  <si>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</si>
  <si>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</si>
  <si>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</si>
  <si>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</si>
  <si>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</si>
  <si>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</si>
  <si>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</si>
  <si>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</si>
  <si>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</si>
  <si>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</si>
  <si>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</si>
  <si>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</si>
  <si>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</si>
  <si>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</si>
  <si>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</si>
  <si>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</si>
  <si>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</si>
  <si>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</si>
  <si>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</si>
  <si>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</si>
  <si>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</si>
  <si>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</si>
  <si>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</si>
  <si>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</si>
  <si>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</si>
  <si>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</si>
  <si>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</si>
  <si>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</si>
  <si>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</si>
  <si>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</si>
  <si>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</si>
  <si>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</si>
  <si>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</si>
  <si>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</si>
  <si>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</si>
  <si>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</si>
  <si>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</si>
  <si>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</si>
  <si>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</si>
  <si>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</si>
  <si>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</si>
  <si>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</si>
  <si>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</si>
  <si>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</si>
  <si>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</si>
  <si>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</si>
  <si>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</si>
  <si>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</si>
  <si>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</si>
  <si>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</si>
  <si>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</si>
  <si>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</si>
  <si>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</si>
  <si>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</si>
  <si>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</si>
  <si>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</si>
  <si>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</si>
  <si>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</si>
  <si>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</si>
  <si>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</si>
  <si>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</si>
  <si>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</si>
  <si>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</si>
  <si>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</si>
  <si>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</si>
  <si>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</si>
  <si>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</si>
  <si>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</si>
  <si>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</si>
  <si>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</si>
  <si>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</si>
  <si>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</si>
  <si>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</si>
  <si>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</si>
  <si>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</si>
  <si>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</si>
  <si>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</si>
  <si>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</si>
  <si>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</si>
  <si>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</si>
  <si>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</si>
  <si>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</si>
  <si>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</si>
  <si>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</si>
  <si>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</si>
  <si>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</si>
  <si>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</si>
  <si>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</si>
  <si>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</si>
  <si>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</si>
  <si>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</si>
  <si>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</si>
  <si>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</si>
  <si>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</si>
  <si>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</si>
  <si>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</si>
  <si>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</si>
  <si>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</si>
  <si>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</si>
  <si>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</si>
  <si>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</si>
  <si>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</si>
  <si>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</si>
  <si>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</si>
  <si>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</si>
  <si>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</si>
  <si>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</si>
  <si>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</si>
  <si>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</si>
  <si>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</si>
  <si>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</si>
  <si>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</si>
  <si>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</si>
  <si>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</si>
  <si>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</si>
  <si>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</si>
  <si>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</si>
  <si>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</si>
  <si>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</si>
  <si>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</si>
  <si>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</si>
  <si>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</si>
  <si>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</si>
  <si>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</si>
  <si>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</si>
  <si>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</si>
  <si>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</si>
  <si>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</si>
  <si>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</si>
  <si>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</si>
  <si>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</si>
  <si>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</si>
  <si>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</si>
  <si>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</si>
  <si>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</si>
  <si>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</si>
  <si>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</si>
  <si>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</si>
  <si>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</si>
  <si>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</si>
  <si>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</si>
  <si>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</si>
  <si>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</si>
  <si>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</si>
  <si>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</si>
  <si>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</si>
  <si>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</si>
  <si>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</si>
  <si>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</si>
  <si>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</si>
  <si>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</si>
  <si>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</si>
  <si>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</si>
  <si>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</si>
  <si>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</si>
  <si>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</si>
  <si>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</si>
  <si>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</si>
  <si>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</si>
  <si>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</si>
  <si>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</si>
  <si>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</si>
  <si>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</si>
  <si>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</si>
  <si>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</si>
  <si>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</si>
  <si>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</si>
  <si>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</si>
  <si>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</si>
  <si>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</si>
  <si>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</si>
  <si>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</si>
  <si>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</si>
  <si>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</si>
  <si>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</si>
  <si>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</si>
  <si>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</si>
  <si>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</si>
  <si>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</si>
  <si>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</si>
  <si>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</si>
  <si>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</si>
  <si>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</si>
  <si>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</si>
  <si>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</si>
  <si>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</si>
  <si>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</si>
  <si>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</si>
  <si>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</si>
  <si>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</si>
  <si>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</si>
  <si>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</si>
  <si>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</si>
  <si>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</si>
  <si>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</si>
  <si>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</si>
  <si>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</si>
  <si>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</si>
  <si>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</si>
  <si>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</si>
  <si>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</si>
  <si>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</si>
  <si>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</si>
  <si>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</si>
  <si>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</si>
  <si>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</si>
  <si>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</si>
  <si>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</si>
  <si>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</si>
  <si>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</si>
  <si>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</si>
  <si>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</si>
  <si>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</si>
  <si>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</si>
  <si>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</si>
  <si>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</si>
  <si>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</si>
  <si>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</si>
  <si>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</si>
  <si>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</si>
  <si>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</si>
  <si>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</si>
  <si>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</si>
  <si>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</si>
  <si>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</si>
  <si>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</si>
  <si>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</si>
  <si>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</si>
  <si>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</si>
  <si>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</si>
  <si>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</si>
  <si>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</si>
  <si>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</si>
  <si>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</si>
  <si>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</si>
  <si>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</si>
  <si>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</si>
  <si>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</si>
  <si>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</si>
  <si>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</si>
  <si>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</si>
  <si>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</si>
  <si>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</si>
  <si>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</si>
  <si>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</si>
  <si>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</si>
  <si>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</si>
  <si>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</si>
  <si>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</si>
  <si>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</si>
  <si>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</si>
  <si>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</si>
  <si>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</si>
  <si>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</si>
  <si>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</si>
  <si>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</si>
  <si>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</si>
  <si>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</si>
  <si>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</si>
  <si>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</si>
  <si>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</si>
  <si>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</si>
  <si>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</si>
  <si>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</si>
  <si>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</si>
  <si>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</si>
  <si>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</si>
  <si>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</si>
  <si>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</si>
  <si>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</si>
  <si>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</si>
  <si>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</si>
  <si>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</si>
  <si>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</si>
  <si>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</si>
  <si>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</si>
  <si>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</si>
  <si>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</si>
  <si>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</si>
  <si>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</si>
  <si>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</si>
  <si>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</si>
  <si>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</si>
  <si>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</si>
  <si>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</si>
  <si>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</si>
  <si>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</si>
  <si>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</si>
  <si>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</si>
  <si>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</si>
  <si>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</si>
  <si>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</si>
  <si>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</si>
  <si>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</si>
  <si>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</si>
  <si>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</si>
  <si>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</si>
  <si>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</si>
  <si>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</si>
  <si>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</si>
  <si>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</si>
  <si>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</si>
  <si>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</si>
  <si>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</si>
  <si>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</si>
  <si>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</si>
  <si>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</si>
  <si>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</si>
  <si>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</si>
  <si>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</si>
  <si>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</si>
  <si>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</si>
  <si>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</si>
  <si>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</si>
  <si>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</si>
  <si>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</si>
  <si>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</si>
  <si>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</si>
  <si>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</si>
  <si>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</si>
  <si>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</si>
  <si>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</si>
  <si>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</si>
  <si>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</si>
  <si>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</si>
  <si>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</si>
  <si>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</si>
  <si>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</si>
  <si>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</si>
  <si>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</si>
  <si>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</si>
  <si>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</si>
  <si>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</si>
  <si>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</si>
  <si>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</si>
  <si>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</si>
  <si>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</si>
  <si>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</si>
  <si>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</si>
  <si>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</si>
  <si>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</si>
  <si>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</si>
  <si>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</si>
  <si>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</si>
  <si>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</si>
  <si>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</si>
  <si>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</si>
  <si>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</si>
  <si>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</si>
  <si>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</si>
  <si>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</si>
  <si>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</si>
  <si>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</si>
  <si>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</si>
  <si>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</si>
  <si>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</si>
  <si>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</si>
  <si>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</si>
  <si>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</si>
  <si>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</si>
  <si>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</si>
  <si>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</si>
  <si>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</si>
  <si>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</si>
  <si>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</si>
  <si>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</si>
  <si>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</si>
  <si>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</si>
  <si>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</si>
  <si>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</si>
  <si>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</si>
  <si>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</si>
  <si>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</si>
  <si>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</si>
  <si>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</si>
  <si>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</si>
  <si>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</si>
  <si>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</si>
  <si>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</si>
  <si>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</si>
  <si>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</si>
  <si>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</si>
  <si>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</si>
  <si>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</si>
  <si>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</si>
  <si>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</si>
  <si>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</si>
  <si>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</si>
  <si>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</si>
  <si>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</si>
  <si>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</si>
  <si>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</si>
  <si>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</si>
  <si>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</si>
  <si>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</si>
  <si>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</si>
  <si>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</si>
  <si>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</si>
  <si>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</si>
  <si>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</si>
  <si>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</si>
  <si>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</si>
  <si>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</si>
  <si>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</si>
  <si>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</si>
  <si>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</si>
  <si>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</si>
  <si>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</si>
  <si>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</si>
  <si>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</si>
  <si>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</si>
  <si>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</si>
  <si>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</si>
  <si>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</si>
  <si>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</si>
  <si>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</si>
  <si>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</si>
  <si>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</si>
  <si>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</si>
  <si>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</si>
  <si>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</si>
  <si>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</si>
  <si>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</si>
  <si>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</si>
  <si>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</si>
  <si>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</si>
  <si>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</si>
  <si>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</si>
  <si>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</si>
  <si>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</si>
  <si>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</si>
  <si>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</si>
  <si>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</si>
  <si>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</si>
  <si>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</si>
  <si>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</si>
  <si>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</si>
  <si>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</si>
  <si>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</si>
  <si>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</si>
  <si>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</si>
  <si>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</si>
  <si>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</si>
  <si>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</si>
  <si>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</si>
  <si>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</si>
  <si>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</si>
  <si>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</si>
  <si>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</si>
  <si>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</si>
  <si>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</si>
  <si>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</si>
  <si>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</si>
  <si>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</si>
  <si>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</si>
  <si>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</si>
  <si>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</si>
  <si>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</si>
  <si>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</si>
  <si>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</si>
  <si>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</si>
  <si>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</si>
  <si>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</si>
  <si>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</si>
  <si>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</si>
  <si>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</si>
  <si>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</si>
  <si>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</si>
  <si>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</si>
  <si>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</si>
  <si>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</si>
  <si>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</si>
  <si>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</si>
  <si>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</si>
  <si>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</si>
  <si>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</si>
  <si>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</si>
  <si>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</si>
  <si>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</si>
  <si>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</si>
  <si>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</si>
  <si>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</si>
  <si>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</si>
  <si>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</si>
  <si>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</si>
  <si>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</si>
  <si>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</si>
  <si>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</si>
  <si>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</si>
  <si>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</si>
  <si>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</si>
  <si>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</si>
  <si>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</si>
  <si>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</si>
  <si>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</si>
  <si>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</si>
  <si>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</si>
  <si>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</si>
  <si>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</si>
  <si>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</si>
  <si>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</si>
  <si>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</si>
  <si>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</si>
  <si>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</si>
  <si>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</si>
  <si>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</si>
  <si>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</si>
  <si>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</si>
  <si>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</si>
  <si>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</si>
  <si>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</si>
  <si>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</si>
  <si>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</si>
  <si>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</si>
  <si>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</si>
  <si>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</si>
  <si>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</si>
  <si>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</si>
  <si>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</si>
  <si>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</si>
  <si>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</si>
  <si>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</si>
  <si>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</si>
  <si>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万元</t>
  </si>
  <si>
    <t>楼面单价</t>
  </si>
  <si>
    <t>商业</t>
  </si>
  <si>
    <t>无租约</t>
  </si>
  <si>
    <t>否</t>
  </si>
  <si>
    <t>利息：取LPR加浮动点数</t>
  </si>
  <si>
    <t>钢混</t>
  </si>
  <si>
    <t>非生产用房</t>
  </si>
  <si>
    <t>未包含在土地购买价格中</t>
  </si>
  <si>
    <t>已包含在土地取得成本中</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</si>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</sst>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B3">
            <v>12561</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估价对象为北京市房地产，为XX所有。根据《》[]，估价对象建筑面积为120.21平方米。根据《》[]，估价对象（分摊）出让国有建设用地使用权面积为平方米。估价对象用途为。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2022年11月29日</v>
      </c>
    </row>
    <row r="10" spans="1:2">
      <c r="A10" s="1139" t="s">
        <v>865</v>
      </c>
      <c r="B10" s="1126" t="str">
        <f>'预评函-1'!A13</f>
        <v>本次估价的“房地产价值”是指在正常市场情况下，在价值时点2022年11月29日，估价对象规划用途为，假定未设立法定优先受偿款下的房地产市场价值。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120.21</v>
      </c>
    </row>
    <row r="19" spans="1:2">
      <c r="A19" s="1139" t="s">
        <v>874</v>
      </c>
      <c r="B19" s="1126">
        <f ca="1">'预评函-2（1）'!D7</f>
        <v>261</v>
      </c>
    </row>
    <row r="20" spans="1:2">
      <c r="A20" s="1139" t="s">
        <v>912</v>
      </c>
      <c r="B20" s="1126" t="str">
        <f>'预评函-2（1）'!C7</f>
        <v>总价（万元）</v>
      </c>
    </row>
    <row r="21" spans="1:2">
      <c r="A21" s="1139" t="s">
        <v>875</v>
      </c>
      <c r="B21" s="1126">
        <f ca="1">'预评函-2（1）'!D9</f>
        <v>21697</v>
      </c>
    </row>
    <row r="22" spans="1:2">
      <c r="A22" s="1139" t="s">
        <v>876</v>
      </c>
      <c r="B22" s="1126" t="str">
        <f ca="1">'预评函-2（1）'!D8</f>
        <v>贰佰陆拾壹万元整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261</v>
      </c>
    </row>
    <row r="30" spans="1:2">
      <c r="A30" s="1139" t="s">
        <v>882</v>
      </c>
      <c r="B30" s="1126" t="str">
        <f ca="1">'预评函-2（1）'!D16</f>
        <v>贰佰陆拾壹万元整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199</v>
      </c>
    </row>
    <row r="38" spans="1:2">
      <c r="A38" s="1139" t="s">
        <v>890</v>
      </c>
      <c r="B38" s="1126">
        <f ca="1">'预评函-2（2）'!E4</f>
        <v>16555</v>
      </c>
    </row>
    <row r="39" spans="1:2">
      <c r="A39" s="1139" t="s">
        <v>891</v>
      </c>
      <c r="B39" s="1126" t="str">
        <f ca="1">'预评函-2（2）'!D5</f>
        <v>壹佰玖拾玖万元整</v>
      </c>
    </row>
    <row r="40" spans="1:2">
      <c r="A40" s="1139" t="s">
        <v>892</v>
      </c>
      <c r="B40" s="1126">
        <f ca="1">'预评函-2（2）'!F4</f>
        <v>62</v>
      </c>
    </row>
    <row r="41" spans="1:2">
      <c r="A41" s="1139" t="s">
        <v>893</v>
      </c>
      <c r="B41" s="1126">
        <f ca="1">'预评函-2（2）'!G4</f>
        <v>5142</v>
      </c>
    </row>
    <row r="42" spans="1:2" s="1136" customFormat="1" ht="15.75" thickBot="1">
      <c r="A42" s="1140" t="s">
        <v>894</v>
      </c>
      <c r="B42" s="1128" t="str">
        <f ca="1">'预评函-2（2）'!F5</f>
        <v>陆拾贰万元整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21697</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12" sqref="D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44894</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2587</v>
      </c>
      <c r="B12" s="2817" t="s">
        <v>1310</v>
      </c>
      <c r="C12" s="766">
        <v>120.21</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E48" sqref="E48"/>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44894</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2"/>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120.21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3035</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56129</v>
      </c>
      <c r="C12" s="1613"/>
      <c r="D12" s="2848" t="s">
        <v>1395</v>
      </c>
      <c r="E12" s="2570">
        <v>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30.78</v>
      </c>
      <c r="C13" s="2885"/>
      <c r="D13" s="2851" t="s">
        <v>1397</v>
      </c>
      <c r="E13" s="2571">
        <f>E12*B5</f>
        <v>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0.91500000000000004</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5.5E-2</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0.06</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0.08</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7.4999999999999997E-2</v>
      </c>
      <c r="C18" s="1613"/>
      <c r="D18" s="2857" t="str">
        <f>IF(B26=0,"建安总额","在建建安")</f>
        <v>建安总额</v>
      </c>
      <c r="E18" s="2858">
        <f>ROUND(B5*E17*IF(B26=0,1,E20),0)</f>
        <v>420735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H20</f>
        <v>0.9</v>
      </c>
      <c r="F20" s="905"/>
      <c r="G20" s="1613"/>
      <c r="H20" s="1613">
        <f>ROUND(1-(2022-B27)/60,2)</f>
        <v>0.9</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2016</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3036</v>
      </c>
      <c r="D29" s="2853" t="s">
        <v>1423</v>
      </c>
      <c r="E29" s="2872">
        <f>E30+E31</f>
        <v>5.5000000000000007E-2</v>
      </c>
      <c r="F29" s="1238"/>
      <c r="G29" s="2887"/>
      <c r="H29" s="2887"/>
      <c r="K29" s="1613"/>
      <c r="N29" s="1613"/>
    </row>
    <row r="30" spans="1:41" ht="14.25">
      <c r="A30" s="2848" t="str">
        <f>IF(B29="租赁期内按合同租金","合同租金","市场租金")</f>
        <v>市场租金</v>
      </c>
      <c r="B30" s="2588">
        <v>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30.78</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120.21</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44894</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261</v>
      </c>
      <c r="C5" s="2499">
        <f ca="1">ROUND(B5*10000/$B$1,0)</f>
        <v>21712</v>
      </c>
      <c r="D5" s="2499" t="e">
        <f ca="1">ROUND(B5*10000/$B$2,0)</f>
        <v>#DIV/0!</v>
      </c>
      <c r="E5" s="1562"/>
      <c r="F5" s="2500"/>
      <c r="G5" s="2500"/>
    </row>
    <row r="6" spans="1:9" ht="16.5">
      <c r="A6" s="2499" t="s">
        <v>981</v>
      </c>
      <c r="B6" s="2499">
        <f ca="1">SUM(G14:G23)</f>
        <v>261</v>
      </c>
      <c r="C6" s="2499">
        <f t="shared" ref="C6:C8" ca="1" si="0">ROUND(B6*10000/$B$1,0)</f>
        <v>21712</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120.21</v>
      </c>
      <c r="C14" s="2835">
        <f>项目基本情况!C13</f>
        <v>0</v>
      </c>
      <c r="D14" s="2835">
        <f ca="1">IF('数据-取费表'!B3="万元",IF(A14="估价对象1（结果表）",结果表!H121,'结果表 (1修多)'!H125),IF(A14="估价对象1（结果表）",结果表!H121,'结果表 (1修多)'!H125)/10000)</f>
        <v>261</v>
      </c>
      <c r="E14" s="2835">
        <f ca="1">ROUND(D14*10000/B14,0)</f>
        <v>21712</v>
      </c>
      <c r="F14" s="2835" t="e">
        <f ca="1">ROUND(D14*10000/C14,0)</f>
        <v>#DIV/0!</v>
      </c>
      <c r="G14" s="2835">
        <f ca="1">IF('数据-取费表'!B3="万元",IF(A14="估价对象1（结果表）",结果表!D125,'结果表 (1修多)'!D129),IF(A14="估价对象1（结果表）",结果表!D125,'结果表 (1修多)'!D129)/10000)</f>
        <v>261</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K9" sqref="K9"/>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3043</v>
      </c>
      <c r="D4" s="2632" t="s">
        <v>3044</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5</v>
      </c>
      <c r="D14" s="3490">
        <v>5</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c r="N17" s="659">
        <v>30000</v>
      </c>
      <c r="O17" s="659">
        <f ca="1">D20</f>
        <v>20261</v>
      </c>
    </row>
    <row r="18" spans="1:36" ht="30" customHeight="1" thickBot="1">
      <c r="A18" s="2635" t="s">
        <v>1493</v>
      </c>
      <c r="B18" s="2636"/>
      <c r="C18" s="2637">
        <f>ROUND(C17/SUM(C17:D17),2)</f>
        <v>0.5</v>
      </c>
      <c r="D18" s="2637">
        <f>1-C18</f>
        <v>0.5</v>
      </c>
      <c r="E18" s="3507" t="s">
        <v>2576</v>
      </c>
      <c r="F18" s="3508"/>
      <c r="G18" s="3508"/>
      <c r="H18" s="3508"/>
      <c r="I18" s="3508"/>
      <c r="J18" s="2765"/>
      <c r="N18" s="659">
        <v>0.6</v>
      </c>
      <c r="O18" s="659">
        <v>0.4</v>
      </c>
    </row>
    <row r="19" spans="1:36" ht="15">
      <c r="A19" s="2638" t="s">
        <v>1494</v>
      </c>
      <c r="B19" s="2639" t="s">
        <v>1495</v>
      </c>
      <c r="C19" s="2640">
        <f ca="1">SUMIF(INDIRECT("'"&amp;C4&amp;"'"&amp;"!A:A"),结果表!B19,INDIRECT("'"&amp;C4&amp;"'"&amp;"!B:B"))</f>
        <v>278</v>
      </c>
      <c r="D19" s="2641">
        <f ca="1">SUMIF(INDIRECT("'"&amp;D4&amp;"'"&amp;"!A:A"),结果表!B19,INDIRECT("'"&amp;D4&amp;"'"&amp;"!B:B"))</f>
        <v>244</v>
      </c>
      <c r="E19" s="2638" t="s">
        <v>1496</v>
      </c>
      <c r="F19" s="2639" t="s">
        <v>1495</v>
      </c>
      <c r="G19" s="2642">
        <f ca="1">ROUND(C19*$C$18+D19*$D$18,0)</f>
        <v>261</v>
      </c>
      <c r="H19" s="2643" t="str">
        <f>'数据-取费表'!B3</f>
        <v>万元</v>
      </c>
      <c r="I19" s="2691"/>
      <c r="J19" s="2766"/>
      <c r="N19" s="659">
        <f ca="1">N17*N18+O17*O18</f>
        <v>26104.400000000001</v>
      </c>
    </row>
    <row r="20" spans="1:36" ht="15">
      <c r="A20" s="2644"/>
      <c r="B20" s="1622" t="s">
        <v>1497</v>
      </c>
      <c r="C20" s="1847">
        <f ca="1">SUMIF(INDIRECT("'"&amp;C4&amp;"'"&amp;"!A:A"),结果表!B20,INDIRECT("'"&amp;C4&amp;"'"&amp;"!B:B"))</f>
        <v>23133</v>
      </c>
      <c r="D20" s="1850">
        <f ca="1">SUMIF(INDIRECT("'"&amp;D4&amp;"'"&amp;"!A:A"),结果表!B20,INDIRECT("'"&amp;D4&amp;"'"&amp;"!B:B"))</f>
        <v>20261</v>
      </c>
      <c r="E20" s="2644"/>
      <c r="F20" s="1622" t="s">
        <v>1497</v>
      </c>
      <c r="G20" s="2021">
        <f ca="1">ROUND(C20*$C$18+D20*$D$18,0)</f>
        <v>21697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0.13934426229508201</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21697</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16555</v>
      </c>
      <c r="D34" s="2668">
        <f ca="1">IF(D33="自定义",ROUND(C34/C32,3),1-D35)</f>
        <v>0.76300000000000001</v>
      </c>
      <c r="E34" s="1363" t="s">
        <v>1510</v>
      </c>
      <c r="F34" s="2669">
        <v>2000</v>
      </c>
      <c r="G34" s="905"/>
      <c r="H34" s="905"/>
      <c r="I34" s="905"/>
      <c r="J34" s="2765"/>
    </row>
    <row r="35" spans="1:17" ht="15.75" thickBot="1">
      <c r="A35" s="1395"/>
      <c r="B35" s="2670" t="s">
        <v>1511</v>
      </c>
      <c r="C35" s="2671">
        <f ca="1">IF(D33="自定义",F35,ROUND(C32*D35,0))</f>
        <v>5142</v>
      </c>
      <c r="D35" s="2672">
        <f ca="1">IF(D33="自定义",ROUND(C35/C32,3),IF(D33="成本法成本比率",成本法!C56,IF(D33="收益法收益比率",收益法!J38,收益法!J41)))</f>
        <v>0.23699999999999999</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261</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44894</v>
      </c>
      <c r="O47" s="3430"/>
      <c r="P47" s="3430"/>
      <c r="Q47" s="1236"/>
    </row>
    <row r="48" spans="1:17" ht="25.5">
      <c r="A48" s="3503" t="s">
        <v>1536</v>
      </c>
      <c r="B48" s="3437"/>
      <c r="C48" s="3437"/>
      <c r="D48" s="12">
        <f ca="1">IF(H48="情况1",0,IF(H48="情况2",D52,IF(H48="情况3",D53,IF(H48="情况4",D54))))</f>
        <v>14</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28" t="s">
        <v>2508</v>
      </c>
      <c r="M48" s="3428"/>
      <c r="N48" s="3429">
        <f ca="1">I102</f>
        <v>261</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14</v>
      </c>
      <c r="E52" s="2020" t="s">
        <v>1553</v>
      </c>
      <c r="F52" s="2493">
        <f>'数据-取费表'!E29</f>
        <v>5.5000000000000007E-2</v>
      </c>
      <c r="G52" s="2494"/>
      <c r="H52" s="905"/>
      <c r="I52" s="2898"/>
      <c r="J52" s="2773"/>
      <c r="K52" s="2454">
        <v>1</v>
      </c>
      <c r="L52" s="3417" t="s">
        <v>2515</v>
      </c>
      <c r="M52" s="3417"/>
      <c r="N52" s="2456">
        <f ca="1">D48</f>
        <v>14</v>
      </c>
      <c r="O52" s="2454" t="str">
        <f>E48</f>
        <v>销售额×税（费）率</v>
      </c>
      <c r="P52" s="2457">
        <f>F48</f>
        <v>5.5000000000000007E-2</v>
      </c>
      <c r="Q52" s="1236"/>
    </row>
    <row r="53" spans="1:17" ht="12" customHeight="1">
      <c r="A53" s="2010" t="s">
        <v>1555</v>
      </c>
      <c r="B53" s="3488" t="s">
        <v>2593</v>
      </c>
      <c r="C53" s="3477"/>
      <c r="D53" s="1028">
        <f ca="1">ROUND(D45*'数据-取费表'!E29/(1+'数据-取费表'!F30),0)</f>
        <v>14</v>
      </c>
      <c r="E53" s="2020" t="s">
        <v>1553</v>
      </c>
      <c r="F53" s="2493">
        <f>'数据-取费表'!E29</f>
        <v>5.5000000000000007E-2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14</v>
      </c>
      <c r="E54" s="264" t="s">
        <v>1558</v>
      </c>
      <c r="F54" s="2493">
        <f>'数据-取费表'!E29</f>
        <v>5.5000000000000007E-2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14</v>
      </c>
      <c r="P57" s="2465"/>
      <c r="Q57" s="1234" t="e">
        <f ca="1">O57/N49</f>
        <v>#VALUE!</v>
      </c>
    </row>
    <row r="58" spans="1:17" ht="24.75">
      <c r="A58" s="2010" t="s">
        <v>1551</v>
      </c>
      <c r="B58" s="3488" t="s">
        <v>1569</v>
      </c>
      <c r="C58" s="3476"/>
      <c r="D58" s="12">
        <f ca="1">IF(H58="转让取得",C81,C97)</f>
        <v>148</v>
      </c>
      <c r="E58" s="2020" t="s">
        <v>1564</v>
      </c>
      <c r="F58" s="235" t="s">
        <v>48</v>
      </c>
      <c r="G58" s="2494"/>
      <c r="H58" s="2496" t="s">
        <v>1570</v>
      </c>
      <c r="I58" s="2900"/>
      <c r="J58" s="2773"/>
      <c r="K58" s="3417"/>
      <c r="L58" s="3417"/>
      <c r="M58" s="2462" t="s">
        <v>2520</v>
      </c>
      <c r="N58" s="2466"/>
      <c r="O58" s="2467" t="str">
        <f ca="1">IF(H19="元",NUMBERSTRING(INT(O57),2)&amp;"元整",NUMBERSTRING(INT(O57*10000),2)&amp;"元整")</f>
        <v>壹拾肆万元整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2520</v>
      </c>
      <c r="N60" s="2466"/>
      <c r="O60" s="2467" t="e">
        <f ca="1">IF(H19="元",NUMBERSTRING(INT(O59),2)&amp;"元整",NUMBERSTRING(INT(O59*10000),2)&amp;"元整")</f>
        <v>#VALUE!</v>
      </c>
      <c r="P60" s="2468"/>
      <c r="Q60" s="1236"/>
    </row>
    <row r="61" spans="1:17" ht="13.5" thickBot="1">
      <c r="A61" s="3506" t="s">
        <v>1574</v>
      </c>
      <c r="B61" s="3506"/>
      <c r="C61" s="3506"/>
      <c r="D61" s="3506"/>
      <c r="E61" s="3506"/>
      <c r="F61" s="2901"/>
      <c r="G61" s="2901"/>
      <c r="H61" s="2903"/>
      <c r="I61" s="31"/>
      <c r="K61" s="2454">
        <f>K59+1</f>
        <v>6</v>
      </c>
      <c r="L61" s="3417" t="s">
        <v>2522</v>
      </c>
      <c r="M61" s="3417"/>
      <c r="N61" s="2472"/>
      <c r="O61" s="2473" t="e">
        <f ca="1">IF(H19="元",ROUND(O59/项目基本情况!C12,0),ROUND(O59*10000/项目基本情况!C12,0))</f>
        <v>#VALUE!</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249</v>
      </c>
      <c r="D63" s="47"/>
      <c r="E63" s="48"/>
      <c r="F63" s="2901"/>
      <c r="G63" s="2901"/>
      <c r="H63" s="2903"/>
      <c r="I63" s="31"/>
      <c r="K63" s="343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261</v>
      </c>
      <c r="D64" s="50" t="s">
        <v>41</v>
      </c>
      <c r="E64" s="52"/>
      <c r="F64" s="2901"/>
      <c r="G64" s="2901"/>
      <c r="H64" s="2903"/>
      <c r="I64" s="31"/>
      <c r="K64" s="343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3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36"/>
      <c r="L66" s="2476" t="s">
        <v>2528</v>
      </c>
      <c r="M66" s="2476" t="e">
        <f>N49*0.5%</f>
        <v>#VALUE!</v>
      </c>
      <c r="N66" s="2477" t="e">
        <f>IF(M66&gt;0.5,0.5,ROUND(M66,0))</f>
        <v>#VALUE!</v>
      </c>
      <c r="O66" s="2475" t="s">
        <v>2529</v>
      </c>
      <c r="P66" s="2475"/>
      <c r="Q66" s="1236"/>
    </row>
    <row r="67" spans="1:36" ht="12.75">
      <c r="A67" s="53" t="s">
        <v>42</v>
      </c>
      <c r="B67" s="54" t="s">
        <v>1591</v>
      </c>
      <c r="C67" s="2708">
        <f ca="1">C63-C66</f>
        <v>249</v>
      </c>
      <c r="D67" s="50" t="s">
        <v>41</v>
      </c>
      <c r="E67" s="52"/>
      <c r="F67" s="2901"/>
      <c r="G67" s="2901"/>
      <c r="H67" s="2903"/>
      <c r="I67" s="31"/>
      <c r="K67" s="343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14</v>
      </c>
      <c r="D68" s="2170">
        <f>'数据-取费表'!E29</f>
        <v>5.5000000000000007E-2</v>
      </c>
      <c r="E68" s="57"/>
      <c r="F68" s="2901"/>
      <c r="G68" s="2901"/>
      <c r="H68" s="2903"/>
      <c r="I68" s="31"/>
      <c r="K68" s="343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249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1</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v>
      </c>
      <c r="D78" s="2717">
        <f>'数据-取费表'!E31</f>
        <v>5.000000000000001E-3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248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248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148</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249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1</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v>
      </c>
      <c r="D93" s="2717">
        <f>'数据-取费表'!E31</f>
        <v>5.000000000000001E-3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248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248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148</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成本法</v>
      </c>
      <c r="D100" s="2727" t="str">
        <f>D4</f>
        <v>收益法</v>
      </c>
      <c r="E100" s="1389"/>
      <c r="F100" s="3461" t="s">
        <v>2537</v>
      </c>
      <c r="G100" s="3463"/>
      <c r="H100" s="3461" t="s">
        <v>2538</v>
      </c>
      <c r="I100" s="3462"/>
      <c r="J100" s="2780"/>
    </row>
    <row r="101" spans="1:36" ht="12.75">
      <c r="A101" s="3478" t="s">
        <v>2570</v>
      </c>
      <c r="B101" s="2235" t="str">
        <f>IF(H19="元","总价（元）","总价（万元）")</f>
        <v>总价（万元）</v>
      </c>
      <c r="C101" s="1235">
        <f ca="1">C19</f>
        <v>278</v>
      </c>
      <c r="D101" s="2727">
        <f ca="1">D19</f>
        <v>244</v>
      </c>
      <c r="E101" s="1389"/>
      <c r="F101" s="3461" t="str">
        <f>项目基本情况!I1</f>
        <v>北京市房地产</v>
      </c>
      <c r="G101" s="3463"/>
      <c r="H101" s="3465">
        <f>项目基本情况!C12</f>
        <v>120.21</v>
      </c>
      <c r="I101" s="3462"/>
      <c r="J101" s="2780"/>
    </row>
    <row r="102" spans="1:36" ht="12.75">
      <c r="A102" s="3478"/>
      <c r="B102" s="2235" t="s">
        <v>2571</v>
      </c>
      <c r="C102" s="2728">
        <f ca="1">C20</f>
        <v>23133</v>
      </c>
      <c r="D102" s="2729">
        <f ca="1">D20</f>
        <v>20261</v>
      </c>
      <c r="E102" s="1389"/>
      <c r="F102" s="3448" t="s">
        <v>2567</v>
      </c>
      <c r="G102" s="3449"/>
      <c r="H102" s="2737" t="str">
        <f>C106</f>
        <v>总价（万元）</v>
      </c>
      <c r="I102" s="2738">
        <f ca="1">H121</f>
        <v>261</v>
      </c>
      <c r="J102" s="2780"/>
    </row>
    <row r="103" spans="1:36" ht="12.75">
      <c r="A103" s="3478" t="s">
        <v>2572</v>
      </c>
      <c r="B103" s="2173" t="str">
        <f>B101</f>
        <v>总价（万元）</v>
      </c>
      <c r="C103" s="2732">
        <f ca="1">H121</f>
        <v>261</v>
      </c>
      <c r="D103" s="2730"/>
      <c r="E103" s="1389"/>
      <c r="F103" s="3448"/>
      <c r="G103" s="3449"/>
      <c r="H103" s="2737" t="s">
        <v>2540</v>
      </c>
      <c r="I103" s="52">
        <f ca="1">I121</f>
        <v>21697</v>
      </c>
      <c r="J103" s="2764"/>
    </row>
    <row r="104" spans="1:36" ht="13.5" thickBot="1">
      <c r="A104" s="3479"/>
      <c r="B104" s="2734" t="s">
        <v>2571</v>
      </c>
      <c r="C104" s="2735">
        <f ca="1">I121</f>
        <v>21697</v>
      </c>
      <c r="D104" s="2736"/>
      <c r="E104" s="1389"/>
      <c r="F104" s="3448"/>
      <c r="G104" s="3449"/>
      <c r="H104" s="3480"/>
      <c r="I104" s="3481"/>
      <c r="J104" s="2781"/>
    </row>
    <row r="105" spans="1:36" ht="15">
      <c r="A105" s="3442" t="s">
        <v>1633</v>
      </c>
      <c r="B105" s="3443"/>
      <c r="C105" s="3443"/>
      <c r="D105" s="3444"/>
      <c r="E105" s="1389"/>
      <c r="F105" s="3484" t="s">
        <v>2541</v>
      </c>
      <c r="G105" s="3485"/>
      <c r="H105" s="2739" t="str">
        <f>C108</f>
        <v>总额（万元）</v>
      </c>
      <c r="I105" s="2738">
        <f>SUMIF(I106:I108,"&lt;9E307")</f>
        <v>0</v>
      </c>
      <c r="J105" s="2780"/>
    </row>
    <row r="106" spans="1:36" ht="14.25">
      <c r="A106" s="3448" t="s">
        <v>2564</v>
      </c>
      <c r="B106" s="3449"/>
      <c r="C106" s="2737" t="str">
        <f>B101</f>
        <v>总价（万元）</v>
      </c>
      <c r="D106" s="2738">
        <f ca="1">H121</f>
        <v>261</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2565</v>
      </c>
      <c r="D107" s="52">
        <f ca="1">I121</f>
        <v>21697</v>
      </c>
      <c r="E107" s="1389"/>
      <c r="F107" s="3450" t="s">
        <v>2543</v>
      </c>
      <c r="G107" s="3451"/>
      <c r="H107" s="2739" t="str">
        <f>C110</f>
        <v>总额（万元）</v>
      </c>
      <c r="I107" s="52">
        <f>C37</f>
        <v>0</v>
      </c>
      <c r="J107" s="2764"/>
    </row>
    <row r="108" spans="1:36" ht="12.75">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2.75">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261</v>
      </c>
      <c r="J110" s="2780"/>
    </row>
    <row r="111" spans="1:36" ht="12.75">
      <c r="A111" s="3450" t="s">
        <v>2545</v>
      </c>
      <c r="B111" s="3451"/>
      <c r="C111" s="2739" t="str">
        <f>C108</f>
        <v>总额（万元）</v>
      </c>
      <c r="D111" s="52">
        <f>C38</f>
        <v>0</v>
      </c>
      <c r="E111" s="1389"/>
      <c r="F111" s="3433"/>
      <c r="G111" s="3434"/>
      <c r="H111" s="2737" t="s">
        <v>2540</v>
      </c>
      <c r="I111" s="2741">
        <f ca="1">D113</f>
        <v>21697</v>
      </c>
      <c r="J111" s="2783"/>
    </row>
    <row r="112" spans="1:36" ht="26.25" customHeight="1">
      <c r="A112" s="3448" t="str">
        <f>IF(项目基本情况!F5="已注销","——","3.房地产抵押价值")</f>
        <v>3.房地产抵押价值</v>
      </c>
      <c r="B112" s="3449"/>
      <c r="C112" s="2737" t="str">
        <f>B101</f>
        <v>总价（万元）</v>
      </c>
      <c r="D112" s="2738">
        <f ca="1">IF(A112="——","——",D106-D108)</f>
        <v>261</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2533</v>
      </c>
      <c r="D113" s="52">
        <f ca="1">ROUND(IF(D112=D106,D107,IF(H19="元",D112/项目基本情况!C12,D112*10000/项目基本情况!C12)),0)</f>
        <v>21697</v>
      </c>
      <c r="E113" s="1389"/>
      <c r="F113" s="3433"/>
      <c r="G113" s="3434"/>
      <c r="H113" s="2737" t="s">
        <v>2569</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（以上估价结果中总价为楼面单价乘以建筑面积得出）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2551</v>
      </c>
      <c r="B119" s="3439" t="s">
        <v>2561</v>
      </c>
      <c r="C119" s="3439" t="s">
        <v>2562</v>
      </c>
      <c r="D119" s="3446" t="s">
        <v>2553</v>
      </c>
      <c r="E119" s="3447"/>
      <c r="F119" s="3437" t="s">
        <v>2563</v>
      </c>
      <c r="G119" s="3437"/>
      <c r="H119" s="3437" t="s">
        <v>2554</v>
      </c>
      <c r="I119" s="3438"/>
      <c r="J119" s="2764"/>
    </row>
    <row r="120" spans="1:16" ht="12.75">
      <c r="A120" s="3441"/>
      <c r="B120" s="3440"/>
      <c r="C120" s="344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120.21</v>
      </c>
      <c r="C121" s="2020">
        <f>项目基本情况!C13</f>
        <v>0</v>
      </c>
      <c r="D121" s="2020">
        <f ca="1">ROUND(IF(B32="总价",C34,IF('数据-取费表'!B3="万元",E121*B121/10000,E121*B121)),0)</f>
        <v>199</v>
      </c>
      <c r="E121" s="2020">
        <f ca="1">ROUND(IF(B32="楼面单价",C34,IF(H19="元",D121/B121,D121*10000/B121)),0)</f>
        <v>16555</v>
      </c>
      <c r="F121" s="2020">
        <f ca="1">ROUND(IF(B32="总价",C35,IF('数据-取费表'!B3="万元",G121*B121/10000,G121*B121)),0)</f>
        <v>62</v>
      </c>
      <c r="G121" s="2020">
        <f ca="1">ROUND(IF(B32="楼面单价",C35,IF(H19="元",F121/B121,F121*10000/B121)),0)</f>
        <v>5142</v>
      </c>
      <c r="H121" s="2020">
        <f ca="1">ROUND(IF(B32="总价",C32,IF('数据-取费表'!B3="万元",I121*B121/10000,I121*B121)),0)</f>
        <v>261</v>
      </c>
      <c r="I121" s="52">
        <f ca="1">ROUND(IF(B32="楼面单价",C32,IF(H19="元",H121/B121,H121*10000/B121)),0)</f>
        <v>21697</v>
      </c>
      <c r="J121" s="2764"/>
    </row>
    <row r="122" spans="1:16" ht="12.75">
      <c r="A122" s="3441" t="s">
        <v>2557</v>
      </c>
      <c r="B122" s="3437"/>
      <c r="C122" s="3437"/>
      <c r="D122" s="3472" t="str">
        <f ca="1">IF(H19="元",NUMBERSTRING(INT(D121),2)&amp;"元整",NUMBERSTRING(INT(D121*10000),2)&amp;"元整")</f>
        <v>壹佰玖拾玖万元整</v>
      </c>
      <c r="E122" s="3473"/>
      <c r="F122" s="3472" t="str">
        <f ca="1">IF(H19="元",NUMBERSTRING(INT(F121),2)&amp;"元整",NUMBERSTRING(INT(F121*10000),2)&amp;"元整")</f>
        <v>陆拾贰万元整</v>
      </c>
      <c r="G122" s="3473"/>
      <c r="H122" s="3472" t="str">
        <f ca="1">IF(H19="元",NUMBERSTRING(INT(H121),2)&amp;"元整",NUMBERSTRING(INT(H121*10000),2)&amp;"元整")</f>
        <v>贰佰陆拾壹万元整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2557</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261</v>
      </c>
      <c r="E125" s="3474"/>
      <c r="F125" s="3474"/>
      <c r="G125" s="3474"/>
      <c r="H125" s="3474"/>
      <c r="I125" s="3462"/>
      <c r="J125" s="2780"/>
    </row>
    <row r="126" spans="1:16" ht="12.75">
      <c r="A126" s="3441" t="s">
        <v>2557</v>
      </c>
      <c r="B126" s="3437"/>
      <c r="C126" s="3437"/>
      <c r="D126" s="3513">
        <f ca="1">I111</f>
        <v>21697</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2557</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2557</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（以上估价结果中总价为楼面单价乘以建筑面积得出）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2576</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44894</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5.5000000000000007E-2</v>
      </c>
      <c r="G54" s="2494"/>
      <c r="H54" s="905"/>
      <c r="I54" s="2898"/>
      <c r="J54" s="2773"/>
      <c r="K54" s="2431">
        <v>1</v>
      </c>
      <c r="L54" s="3529" t="s">
        <v>1554</v>
      </c>
      <c r="M54" s="3529"/>
      <c r="N54" s="2433">
        <f>D50</f>
        <v>0</v>
      </c>
      <c r="O54" s="2431" t="str">
        <f>E50</f>
        <v>销售额×税（费）率</v>
      </c>
      <c r="P54" s="2434">
        <f>F50</f>
        <v>5.5000000000000007E-2</v>
      </c>
    </row>
    <row r="55" spans="1:17" ht="12" customHeight="1">
      <c r="A55" s="2010" t="s">
        <v>1555</v>
      </c>
      <c r="B55" s="3488" t="s">
        <v>2593</v>
      </c>
      <c r="C55" s="3477"/>
      <c r="D55" s="1028">
        <f>ROUND(D47*'数据-取费表'!E29/(1+'数据-取费表'!F30),0)</f>
        <v>0</v>
      </c>
      <c r="E55" s="2020" t="s">
        <v>1553</v>
      </c>
      <c r="F55" s="2493">
        <f>'数据-取费表'!E29</f>
        <v>5.5000000000000007E-2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5.5000000000000007E-2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2.75">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2533</v>
      </c>
      <c r="C104" s="2728" t="e">
        <f ca="1">C20</f>
        <v>#REF!</v>
      </c>
      <c r="D104" s="2729" t="e">
        <f ca="1">D20</f>
        <v>#REF!</v>
      </c>
      <c r="E104" s="1389"/>
      <c r="F104" s="3448" t="s">
        <v>2539</v>
      </c>
      <c r="G104" s="3449"/>
      <c r="H104" s="2737" t="str">
        <f>C110</f>
        <v>总价（万元）</v>
      </c>
      <c r="I104" s="2738">
        <f>H125</f>
        <v>0</v>
      </c>
      <c r="J104" s="2780"/>
    </row>
    <row r="105" spans="1:36" ht="12.75">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2.75">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2.75">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5"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2543</v>
      </c>
      <c r="G109" s="3451"/>
      <c r="H109" s="2739" t="str">
        <f>C114</f>
        <v>总额（万元）</v>
      </c>
      <c r="I109" s="52">
        <f>C39</f>
        <v>0</v>
      </c>
      <c r="J109" s="2764"/>
    </row>
    <row r="110" spans="1:36" ht="12.75">
      <c r="A110" s="3448" t="s">
        <v>2546</v>
      </c>
      <c r="B110" s="3449"/>
      <c r="C110" s="2737" t="str">
        <f>B103</f>
        <v>总价（万元）</v>
      </c>
      <c r="D110" s="2738">
        <f>H125</f>
        <v>0</v>
      </c>
      <c r="E110" s="1389"/>
      <c r="F110" s="3450" t="s">
        <v>2544</v>
      </c>
      <c r="G110" s="3451"/>
      <c r="H110" s="2739" t="str">
        <f>C115</f>
        <v>总额（万元）</v>
      </c>
      <c r="I110" s="52">
        <f>C40</f>
        <v>0</v>
      </c>
      <c r="J110" s="2764"/>
    </row>
    <row r="111" spans="1:36" ht="12.75">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2.75">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2550</v>
      </c>
      <c r="B115" s="3451"/>
      <c r="C115" s="2739" t="str">
        <f>C112</f>
        <v>总额（万元）</v>
      </c>
      <c r="D115" s="52">
        <f>C40</f>
        <v>0</v>
      </c>
      <c r="E115" s="1389"/>
      <c r="F115" s="3433"/>
      <c r="G115" s="3434"/>
      <c r="H115" s="2737" t="s">
        <v>2540</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278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23133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1556012</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ROUND(D19*J7,0)</f>
        <v>1509958</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46054</v>
      </c>
      <c r="D7" s="115"/>
      <c r="E7" s="1097"/>
      <c r="F7" s="1098">
        <f>'数据-取费表'!E36+'数据-取费表'!E37</f>
        <v>3.0499999999999999E-2</v>
      </c>
      <c r="G7" s="95"/>
      <c r="H7" s="96"/>
      <c r="I7" s="96"/>
      <c r="J7" s="96">
        <f>[2]基准地价修正!$B$3</f>
        <v>12561</v>
      </c>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t="s">
        <v>3041</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120.21</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120.21</v>
      </c>
      <c r="E19" s="111">
        <f>'数据-取费表'!E15</f>
        <v>200</v>
      </c>
      <c r="F19" s="112"/>
      <c r="G19" s="1446" t="s">
        <v>3042</v>
      </c>
    </row>
    <row r="20" spans="1:123" s="91" customFormat="1" ht="13.5" customHeight="1">
      <c r="A20" s="120" t="s">
        <v>1702</v>
      </c>
      <c r="B20" s="89" t="s">
        <v>1703</v>
      </c>
      <c r="C20" s="99">
        <f>ROUND((C5+C19)*F20,0)</f>
        <v>31120</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133120</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131829</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1291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317426</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317426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2208147</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463710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420735</v>
      </c>
      <c r="D34" s="1096"/>
      <c r="E34" s="115"/>
      <c r="F34" s="1107" t="str">
        <f>IF('数据-取费表'!B26=0,"",'数据-取费表'!E20)</f>
        <v/>
      </c>
      <c r="G34" s="95"/>
    </row>
    <row r="35" spans="1:123" ht="13.5" customHeight="1">
      <c r="A35" s="92" t="s">
        <v>1685</v>
      </c>
      <c r="B35" s="93" t="s">
        <v>1734</v>
      </c>
      <c r="C35" s="115">
        <f>ROUND(C34*F35,0)</f>
        <v>12622</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24042</v>
      </c>
      <c r="D37" s="1096">
        <f>IF(B1="仅计算典型户型",'数据-取费表'!E5,'数据-取费表'!B5)</f>
        <v>120.21</v>
      </c>
      <c r="E37" s="115">
        <f>'数据-取费表'!E23</f>
        <v>200</v>
      </c>
      <c r="F37" s="1108"/>
      <c r="G37" s="124" t="s">
        <v>1739</v>
      </c>
    </row>
    <row r="38" spans="1:123" ht="13.5" customHeight="1">
      <c r="A38" s="92" t="s">
        <v>1740</v>
      </c>
      <c r="B38" s="93" t="s">
        <v>1741</v>
      </c>
      <c r="C38" s="115">
        <f>ROUND(C34*F38,0)</f>
        <v>6311</v>
      </c>
      <c r="D38" s="115"/>
      <c r="E38" s="115"/>
      <c r="F38" s="1108">
        <f>'数据-取费表'!E24</f>
        <v>1.4999999999999999E-2</v>
      </c>
      <c r="G38" s="95" t="s">
        <v>1735</v>
      </c>
    </row>
    <row r="39" spans="1:123" s="91" customFormat="1" ht="13.5" customHeight="1">
      <c r="A39" s="120" t="s">
        <v>1700</v>
      </c>
      <c r="B39" s="89" t="s">
        <v>1703</v>
      </c>
      <c r="C39" s="99">
        <f>ROUND(C33*F20,0)</f>
        <v>9274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19629</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19244</v>
      </c>
      <c r="D42" s="104"/>
      <c r="E42" s="104"/>
      <c r="F42" s="105"/>
      <c r="G42" s="3554" t="s">
        <v>1745</v>
      </c>
    </row>
    <row r="43" spans="1:123" ht="13.5" customHeight="1">
      <c r="A43" s="92" t="s">
        <v>1685</v>
      </c>
      <c r="B43" s="93" t="s">
        <v>1714</v>
      </c>
      <c r="C43" s="104">
        <f ca="1">ROUND(IF('数据-取费表'!B24&lt;=1,C39*F22*'数据-取费表'!B23/2,C39*(POWER((1+F22),'数据-取费表'!B23/2)-1)),0)</f>
        <v>385</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94597</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94597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636335</v>
      </c>
      <c r="D49" s="99"/>
      <c r="E49" s="99"/>
      <c r="F49" s="126"/>
      <c r="G49" s="100" t="s">
        <v>1753</v>
      </c>
    </row>
    <row r="50" spans="1:123" s="122" customFormat="1" ht="24">
      <c r="A50" s="952" t="s">
        <v>1754</v>
      </c>
      <c r="B50" s="89" t="s">
        <v>1755</v>
      </c>
      <c r="C50" s="99"/>
      <c r="D50" s="99"/>
      <c r="E50" s="99"/>
      <c r="F50" s="126">
        <f>IF('数据-取费表'!B26=0,'数据-取费表'!E20,1)</f>
        <v>0.9</v>
      </c>
      <c r="G50" s="113" t="s">
        <v>1756</v>
      </c>
    </row>
    <row r="51" spans="1:123" ht="16.5" customHeight="1">
      <c r="A51" s="952" t="s">
        <v>1757</v>
      </c>
      <c r="B51" s="89" t="s">
        <v>1758</v>
      </c>
      <c r="C51" s="99">
        <f ca="1">ROUND(C49*F50,0)</f>
        <v>572702</v>
      </c>
      <c r="D51" s="99"/>
      <c r="E51" s="99"/>
      <c r="F51" s="126"/>
      <c r="G51" s="100" t="s">
        <v>1759</v>
      </c>
    </row>
    <row r="52" spans="1:123" s="88" customFormat="1" ht="16.5" thickBot="1">
      <c r="A52" s="127" t="s">
        <v>1760</v>
      </c>
      <c r="B52" s="128"/>
      <c r="C52" s="129">
        <f ca="1">C31+C51</f>
        <v>2780849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0.20599999999999999</v>
      </c>
    </row>
    <row r="57" spans="1:123">
      <c r="B57" s="135" t="s">
        <v>1763</v>
      </c>
      <c r="C57" s="137">
        <f ca="1">1-C56</f>
        <v>0.79400000000000004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52" sqref="J5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244</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20261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158153</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157956</v>
      </c>
      <c r="D6" s="36" t="s">
        <v>2461</v>
      </c>
      <c r="E6" s="235" t="s">
        <v>1776</v>
      </c>
      <c r="F6" s="236">
        <f>'数据-取费表'!B30</f>
        <v>4</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120.21</v>
      </c>
      <c r="G7" s="909"/>
      <c r="H7" s="237"/>
      <c r="I7" s="238"/>
      <c r="J7" s="239"/>
      <c r="K7" s="240"/>
      <c r="L7" s="235" t="s">
        <v>1777</v>
      </c>
      <c r="M7" s="236">
        <f>IF('数据-取费表'!B42="",IF(D1="仅计算典型户型",'数据-取费表'!E5,'数据-取费表'!B5),'数据-取费表'!B42)</f>
        <v>120.21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197</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572702</v>
      </c>
      <c r="D13" s="1023" t="s">
        <v>1791</v>
      </c>
      <c r="E13" s="1023" t="s">
        <v>1792</v>
      </c>
      <c r="F13" s="1024">
        <f>'数据-取费表'!E20</f>
        <v>0.9</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420735</v>
      </c>
      <c r="D14" s="1256" t="s">
        <v>1795</v>
      </c>
      <c r="E14" s="1257"/>
      <c r="F14" s="757"/>
      <c r="G14" s="910"/>
      <c r="H14" s="253" t="s">
        <v>1774</v>
      </c>
      <c r="I14" s="235" t="s">
        <v>1796</v>
      </c>
      <c r="J14" s="13">
        <f ca="1">C29</f>
        <v>636335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12622</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11708</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24042</v>
      </c>
      <c r="D17" s="235" t="s">
        <v>1809</v>
      </c>
      <c r="E17" s="235" t="s">
        <v>1810</v>
      </c>
      <c r="F17" s="15">
        <f>'数据-取费表'!E23</f>
        <v>200</v>
      </c>
      <c r="G17" s="910"/>
      <c r="H17" s="253" t="s">
        <v>1811</v>
      </c>
      <c r="I17" s="235" t="s">
        <v>1812</v>
      </c>
      <c r="J17" s="2745">
        <f ca="1">ROUND(IF(AND(项目基本情况!B7="自然人",项目基本情况!B6="北京市"),J6*M17/(1+'数据-取费表'!F30),J18+J19+J20),0)</f>
        <v>5345</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6311</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463710</v>
      </c>
      <c r="D19" s="33" t="s">
        <v>1820</v>
      </c>
      <c r="E19" s="1261"/>
      <c r="F19" s="15"/>
      <c r="G19" s="910"/>
      <c r="H19" s="253" t="s">
        <v>1797</v>
      </c>
      <c r="I19" s="235" t="s">
        <v>1821</v>
      </c>
      <c r="J19" s="13">
        <f ca="1">IF(项目基本情况!B7="自然人","——",IF(K19="按租金收入计税",ROUND(J6*M19/(1+'数据-取费表'!F30),0),ROUND(C29*M19*0.7,0)))</f>
        <v>5345</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9274</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6363</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19629</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-11708</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94597</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636335</v>
      </c>
      <c r="D29" s="1034"/>
      <c r="E29" s="1032"/>
      <c r="F29" s="1035"/>
      <c r="G29" s="652"/>
      <c r="H29" s="271" t="s">
        <v>24</v>
      </c>
      <c r="I29" s="272" t="s">
        <v>1869</v>
      </c>
      <c r="J29" s="273">
        <f ca="1">ROUND(J26/(1+F40)^F41,0)</f>
        <v>0</v>
      </c>
      <c r="K29" s="274" t="s">
        <v>1870</v>
      </c>
      <c r="L29" s="275"/>
      <c r="M29" s="276">
        <f>IF(D1="仅计算典型户型",'数据-取费表'!E5,'数据-取费表'!B5)</f>
        <v>120.21</v>
      </c>
    </row>
    <row r="30" spans="1:37" ht="18" customHeight="1" thickTop="1">
      <c r="A30" s="1021" t="s">
        <v>14</v>
      </c>
      <c r="B30" s="1022" t="s">
        <v>1871</v>
      </c>
      <c r="C30" s="243">
        <f ca="1">ROUND(C31+C36+C37+C38,0)</f>
        <v>34844</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26326</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8274</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18052</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42953</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7.4999999999999997E-2</v>
      </c>
      <c r="K35" s="902"/>
      <c r="L35" s="901"/>
      <c r="M35" s="901"/>
    </row>
    <row r="36" spans="1:18" ht="18" customHeight="1">
      <c r="A36" s="1018" t="s">
        <v>1781</v>
      </c>
      <c r="B36" s="235" t="s">
        <v>1880</v>
      </c>
      <c r="C36" s="13">
        <f ca="1">ROUND(C29*F36,0)</f>
        <v>6363</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573</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1582</v>
      </c>
      <c r="D38" s="1034" t="s">
        <v>1846</v>
      </c>
      <c r="E38" s="1032" t="s">
        <v>1842</v>
      </c>
      <c r="F38" s="1027">
        <f>'数据-取费表'!B47</f>
        <v>0.01</v>
      </c>
      <c r="G38" s="652"/>
      <c r="H38" s="901"/>
      <c r="I38" s="280" t="s">
        <v>1884</v>
      </c>
      <c r="J38" s="136">
        <f ca="1">ROUND(J34/C39,3)</f>
        <v>0.34799999999999998</v>
      </c>
      <c r="K38" s="906"/>
      <c r="L38" s="901"/>
      <c r="M38" s="901"/>
    </row>
    <row r="39" spans="1:18" ht="18" customHeight="1" thickTop="1">
      <c r="A39" s="1021" t="s">
        <v>22</v>
      </c>
      <c r="B39" s="1036" t="s">
        <v>1885</v>
      </c>
      <c r="C39" s="243">
        <f ca="1">C5-C30</f>
        <v>123309</v>
      </c>
      <c r="D39" s="1037" t="s">
        <v>1886</v>
      </c>
      <c r="E39" s="1038"/>
      <c r="F39" s="1039"/>
      <c r="G39" s="652"/>
      <c r="H39" s="901"/>
      <c r="I39" s="280" t="s">
        <v>1887</v>
      </c>
      <c r="J39" s="136">
        <f ca="1">1-J38</f>
        <v>0.65200000000000002</v>
      </c>
      <c r="K39" s="906"/>
      <c r="L39" s="901"/>
      <c r="M39" s="901"/>
    </row>
    <row r="40" spans="1:18" s="652" customFormat="1" ht="18" customHeight="1">
      <c r="A40" s="232" t="s">
        <v>23</v>
      </c>
      <c r="B40" s="233" t="s">
        <v>1888</v>
      </c>
      <c r="C40" s="234">
        <f ca="1">ROUND(C39*(1-((1+F42)/(1+F40))^F41)/(F40-F42),0)</f>
        <v>2411709</v>
      </c>
      <c r="D40" s="261" t="s">
        <v>1856</v>
      </c>
      <c r="E40" s="235" t="s">
        <v>1857</v>
      </c>
      <c r="F40" s="245">
        <f>'数据-取费表'!B16</f>
        <v>0.06</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30.78</v>
      </c>
      <c r="H41" s="908"/>
      <c r="I41" s="135" t="s">
        <v>1762</v>
      </c>
      <c r="J41" s="136">
        <f ca="1">ROUND(C13/C40,3)</f>
        <v>0.23699999999999999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0.76300000000000001</v>
      </c>
      <c r="K42" s="905"/>
      <c r="L42" s="908"/>
      <c r="M42" s="908"/>
      <c r="Q42" s="656"/>
    </row>
    <row r="43" spans="1:18" s="652" customFormat="1" ht="18" customHeight="1" thickBot="1">
      <c r="A43" s="271" t="s">
        <v>24</v>
      </c>
      <c r="B43" s="272" t="s">
        <v>1891</v>
      </c>
      <c r="C43" s="273">
        <f ca="1">ROUND(C40/F43,0)</f>
        <v>20062</v>
      </c>
      <c r="D43" s="274" t="s">
        <v>1892</v>
      </c>
      <c r="E43" s="275" t="s">
        <v>1893</v>
      </c>
      <c r="F43" s="276">
        <f>IF(D1="仅计算典型户型",'数据-取费表'!E5,'数据-取费表'!B5)</f>
        <v>120.21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2411709</v>
      </c>
      <c r="R45" s="1008" t="s">
        <v>1900</v>
      </c>
    </row>
    <row r="46" spans="1:18" s="652" customFormat="1" ht="18" customHeight="1" thickBot="1">
      <c r="A46" s="649"/>
      <c r="D46" s="649"/>
      <c r="E46" s="649"/>
      <c r="F46" s="649"/>
      <c r="K46" s="653"/>
      <c r="O46" s="1005" t="s">
        <v>768</v>
      </c>
      <c r="P46" s="1006" t="s">
        <v>1901</v>
      </c>
      <c r="Q46" s="1007">
        <f ca="1">J61</f>
        <v>23821</v>
      </c>
      <c r="R46" s="1008" t="s">
        <v>1902</v>
      </c>
    </row>
    <row r="47" spans="1:18" s="652" customFormat="1" ht="21.75" thickBot="1">
      <c r="A47" s="1455" t="s">
        <v>1903</v>
      </c>
      <c r="C47" s="950">
        <f ca="1">IF(C2="元",C69-C40,ROUND((C69-C40)/10000,0))</f>
        <v>-325</v>
      </c>
      <c r="D47" s="1456" t="str">
        <f>C2</f>
        <v>万元</v>
      </c>
      <c r="E47" s="649"/>
      <c r="F47" s="649"/>
      <c r="I47" s="1457" t="s">
        <v>1904</v>
      </c>
      <c r="J47" s="981"/>
      <c r="K47" s="982"/>
      <c r="L47" s="995">
        <f ca="1">IF(M48="住宅",0,IF(L49&gt;J52,L61,J61))</f>
        <v>23821</v>
      </c>
      <c r="O47" s="1009" t="s">
        <v>769</v>
      </c>
      <c r="P47" s="1006" t="s">
        <v>1905</v>
      </c>
      <c r="Q47" s="1007">
        <f ca="1">C29</f>
        <v>636335</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30.78</v>
      </c>
      <c r="O49" s="1009" t="s">
        <v>771</v>
      </c>
      <c r="P49" s="1006" t="s">
        <v>1917</v>
      </c>
      <c r="Q49" s="1010">
        <f>J53</f>
        <v>0.08</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2016</v>
      </c>
      <c r="K50" s="1465" t="s">
        <v>1921</v>
      </c>
      <c r="L50" s="984"/>
      <c r="O50" s="1009" t="s">
        <v>772</v>
      </c>
      <c r="P50" s="1006" t="s">
        <v>1922</v>
      </c>
      <c r="Q50" s="1007">
        <f>J54</f>
        <v>30.78</v>
      </c>
      <c r="R50" s="1008" t="s">
        <v>1923</v>
      </c>
    </row>
    <row r="51" spans="1:18" s="652" customFormat="1" ht="15.75" thickBot="1">
      <c r="A51" s="237"/>
      <c r="B51" s="238"/>
      <c r="C51" s="239"/>
      <c r="D51" s="240"/>
      <c r="E51" s="255" t="s">
        <v>1777</v>
      </c>
      <c r="F51" s="943">
        <f>F7</f>
        <v>120.21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244</v>
      </c>
      <c r="R51" s="1008" t="s">
        <v>774</v>
      </c>
    </row>
    <row r="52" spans="1:18" s="652" customFormat="1" ht="16.5" thickBot="1">
      <c r="A52" s="237"/>
      <c r="B52" s="238"/>
      <c r="C52" s="239"/>
      <c r="D52" s="240"/>
      <c r="E52" s="235" t="s">
        <v>1779</v>
      </c>
      <c r="F52" s="236">
        <f>F8</f>
        <v>365</v>
      </c>
      <c r="I52" s="1466" t="s">
        <v>1926</v>
      </c>
      <c r="J52" s="986">
        <f>IF(J50="",J51,J50+J51-YEAR('数据-取费表'!B2))</f>
        <v>54</v>
      </c>
      <c r="K52" s="1467" t="s">
        <v>1927</v>
      </c>
      <c r="L52" s="987">
        <f ca="1">ROUND(-PV('数据-取费表'!B15,J52,(C40-C13*J35)),0)</f>
        <v>40677598</v>
      </c>
      <c r="O52" s="999" t="s">
        <v>1928</v>
      </c>
      <c r="P52" s="1000"/>
      <c r="Q52" s="996"/>
      <c r="R52" s="1000"/>
    </row>
    <row r="53" spans="1:18" s="652" customFormat="1" ht="15.75" thickBot="1">
      <c r="A53" s="241"/>
      <c r="B53" s="242"/>
      <c r="C53" s="243"/>
      <c r="D53" s="244"/>
      <c r="E53" s="235" t="s">
        <v>1780</v>
      </c>
      <c r="F53" s="994"/>
      <c r="I53" s="1468" t="s">
        <v>1929</v>
      </c>
      <c r="J53" s="988">
        <v>0.08</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30.78</v>
      </c>
      <c r="K54" s="3557" t="s">
        <v>2460</v>
      </c>
      <c r="L54" s="3558"/>
      <c r="O54" s="1005" t="s">
        <v>767</v>
      </c>
      <c r="P54" s="1006" t="s">
        <v>1899</v>
      </c>
      <c r="Q54" s="1007">
        <f ca="1">C40+J29</f>
        <v>2411709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0.38700000000000001</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572702</v>
      </c>
      <c r="D57" s="941"/>
      <c r="E57" s="942"/>
      <c r="F57" s="949"/>
      <c r="I57" s="1475" t="s">
        <v>1936</v>
      </c>
      <c r="J57" s="993" t="s">
        <v>3037</v>
      </c>
      <c r="K57" s="1461" t="s">
        <v>1937</v>
      </c>
      <c r="L57" s="821" t="str">
        <f>IF(L49&lt;J52,"——",L49-J52)</f>
        <v>——</v>
      </c>
      <c r="O57" s="1009" t="s">
        <v>770</v>
      </c>
      <c r="P57" s="1006" t="s">
        <v>1938</v>
      </c>
      <c r="Q57" s="1010">
        <f>L53</f>
        <v>0</v>
      </c>
      <c r="R57" s="1008"/>
    </row>
    <row r="58" spans="1:18" s="652" customFormat="1" ht="29.25" thickBot="1">
      <c r="A58" s="948"/>
      <c r="B58" s="235" t="s">
        <v>1868</v>
      </c>
      <c r="C58" s="104">
        <f ca="1">C29</f>
        <v>636335</v>
      </c>
      <c r="D58" s="941"/>
      <c r="E58" s="942"/>
      <c r="F58" s="949"/>
      <c r="I58" s="1476" t="s">
        <v>1939</v>
      </c>
      <c r="J58" s="992">
        <f>IF(OR(M48="住宅",J52&lt;L49,J57="是"),"——",J52-L49)</f>
        <v>23.22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60388</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53452</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254534</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241</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f ca="1">IF(OR(M48="住宅",J52&lt;L49,J57="是"),"0",ROUND(J60/(1+J53)^J54,0))</f>
        <v>23821</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53452</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2411709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6363</v>
      </c>
      <c r="D65" s="1259" t="s">
        <v>1881</v>
      </c>
      <c r="E65" s="235" t="s">
        <v>1825</v>
      </c>
      <c r="F65" s="265">
        <f t="shared" si="0"/>
        <v>0.01</v>
      </c>
      <c r="I65" s="1479" t="s">
        <v>1961</v>
      </c>
      <c r="J65" s="1251">
        <v>50</v>
      </c>
      <c r="K65" s="1251">
        <v>35</v>
      </c>
      <c r="L65" s="1251">
        <v>60</v>
      </c>
      <c r="M65" s="1250">
        <v>0</v>
      </c>
      <c r="O65" s="1009" t="s">
        <v>769</v>
      </c>
      <c r="P65" s="1006" t="s">
        <v>1935</v>
      </c>
      <c r="Q65" s="1011">
        <f ca="1">L52</f>
        <v>40677598</v>
      </c>
      <c r="R65" s="1012" t="s">
        <v>1962</v>
      </c>
    </row>
    <row r="66" spans="1:18" s="652" customFormat="1" ht="20.25" thickBot="1">
      <c r="A66" s="253" t="s">
        <v>20</v>
      </c>
      <c r="B66" s="235" t="s">
        <v>1840</v>
      </c>
      <c r="C66" s="13">
        <f ca="1">ROUND(C57*F66,0)</f>
        <v>573</v>
      </c>
      <c r="D66" s="1259" t="s">
        <v>1841</v>
      </c>
      <c r="E66" s="235" t="s">
        <v>1842</v>
      </c>
      <c r="F66" s="266">
        <f t="shared" si="0"/>
        <v>1E-3</v>
      </c>
      <c r="I66" s="1479" t="s">
        <v>1963</v>
      </c>
      <c r="J66" s="1251">
        <v>40</v>
      </c>
      <c r="K66" s="1251">
        <v>30</v>
      </c>
      <c r="L66" s="1251">
        <v>50</v>
      </c>
      <c r="M66" s="1249">
        <v>0.02</v>
      </c>
      <c r="O66" s="1009" t="s">
        <v>770</v>
      </c>
      <c r="P66" s="1013" t="s">
        <v>1964</v>
      </c>
      <c r="Q66" s="1007">
        <f ca="1">ROUND(Q67-Q68*Q69,0)</f>
        <v>80356</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123309</v>
      </c>
      <c r="R67" s="1008" t="s">
        <v>1900</v>
      </c>
    </row>
    <row r="68" spans="1:18" ht="15.75" thickBot="1">
      <c r="A68" s="248" t="s">
        <v>22</v>
      </c>
      <c r="B68" s="41" t="s">
        <v>1850</v>
      </c>
      <c r="C68" s="250">
        <f ca="1">C49-C59</f>
        <v>-60388</v>
      </c>
      <c r="D68" s="1256" t="s">
        <v>1851</v>
      </c>
      <c r="E68" s="1258"/>
      <c r="F68" s="268"/>
      <c r="H68" s="652"/>
      <c r="I68" s="652"/>
      <c r="J68" s="652"/>
      <c r="K68" s="652"/>
      <c r="L68" s="652"/>
      <c r="M68" s="652"/>
      <c r="O68" s="1009" t="s">
        <v>776</v>
      </c>
      <c r="P68" s="1013" t="s">
        <v>1966</v>
      </c>
      <c r="Q68" s="1007">
        <f ca="1">C13</f>
        <v>572702</v>
      </c>
      <c r="R68" s="1008" t="s">
        <v>1900</v>
      </c>
    </row>
    <row r="69" spans="1:18" ht="15.75" thickBot="1">
      <c r="A69" s="232" t="s">
        <v>23</v>
      </c>
      <c r="B69" s="233" t="s">
        <v>1888</v>
      </c>
      <c r="C69" s="234">
        <f ca="1">ROUND(C68*(1-((1+F71)/(1+F69))^F70)/(F69-F71),0)</f>
        <v>-839017</v>
      </c>
      <c r="D69" s="261" t="s">
        <v>1856</v>
      </c>
      <c r="E69" s="235" t="s">
        <v>1857</v>
      </c>
      <c r="F69" s="245">
        <f>F40</f>
        <v>0.06</v>
      </c>
      <c r="H69" s="652"/>
      <c r="I69" s="652"/>
      <c r="J69" s="652"/>
      <c r="K69" s="652"/>
      <c r="L69" s="652"/>
      <c r="M69" s="652"/>
      <c r="O69" s="1009" t="s">
        <v>777</v>
      </c>
      <c r="P69" s="1013" t="s">
        <v>1967</v>
      </c>
      <c r="Q69" s="1010">
        <f>J35</f>
        <v>7.4999999999999997E-2</v>
      </c>
      <c r="R69" s="1008"/>
    </row>
    <row r="70" spans="1:18" ht="15.75" thickBot="1">
      <c r="A70" s="237"/>
      <c r="B70" s="238"/>
      <c r="C70" s="239"/>
      <c r="D70" s="269" t="s">
        <v>1890</v>
      </c>
      <c r="E70" s="235" t="s">
        <v>1862</v>
      </c>
      <c r="F70" s="270">
        <f>F41</f>
        <v>30.78</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-6980</v>
      </c>
      <c r="D72" s="274" t="s">
        <v>1892</v>
      </c>
      <c r="E72" s="275" t="s">
        <v>1893</v>
      </c>
      <c r="F72" s="276">
        <f>F43</f>
        <v>120.21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241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15"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120.21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44894</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120.21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44894</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120.21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44894</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3"/>
      <c r="Q11" s="283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7"/>
      <c r="Q37" s="2834"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2022-11</v>
      </c>
      <c r="D59" s="1754">
        <f>EDATE(C59,-1)</f>
        <v>44835</v>
      </c>
      <c r="E59" s="1754">
        <f t="shared" ref="E59:O59" si="16">EDATE(D59,-1)</f>
        <v>44805</v>
      </c>
      <c r="F59" s="1754">
        <f t="shared" si="16"/>
        <v>44774</v>
      </c>
      <c r="G59" s="1754">
        <f t="shared" si="16"/>
        <v>44743</v>
      </c>
      <c r="H59" s="1754">
        <f t="shared" si="16"/>
        <v>44713</v>
      </c>
      <c r="I59" s="1754">
        <f t="shared" si="16"/>
        <v>44682</v>
      </c>
      <c r="J59" s="1754">
        <f t="shared" si="16"/>
        <v>44652</v>
      </c>
      <c r="K59" s="1754">
        <f t="shared" si="16"/>
        <v>44621</v>
      </c>
      <c r="L59" s="1754">
        <f t="shared" si="16"/>
        <v>44593</v>
      </c>
      <c r="M59" s="1754">
        <f t="shared" si="16"/>
        <v>44562</v>
      </c>
      <c r="N59" s="1754">
        <f t="shared" si="16"/>
        <v>44531</v>
      </c>
      <c r="O59" s="1754">
        <f t="shared" si="16"/>
        <v>44501</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120.21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44894</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2022-11</v>
      </c>
      <c r="D52" s="1117">
        <f>EDATE(C52,-1)</f>
        <v>44835</v>
      </c>
      <c r="E52" s="1118">
        <f t="shared" ref="E52:O52" si="16">EDATE(D52,-1)</f>
        <v>44805</v>
      </c>
      <c r="F52" s="1118">
        <f t="shared" si="16"/>
        <v>44774</v>
      </c>
      <c r="G52" s="1118">
        <f t="shared" si="16"/>
        <v>44743</v>
      </c>
      <c r="H52" s="1118">
        <f t="shared" si="16"/>
        <v>44713</v>
      </c>
      <c r="I52" s="1118">
        <f t="shared" si="16"/>
        <v>44682</v>
      </c>
      <c r="J52" s="1118">
        <f t="shared" si="16"/>
        <v>44652</v>
      </c>
      <c r="K52" s="1118">
        <f t="shared" si="16"/>
        <v>44621</v>
      </c>
      <c r="L52" s="1118">
        <f t="shared" si="16"/>
        <v>44593</v>
      </c>
      <c r="M52" s="1118">
        <f t="shared" si="16"/>
        <v>44562</v>
      </c>
      <c r="N52" s="1118">
        <f t="shared" si="16"/>
        <v>44531</v>
      </c>
      <c r="O52" s="1118">
        <f t="shared" si="16"/>
        <v>44501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120.21</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44894</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2022-11</v>
      </c>
      <c r="D48" s="1117">
        <f>EDATE(C48,-1)</f>
        <v>44835</v>
      </c>
      <c r="E48" s="1117">
        <f t="shared" ref="E48:O48" si="16">EDATE(D48,-1)</f>
        <v>44805</v>
      </c>
      <c r="F48" s="1117">
        <f t="shared" si="16"/>
        <v>44774</v>
      </c>
      <c r="G48" s="1117">
        <f t="shared" si="16"/>
        <v>44743</v>
      </c>
      <c r="H48" s="1117">
        <f t="shared" si="16"/>
        <v>44713</v>
      </c>
      <c r="I48" s="1117">
        <f t="shared" si="16"/>
        <v>44682</v>
      </c>
      <c r="J48" s="1117">
        <f t="shared" si="16"/>
        <v>44652</v>
      </c>
      <c r="K48" s="1117">
        <f t="shared" si="16"/>
        <v>44621</v>
      </c>
      <c r="L48" s="1117">
        <f t="shared" si="16"/>
        <v>44593</v>
      </c>
      <c r="M48" s="1117">
        <f t="shared" si="16"/>
        <v>44562</v>
      </c>
      <c r="N48" s="1117">
        <f t="shared" si="16"/>
        <v>44531</v>
      </c>
      <c r="O48" s="1117">
        <f t="shared" si="16"/>
        <v>44501</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120.21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44894</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2022-11</v>
      </c>
      <c r="D46" s="1117">
        <f>EDATE(C46,-1)</f>
        <v>44835</v>
      </c>
      <c r="E46" s="1117">
        <f t="shared" ref="E46:O46" si="16">EDATE(D46,-1)</f>
        <v>44805</v>
      </c>
      <c r="F46" s="1117">
        <f t="shared" si="16"/>
        <v>44774</v>
      </c>
      <c r="G46" s="1117">
        <f t="shared" si="16"/>
        <v>44743</v>
      </c>
      <c r="H46" s="1117">
        <f t="shared" si="16"/>
        <v>44713</v>
      </c>
      <c r="I46" s="1117">
        <f t="shared" si="16"/>
        <v>44682</v>
      </c>
      <c r="J46" s="1117">
        <f t="shared" si="16"/>
        <v>44652</v>
      </c>
      <c r="K46" s="1117">
        <f t="shared" si="16"/>
        <v>44621</v>
      </c>
      <c r="L46" s="1117">
        <f t="shared" si="16"/>
        <v>44593</v>
      </c>
      <c r="M46" s="1117">
        <f t="shared" si="16"/>
        <v>44562</v>
      </c>
      <c r="N46" s="1117">
        <f t="shared" si="16"/>
        <v>44531</v>
      </c>
      <c r="O46" s="1117">
        <f t="shared" si="16"/>
        <v>44501</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44894</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109</v>
      </c>
      <c r="G10" s="1686"/>
      <c r="H10" s="1626">
        <f>ROUND(100/'数据-取费表'!B14,0)</f>
        <v>109</v>
      </c>
      <c r="I10" s="1686"/>
      <c r="J10" s="1626">
        <f>ROUND(100/'数据-取费表'!B14,0)</f>
        <v>109</v>
      </c>
      <c r="K10" s="1898"/>
      <c r="L10" s="2917"/>
      <c r="M10" s="2918"/>
      <c r="N10" s="2918"/>
      <c r="O10" s="2963"/>
      <c r="P10" s="3623"/>
      <c r="Q10" s="1563" t="str">
        <f t="shared" si="6"/>
        <v>土地使用年限（年）</v>
      </c>
      <c r="R10" s="1609" t="s">
        <v>25</v>
      </c>
      <c r="S10" s="1610">
        <f t="shared" si="0"/>
        <v>109</v>
      </c>
      <c r="T10" s="1609" t="s">
        <v>25</v>
      </c>
      <c r="U10" s="1610">
        <f t="shared" si="1"/>
        <v>109</v>
      </c>
      <c r="V10" s="1609" t="s">
        <v>25</v>
      </c>
      <c r="W10" s="1610">
        <f t="shared" si="2"/>
        <v>109</v>
      </c>
      <c r="X10" s="1611"/>
      <c r="Y10" s="3487"/>
      <c r="Z10" s="1622" t="str">
        <f t="shared" si="7"/>
        <v>土地使用年限（年）</v>
      </c>
      <c r="AA10" s="1612">
        <f t="shared" si="3"/>
        <v>0.91743119266055051</v>
      </c>
      <c r="AB10" s="1612">
        <f t="shared" si="4"/>
        <v>0.91743119266055051</v>
      </c>
      <c r="AC10" s="1612">
        <f t="shared" si="5"/>
        <v>0.91743119266055051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2022-11-1</v>
      </c>
      <c r="D67" s="1969">
        <f>EDATE(C67,-3)</f>
        <v>44774</v>
      </c>
      <c r="E67" s="1969">
        <f t="shared" ref="E67:O67" si="18">EDATE(D67,-3)</f>
        <v>44682</v>
      </c>
      <c r="F67" s="1969">
        <f t="shared" si="18"/>
        <v>44593</v>
      </c>
      <c r="G67" s="1969">
        <f t="shared" si="18"/>
        <v>44501</v>
      </c>
      <c r="H67" s="1969">
        <f t="shared" si="18"/>
        <v>44409</v>
      </c>
      <c r="I67" s="1969">
        <f t="shared" si="18"/>
        <v>44317</v>
      </c>
      <c r="J67" s="1969">
        <f t="shared" si="18"/>
        <v>44228</v>
      </c>
      <c r="K67" s="1969">
        <f t="shared" si="18"/>
        <v>44136</v>
      </c>
      <c r="L67" s="1969">
        <f t="shared" si="18"/>
        <v>44044</v>
      </c>
      <c r="M67" s="1969">
        <f t="shared" si="18"/>
        <v>43952</v>
      </c>
      <c r="N67" s="1969">
        <f t="shared" si="18"/>
        <v>43862</v>
      </c>
      <c r="O67" s="1969">
        <f t="shared" si="18"/>
        <v>43770</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44894</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109</v>
      </c>
      <c r="G10" s="322"/>
      <c r="H10" s="29">
        <f>ROUND(100/'数据-取费表'!B14,0)</f>
        <v>109</v>
      </c>
      <c r="I10" s="322"/>
      <c r="J10" s="29">
        <f>ROUND(100/'数据-取费表'!B14,0)</f>
        <v>109</v>
      </c>
      <c r="K10" s="553"/>
      <c r="L10" s="2948"/>
      <c r="M10" s="2949"/>
      <c r="N10" s="2949"/>
      <c r="O10" s="2950"/>
      <c r="P10" s="3637"/>
      <c r="Q10" s="1255" t="str">
        <f t="shared" si="6"/>
        <v>土地使用年限（年）</v>
      </c>
      <c r="R10" s="627" t="s">
        <v>25</v>
      </c>
      <c r="S10" s="628">
        <f t="shared" si="0"/>
        <v>109</v>
      </c>
      <c r="T10" s="627" t="s">
        <v>25</v>
      </c>
      <c r="U10" s="628">
        <f t="shared" si="1"/>
        <v>109</v>
      </c>
      <c r="V10" s="627" t="s">
        <v>25</v>
      </c>
      <c r="W10" s="628">
        <f t="shared" si="2"/>
        <v>109</v>
      </c>
      <c r="X10" s="629"/>
      <c r="Y10" s="3667"/>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2022-11-1</v>
      </c>
      <c r="D62" s="1111">
        <f>EDATE(C62,-3)</f>
        <v>44774</v>
      </c>
      <c r="E62" s="1111">
        <f t="shared" ref="E62:O62" si="18">EDATE(D62,-3)</f>
        <v>44682</v>
      </c>
      <c r="F62" s="1111">
        <f t="shared" si="18"/>
        <v>44593</v>
      </c>
      <c r="G62" s="1111">
        <f t="shared" si="18"/>
        <v>44501</v>
      </c>
      <c r="H62" s="1111">
        <f t="shared" si="18"/>
        <v>44409</v>
      </c>
      <c r="I62" s="1111">
        <f t="shared" si="18"/>
        <v>44317</v>
      </c>
      <c r="J62" s="1111">
        <f t="shared" si="18"/>
        <v>44228</v>
      </c>
      <c r="K62" s="1111">
        <f t="shared" si="18"/>
        <v>44136</v>
      </c>
      <c r="L62" s="1111">
        <f t="shared" si="18"/>
        <v>44044</v>
      </c>
      <c r="M62" s="1111">
        <f t="shared" si="18"/>
        <v>43952</v>
      </c>
      <c r="N62" s="1111">
        <f t="shared" si="18"/>
        <v>43862</v>
      </c>
      <c r="O62" s="1111">
        <f t="shared" si="18"/>
        <v>43770</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估价对象为北京市房地产，为XX所有。根据《》[]，估价对象建筑面积为120.21平方米。根据《》[]，估价对象（分摊）出让国有建设用地使用权面积为平方米。估价对象用途为。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2022年11月29日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本次估价的“房地产价值”是指在正常市场情况下，在价值时点2022年11月29日，估价对象规划用途为，假定未设立法定优先受偿款下的房地产市场价值。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120.21</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44894</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0.80369999999999997</v>
      </c>
      <c r="D20" s="2130" t="s">
        <v>2354</v>
      </c>
      <c r="E20" s="3072">
        <f>存贷款利率!E22/100</f>
        <v>4.3499999999999997E-2</v>
      </c>
      <c r="F20" s="2130" t="s">
        <v>2343</v>
      </c>
      <c r="G20" s="3073">
        <f>SUMIF(M26:P26,E2,M28:P28)</f>
        <v>0.05</v>
      </c>
      <c r="H20" s="2130" t="s">
        <v>2355</v>
      </c>
      <c r="I20" s="2131">
        <f>'数据-取费表'!B13</f>
        <v>30.78</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120.21</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1"/>
      <c r="C21" s="740" t="s">
        <v>2814</v>
      </c>
      <c r="D21" s="741"/>
      <c r="E21" s="3294">
        <v>1</v>
      </c>
      <c r="F21" s="3293" t="s">
        <v>2815</v>
      </c>
      <c r="G21" s="3293"/>
    </row>
    <row r="22" spans="1:13" ht="19.5" customHeight="1">
      <c r="A22" s="3713"/>
      <c r="B22" s="3711"/>
      <c r="C22" s="740" t="s">
        <v>2816</v>
      </c>
      <c r="D22" s="741"/>
      <c r="E22" s="3294">
        <v>0.9</v>
      </c>
      <c r="F22" s="3293" t="s">
        <v>2817</v>
      </c>
      <c r="G22" s="3293"/>
    </row>
    <row r="23" spans="1:13" ht="19.5" customHeight="1">
      <c r="A23" s="3713"/>
      <c r="B23" s="3711"/>
      <c r="C23" s="740" t="s">
        <v>2818</v>
      </c>
      <c r="D23" s="741"/>
      <c r="E23" s="3294">
        <v>0.9</v>
      </c>
      <c r="F23" s="3293" t="s">
        <v>2819</v>
      </c>
      <c r="G23" s="3293"/>
    </row>
    <row r="24" spans="1:13" ht="19.5" customHeight="1">
      <c r="A24" s="3713"/>
      <c r="B24" s="3711"/>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1"/>
      <c r="C28" s="740" t="s">
        <v>2826</v>
      </c>
      <c r="D28" s="741"/>
      <c r="E28" s="3294">
        <v>1</v>
      </c>
      <c r="F28" s="3293" t="s">
        <v>2867</v>
      </c>
      <c r="G28" s="3293"/>
    </row>
    <row r="29" spans="1:13" ht="19.5" customHeight="1">
      <c r="A29" s="3718"/>
      <c r="B29" s="3711"/>
      <c r="C29" s="740" t="s">
        <v>2827</v>
      </c>
      <c r="D29" s="741"/>
      <c r="E29" s="3294">
        <v>0.8</v>
      </c>
      <c r="F29" s="3293" t="s">
        <v>2868</v>
      </c>
      <c r="G29" s="3293"/>
    </row>
    <row r="30" spans="1:13" ht="19.5" customHeight="1">
      <c r="A30" s="3718"/>
      <c r="B30" s="3711"/>
      <c r="C30" s="740" t="s">
        <v>2828</v>
      </c>
      <c r="D30" s="741"/>
      <c r="E30" s="3294">
        <v>0.8</v>
      </c>
      <c r="F30" s="3293" t="s">
        <v>2869</v>
      </c>
      <c r="G30" s="3293"/>
    </row>
    <row r="31" spans="1:13" ht="19.5" customHeight="1">
      <c r="A31" s="3718"/>
      <c r="B31" s="3711"/>
      <c r="C31" s="740" t="s">
        <v>2829</v>
      </c>
      <c r="D31" s="741"/>
      <c r="E31" s="3294">
        <v>0.8</v>
      </c>
      <c r="F31" s="3293" t="s">
        <v>2870</v>
      </c>
      <c r="G31" s="3293"/>
    </row>
    <row r="32" spans="1:13" ht="19.5" customHeight="1">
      <c r="A32" s="3718"/>
      <c r="B32" s="3711"/>
      <c r="C32" s="740" t="s">
        <v>2830</v>
      </c>
      <c r="D32" s="741"/>
      <c r="E32" s="3294">
        <v>0.7</v>
      </c>
      <c r="F32" s="3293" t="s">
        <v>2871</v>
      </c>
      <c r="G32" s="3293"/>
    </row>
    <row r="33" spans="1:7" ht="19.5" customHeight="1">
      <c r="A33" s="3718"/>
      <c r="B33" s="3711"/>
      <c r="C33" s="740" t="s">
        <v>2831</v>
      </c>
      <c r="D33" s="741"/>
      <c r="E33" s="3294">
        <v>0.8</v>
      </c>
      <c r="F33" s="3293" t="s">
        <v>2872</v>
      </c>
      <c r="G33" s="3293"/>
    </row>
    <row r="34" spans="1:7" ht="19.5" customHeight="1">
      <c r="A34" s="3718"/>
      <c r="B34" s="3711"/>
      <c r="C34" s="740" t="s">
        <v>2832</v>
      </c>
      <c r="D34" s="741"/>
      <c r="E34" s="3294">
        <v>0.6</v>
      </c>
      <c r="F34" s="3293" t="s">
        <v>2873</v>
      </c>
      <c r="G34" s="3293"/>
    </row>
    <row r="35" spans="1:7" ht="19.5" customHeight="1">
      <c r="A35" s="3718"/>
      <c r="B35" s="3711"/>
      <c r="C35" s="740" t="s">
        <v>2833</v>
      </c>
      <c r="D35" s="741"/>
      <c r="E35" s="3294">
        <v>0.2</v>
      </c>
      <c r="F35" s="3293" t="s">
        <v>2874</v>
      </c>
      <c r="G35" s="3293"/>
    </row>
    <row r="36" spans="1:7" ht="19.5" customHeight="1">
      <c r="A36" s="3718"/>
      <c r="B36" s="3711"/>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1"/>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1"/>
      <c r="C42" s="740" t="s">
        <v>2845</v>
      </c>
      <c r="D42" s="741"/>
      <c r="E42" s="3294">
        <v>1</v>
      </c>
      <c r="F42" s="3293" t="s">
        <v>2846</v>
      </c>
      <c r="G42" s="3293"/>
    </row>
    <row r="43" spans="1:7" ht="19.5" customHeight="1">
      <c r="A43" s="3713"/>
      <c r="B43" s="3710"/>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1"/>
      <c r="C46" s="740" t="s">
        <v>2853</v>
      </c>
      <c r="D46" s="741"/>
      <c r="E46" s="3294">
        <v>1</v>
      </c>
      <c r="F46" s="3293" t="s">
        <v>2854</v>
      </c>
      <c r="G46" s="3293"/>
    </row>
    <row r="47" spans="1:7" ht="19.5" customHeight="1">
      <c r="A47" s="3713"/>
      <c r="B47" s="3711"/>
      <c r="C47" s="740" t="s">
        <v>2855</v>
      </c>
      <c r="D47" s="741"/>
      <c r="E47" s="3294">
        <v>1</v>
      </c>
      <c r="F47" s="3293" t="s">
        <v>2856</v>
      </c>
      <c r="G47" s="3293"/>
    </row>
    <row r="48" spans="1:7" ht="19.5" customHeight="1">
      <c r="A48" s="3713"/>
      <c r="B48" s="3711"/>
      <c r="C48" s="740" t="s">
        <v>2857</v>
      </c>
      <c r="D48" s="741"/>
      <c r="E48" s="3294">
        <v>1</v>
      </c>
      <c r="F48" s="3293" t="s">
        <v>2858</v>
      </c>
      <c r="G48" s="3293"/>
    </row>
    <row r="49" spans="1:7" ht="19.5" customHeight="1">
      <c r="A49" s="3713"/>
      <c r="B49" s="3711"/>
      <c r="C49" s="740" t="s">
        <v>2859</v>
      </c>
      <c r="D49" s="741"/>
      <c r="E49" s="3294">
        <v>1</v>
      </c>
      <c r="F49" s="3293" t="s">
        <v>2860</v>
      </c>
      <c r="G49" s="3293"/>
    </row>
    <row r="50" spans="1:7" ht="19.5" customHeight="1">
      <c r="A50" s="3713"/>
      <c r="B50" s="3711"/>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3.5">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13.5">
      <c r="A85" s="3303">
        <v>13</v>
      </c>
      <c r="B85" s="3711"/>
      <c r="C85" s="3284" t="s">
        <v>2906</v>
      </c>
      <c r="D85" s="3284" t="s">
        <v>2907</v>
      </c>
      <c r="E85" s="3309">
        <v>0.1</v>
      </c>
      <c r="F85" s="3303">
        <v>15</v>
      </c>
    </row>
    <row r="86" spans="1:6" ht="13.5">
      <c r="A86" s="3303">
        <v>14</v>
      </c>
      <c r="B86" s="3711"/>
      <c r="C86" s="3284" t="s">
        <v>2908</v>
      </c>
      <c r="D86" s="3284" t="s">
        <v>2909</v>
      </c>
      <c r="E86" s="3309">
        <v>0.1</v>
      </c>
      <c r="F86" s="3303">
        <v>15</v>
      </c>
    </row>
    <row r="87" spans="1:6" ht="13.5">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3.5">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13.5">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13.5">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13.5">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8" t="s">
        <v>2999</v>
      </c>
      <c r="C127" s="3303" t="s">
        <v>3000</v>
      </c>
      <c r="D127" s="3284" t="s">
        <v>3001</v>
      </c>
      <c r="E127" s="3309">
        <v>0.1</v>
      </c>
      <c r="F127" s="3303">
        <v>15</v>
      </c>
    </row>
    <row r="128" spans="1:6" ht="13.5">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13.5">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44894</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120.21</v>
      </c>
      <c r="D6" s="3331"/>
      <c r="E6" s="1287"/>
    </row>
    <row r="7" spans="1:5" ht="14.25">
      <c r="A7" s="1287"/>
      <c r="B7" s="3325" t="s">
        <v>594</v>
      </c>
      <c r="C7" s="1293" t="str">
        <f>IF('数据-取费表'!B3="万元","总价（万元）","总价（元）")</f>
        <v>总价（万元）</v>
      </c>
      <c r="D7" s="1294">
        <f ca="1">IF('数据-取费表'!E3="否",结果表!I102,'结果表 (1修多)'!I104)</f>
        <v>261</v>
      </c>
      <c r="E7" s="1287"/>
    </row>
    <row r="8" spans="1:5" ht="14.25">
      <c r="A8" s="1287"/>
      <c r="B8" s="3325"/>
      <c r="C8" s="1295" t="s">
        <v>924</v>
      </c>
      <c r="D8" s="1296" t="str">
        <f ca="1">IF('数据-取费表'!B3="万元",NUMBERSTRING(INT(D7*10000),2)&amp;"元整",NUMBERSTRING(INT(D7),2)&amp;"元整")</f>
        <v>贰佰陆拾壹万元整</v>
      </c>
      <c r="E8" s="1287"/>
    </row>
    <row r="9" spans="1:5" ht="14.25">
      <c r="A9" s="1287"/>
      <c r="B9" s="3325"/>
      <c r="C9" s="1297" t="s">
        <v>1020</v>
      </c>
      <c r="D9" s="1294">
        <f ca="1">IF('数据-取费表'!E3="否",结果表!I103,'结果表 (1修多)'!I105)</f>
        <v>21697</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 ca="1">IF('数据-取费表'!E3="否",结果表!I110,'结果表 (1修多)'!I112)</f>
        <v>261</v>
      </c>
      <c r="E15" s="1287"/>
    </row>
    <row r="16" spans="1:5" ht="14.25">
      <c r="A16" s="1287"/>
      <c r="B16" s="3332"/>
      <c r="C16" s="1295" t="s">
        <v>924</v>
      </c>
      <c r="D16" s="1294" t="str">
        <f ca="1">IF('数据-取费表'!B3="万元",NUMBERSTRING(INT(D15*10000),2)&amp;"元整",NUMBERSTRING(INT(D15),2)&amp;"元整")</f>
        <v>贰佰陆拾壹万元整</v>
      </c>
      <c r="E16" s="1287"/>
    </row>
    <row r="17" spans="1:5" ht="14.25">
      <c r="A17" s="1287"/>
      <c r="B17" s="3332"/>
      <c r="C17" s="1297" t="s">
        <v>1020</v>
      </c>
      <c r="D17" s="1294">
        <f ca="1">IF('数据-取费表'!E3="否",结果表!I111,'结果表 (1修多)'!I113)</f>
        <v>21697</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 ca="1">IF('数据-取费表'!E3="否",结果表!I102,'结果表 (1修多)'!I104)</f>
        <v>261</v>
      </c>
      <c r="E28" s="1287"/>
    </row>
    <row r="29" spans="1:5" ht="14.25">
      <c r="A29" s="1287"/>
      <c r="B29" s="3334"/>
      <c r="C29" s="1306" t="s">
        <v>924</v>
      </c>
      <c r="D29" s="1307" t="str">
        <f ca="1">IF('数据-取费表'!B3="万元",NUMBERSTRING(INT(D28*10000),2)&amp;"元整",NUMBERSTRING(INT(D28),2)&amp;"元整")</f>
        <v>贰佰陆拾壹万元整</v>
      </c>
      <c r="E29" s="1287"/>
    </row>
    <row r="30" spans="1:5" ht="14.25">
      <c r="A30" s="1287"/>
      <c r="B30" s="3335"/>
      <c r="C30" s="1297" t="s">
        <v>927</v>
      </c>
      <c r="D30" s="1308">
        <f ca="1">IF('数据-取费表'!E3="否",结果表!I103,'结果表 (1修多)'!I105)</f>
        <v>21697</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 ca="1">IF('数据-取费表'!E3="否",结果表!I110,'结果表 (1修多)'!I112)</f>
        <v>261</v>
      </c>
      <c r="E36" s="1287"/>
    </row>
    <row r="37" spans="1:5" ht="14.25">
      <c r="A37" s="1287"/>
      <c r="B37" s="3336"/>
      <c r="C37" s="1306" t="s">
        <v>924</v>
      </c>
      <c r="D37" s="1311" t="str">
        <f ca="1">IF('数据-取费表'!B3="万元",NUMBERSTRING(INT(D36*10000),2)&amp;"元整",NUMBERSTRING(INT(D36),2)&amp;"元整")</f>
        <v>贰佰陆拾壹万元整</v>
      </c>
      <c r="E37" s="1287"/>
    </row>
    <row r="38" spans="1:5" ht="14.25">
      <c r="A38" s="1287"/>
      <c r="B38" s="3336"/>
      <c r="C38" s="1297" t="s">
        <v>928</v>
      </c>
      <c r="D38" s="1308">
        <f ca="1">IF('数据-取费表'!E3="否",结果表!D113,'结果表 (1修多)'!D117)</f>
        <v>21697</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120.21</v>
      </c>
      <c r="C4" s="776">
        <f>结果表!C121</f>
        <v>0</v>
      </c>
      <c r="D4" s="776">
        <f ca="1">IF('数据-取费表'!E3="否",结果表!D121,'结果表 (1修多)'!D125)</f>
        <v>199</v>
      </c>
      <c r="E4" s="776">
        <f ca="1">IF('数据-取费表'!E3="否",结果表!E121,'结果表 (1修多)'!E125)</f>
        <v>16555</v>
      </c>
      <c r="F4" s="776">
        <f ca="1">IF('数据-取费表'!E3="否",结果表!F121,'结果表 (1修多)'!F125)</f>
        <v>62</v>
      </c>
      <c r="G4" s="776">
        <f ca="1">IF('数据-取费表'!E3="否",结果表!G121,'结果表 (1修多)'!G125)</f>
        <v>5142</v>
      </c>
      <c r="H4" s="776">
        <f ca="1">IF('数据-取费表'!E3="否",结果表!H121,'结果表 (1修多)'!H125)</f>
        <v>261</v>
      </c>
      <c r="I4" s="776">
        <f ca="1">IF('数据-取费表'!E3="否",结果表!I121,'结果表 (1修多)'!I125)</f>
        <v>21697</v>
      </c>
    </row>
    <row r="5" spans="1:9" ht="15">
      <c r="A5" s="3350" t="s">
        <v>1030</v>
      </c>
      <c r="B5" s="3350"/>
      <c r="C5" s="3350"/>
      <c r="D5" s="3348" t="str">
        <f ca="1">IF('数据-取费表'!E3="否",结果表!D122,'结果表 (1修多)'!D126)</f>
        <v>壹佰玖拾玖万元整</v>
      </c>
      <c r="E5" s="3348"/>
      <c r="F5" s="3348" t="str">
        <f ca="1">IF('数据-取费表'!E3="否",结果表!F122,'结果表 (1修多)'!F126)</f>
        <v>陆拾贰万元整</v>
      </c>
      <c r="G5" s="3348"/>
      <c r="H5" s="3348" t="str">
        <f ca="1">IF('数据-取费表'!E3="否",结果表!H122,'结果表 (1修多)'!H126)</f>
        <v>贰佰陆拾壹万元整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 ca="1">IF('数据-取费表'!E3="否",结果表!D125,'结果表 (1修多)'!D129)</f>
        <v>261</v>
      </c>
      <c r="E8" s="3349"/>
      <c r="F8" s="3349"/>
      <c r="G8" s="3349"/>
      <c r="H8" s="3349"/>
      <c r="I8" s="3349"/>
    </row>
    <row r="9" spans="1:9" ht="15">
      <c r="A9" s="3350" t="s">
        <v>1030</v>
      </c>
      <c r="B9" s="3350"/>
      <c r="C9" s="3350"/>
      <c r="D9" s="3348">
        <f ca="1">IF('数据-取费表'!E3="否",结果表!D126,'结果表 (1修多)'!D130)</f>
        <v>21697</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59" t="str">
        <f>IF(项目基本情况!D4="抵押","3.抵押双方在办理抵押登记手续时，应使用本公司出具的正式《不动产估价报告书》，特提醒报告使用者注意。","——")</f>
        <v>——</v>
      </c>
      <c r="B14" s="3361"/>
      <c r="C14" s="3361"/>
      <c r="D14" s="3361"/>
    </row>
    <row r="15" spans="1:4" ht="15.75" customHeight="1">
      <c r="A15" s="3359" t="str">
        <f>IF(项目基本情况!D4="抵押","4.本次评估估价师所知悉的法定优先受偿款情况说明如下：","——")</f>
        <v>——</v>
      </c>
      <c r="B15" s="3361"/>
      <c r="C15" s="3361"/>
      <c r="D15" s="3361"/>
    </row>
    <row r="16" spans="1:4" ht="75" customHeight="1">
      <c r="A16" s="3359" t="str">
        <f>IF(项目基本情况!D4="抵押",CONCATENATE(项目基本情况!J13,项目基本情况!J14,项目基本情况!J15),"——")</f>
        <v>——</v>
      </c>
      <c r="B16" s="3359"/>
      <c r="C16" s="3359"/>
      <c r="D16" s="3359"/>
    </row>
    <row r="17" spans="1:4" ht="63.75" customHeight="1">
      <c r="A17" s="3360" t="s">
        <v>1045</v>
      </c>
      <c r="B17" s="3360"/>
      <c r="C17" s="3360"/>
      <c r="D17" s="3360"/>
    </row>
    <row r="18" spans="1:4" ht="15.75" customHeight="1">
      <c r="A18" s="3359" t="str">
        <f>IF(项目基本情况!D4="抵押",结果表!L106,"——")</f>
        <v>——</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44894</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t="str">
        <f ca="1">IF(C4&lt;B2,"已过期",1119970066)</f>
        <v>已过期</v>
      </c>
      <c r="C4" s="2988">
        <v>44876</v>
      </c>
      <c r="D4" s="2998" t="str">
        <f ca="1">A4&amp;"（注册号："&amp;B4&amp;"）"</f>
        <v>梁津（注册号：已过期）</v>
      </c>
      <c r="E4" s="3000" t="s">
        <v>573</v>
      </c>
      <c r="F4" s="1230">
        <f ca="1">IF(G4&lt;B2,"已过期",96010014)</f>
        <v>96010014</v>
      </c>
      <c r="G4" s="2989">
        <v>47118</v>
      </c>
      <c r="H4" s="2990" t="str">
        <f ca="1">E4&amp;"（注册号："&amp;F4&amp;"）"</f>
        <v>梁津（注册号：96010014）</v>
      </c>
    </row>
    <row r="5" spans="1:8" ht="24" customHeight="1">
      <c r="A5" s="1230" t="s">
        <v>574</v>
      </c>
      <c r="B5" s="1230" t="str">
        <f ca="1">IF(C5&lt;B2,"已过期",1119970111)</f>
        <v>已过期</v>
      </c>
      <c r="C5" s="2988">
        <v>44876</v>
      </c>
      <c r="D5" s="2998" t="str">
        <f t="shared" ref="D5:D14" ca="1" si="0">A5&amp;"（注册号："&amp;B5&amp;"）"</f>
        <v>叶凌（注册号：已过期）</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t="str">
        <f ca="1">IF(C7&lt;B2,"已过期",1120000080)</f>
        <v>已过期</v>
      </c>
      <c r="C7" s="2988">
        <v>44876</v>
      </c>
      <c r="D7" s="2998" t="str">
        <f t="shared" ca="1" si="0"/>
        <v>欧红伟（注册号：已过期）</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t="str">
        <f ca="1">IF(C12&lt;B2,"已过期",1120040230)</f>
        <v>已过期</v>
      </c>
      <c r="C12" s="2991">
        <v>44864</v>
      </c>
      <c r="D12" s="2998" t="str">
        <f t="shared" ca="1" si="0"/>
        <v>苏海（注册号：已过期）</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本次估价的“房地产价值”是指在正常市场情况下，在价值时点2022年11月29日，估价对象规划用途为，假定未设立法定优先受偿款下的房地产市场价值。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2020-08-03T08:20:51Z</cp:lastPrinted>
  <dcterms:created xsi:type="dcterms:W3CDTF">2015-07-13T07:17:23Z</dcterms:created>
  <dcterms:modified xsi:type="dcterms:W3CDTF">2022-11-29T03:42:51Z</dcterms:modified>
</cp:coreProperties>
</file>