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<sst xmlns="http://schemas.openxmlformats.org/spreadsheetml/2006/main" count="10954" uniqueCount="3394">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</sst>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rgb="FF000000"/>
      <name val="宋体"/>
      <charset val="134"/>
    </font>
    <font>
      <b/>
      <sz val="14"/>
      <color theme="1"/>
      <name val="宋体"/>
      <charset val="134"/>
    </font>
    <font>
      <i/>
      <sz val="14"/>
      <color theme="3" tint="0.399975585192419"/>
      <name val="宋体"/>
      <charset val="134"/>
    </font>
    <font>
      <vertAlign val="subscript"/>
      <sz val="10"/>
      <color theme="1"/>
      <name val="Arial"/>
      <charset val="134"/>
    </font>
    <font>
      <sz val="12"/>
      <color indexed="8"/>
      <name val="宋体"/>
      <charset val="134"/>
    </font>
    <font>
      <sz val="10"/>
      <color rgb="FF000000"/>
      <name val="宋体"/>
      <charset val="134"/>
    </font>
    <font>
      <b/>
      <vertAlign val="superscript"/>
      <sz val="10"/>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0"/>
      <color rgb="FF707070"/>
      <name val="宋体"/>
      <charset val="134"/>
    </font>
    <font>
      <sz val="14"/>
      <color theme="1"/>
      <name val="宋体"/>
      <charset val="134"/>
    </font>
    <font>
      <sz val="8"/>
      <color indexed="8"/>
      <name val="仿宋_GB2312"/>
      <charset val="134"/>
    </font>
    <font>
      <sz val="10"/>
      <color indexed="10"/>
      <name val="宋体"/>
      <charset val="134"/>
    </font>
    <font>
      <b/>
      <sz val="12"/>
      <color indexed="8"/>
      <name val="仿宋_GB2312"/>
      <charset val="134"/>
    </font>
    <font>
      <sz val="14"/>
      <color theme="9" tint="-0.249977111117893"/>
      <name val="宋体"/>
      <charset val="134"/>
    </font>
    <font>
      <b/>
      <sz val="10"/>
      <color indexed="10"/>
      <name val="楷体_GB2312"/>
      <charset val="134"/>
    </font>
    <font>
      <b/>
      <i/>
      <sz val="11"/>
      <color theme="3" tint="0.399975585192419"/>
      <name val="宋体"/>
      <charset val="134"/>
    </font>
    <font>
      <sz val="10"/>
      <color rgb="FF0070C0"/>
      <name val="Arial"/>
      <charset val="134"/>
    </font>
    <font>
      <sz val="11"/>
      <color indexed="53"/>
      <name val="宋体"/>
      <charset val="134"/>
    </font>
    <font>
      <i/>
      <sz val="11"/>
      <color theme="3" tint="0.399975585192419"/>
      <name val="宋体"/>
      <charset val="134"/>
    </font>
    <font>
      <sz val="11"/>
      <color indexed="8"/>
      <name val="仿宋_GB2312"/>
      <charset val="134"/>
    </font>
    <font>
      <vertAlign val="superscript"/>
      <sz val="10"/>
      <color theme="1"/>
      <name val="宋体"/>
      <charset val="134"/>
    </font>
    <font>
      <b/>
      <i/>
      <sz val="14"/>
      <color theme="3" tint="0.399975585192419"/>
      <name val="宋体"/>
      <charset val="134"/>
    </font>
    <font>
      <sz val="10"/>
      <color indexed="53"/>
      <name val="宋体"/>
      <charset val="134"/>
    </font>
    <font>
      <sz val="12"/>
      <color theme="1"/>
      <name val="宋体"/>
      <charset val="134"/>
    </font>
    <font>
      <vertAlign val="superscript"/>
      <sz val="10"/>
      <color theme="1"/>
      <name val="Arial"/>
      <charset val="134"/>
    </font>
    <font>
      <b/>
      <sz val="18"/>
      <color indexed="10"/>
      <name val="΢ȭхڬˎ̥"/>
      <charset val="134"/>
    </font>
    <font>
      <b/>
      <vertAlign val="subscript"/>
      <sz val="10"/>
      <name val="宋体"/>
      <charset val="134"/>
    </font>
    <font>
      <b/>
      <vertAlign val="subscript"/>
      <sz val="11"/>
      <name val="宋体"/>
      <charset val="134"/>
    </font>
    <font>
      <b/>
      <vertAlign val="subscript"/>
      <sz val="11"/>
      <name val="Arial"/>
      <charset val="134"/>
    </font>
    <font>
      <i/>
      <sz val="10"/>
      <name val="楷体_GB2312"/>
      <charset val="134"/>
    </font>
    <font>
      <vertAlign val="subscript"/>
      <sz val="10"/>
      <color indexed="8"/>
      <name val="宋体"/>
      <charset val="134"/>
    </font>
    <font>
      <sz val="8"/>
      <color indexed="8"/>
      <name val="宋体"/>
      <charset val="134"/>
    </font>
    <font>
      <sz val="10"/>
      <color indexed="8"/>
      <name val="楷体_GB2312"/>
      <charset val="134"/>
    </font>
    <font>
      <b/>
      <sz val="14"/>
      <color rgb="FF000000"/>
      <name val="宋体"/>
      <charset val="134"/>
    </font>
    <font>
      <b/>
      <sz val="16"/>
      <color indexed="10"/>
      <name val="楷体_GB2312"/>
      <charset val="134"/>
    </font>
    <font>
      <sz val="10"/>
      <color rgb="FF0070C0"/>
      <name val="楷体_GB2312"/>
      <charset val="134"/>
    </font>
    <font>
      <b/>
      <vertAlign val="subscript"/>
      <sz val="10"/>
      <name val="Arial"/>
      <charset val="134"/>
    </font>
    <font>
      <sz val="12"/>
      <color theme="9" tint="-0.249977111117893"/>
      <name val="宋体"/>
      <charset val="134"/>
    </font>
    <font>
      <b/>
      <vertAlign val="subscript"/>
      <sz val="10"/>
      <color theme="1"/>
      <name val="Arial"/>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i/>
      <sz val="11"/>
      <color theme="1"/>
      <name val="宋体"/>
      <charset val="134"/>
    </font>
    <font>
      <sz val="9"/>
      <color indexed="8"/>
      <name val="仿宋_GB2312"/>
      <charset val="134"/>
    </font>
    <font>
      <b/>
      <vertAlign val="subscript"/>
      <sz val="10"/>
      <color indexed="8"/>
      <name val="宋体"/>
      <charset val="134"/>
    </font>
    <font>
      <b/>
      <sz val="11"/>
      <color indexed="10"/>
      <name val="宋体"/>
      <charset val="134"/>
    </font>
    <font>
      <b/>
      <vertAlign val="subscript"/>
      <sz val="10"/>
      <name val="楷体_GB2312"/>
      <charset val="134"/>
    </font>
    <font>
      <sz val="9"/>
      <color indexed="8"/>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1"/>
      <name val="仿宋_GB2312"/>
      <charset val="134"/>
    </font>
    <font>
      <vertAlign val="superscript"/>
      <sz val="10"/>
      <color indexed="8"/>
      <name val="Arial"/>
      <charset val="134"/>
    </font>
    <font>
      <sz val="10"/>
      <color theme="4"/>
      <name val="宋体"/>
      <charset val="134"/>
    </font>
    <font>
      <sz val="16"/>
      <name val="宋体"/>
      <charset val="134"/>
    </font>
    <font>
      <sz val="9"/>
      <name val="宋体"/>
      <charset val="134"/>
    </font>
    <font>
      <sz val="12"/>
      <name val="宋体"/>
      <charset val="0"/>
      <scheme val="minor"/>
    </font>
    <font>
      <sz val="12"/>
      <name val="宋体"/>
      <charset val="134"/>
    </font>
    <font>
      <sz val="12"/>
      <name val="楷体_GB2312"/>
      <charset val="134"/>
    </font>
    <font>
      <sz val="12"/>
      <name val="仿宋_GB2312"/>
      <charset val="134"/>
    </font>
    <font>
      <sz val="14"/>
      <name val="楷体_GB2312"/>
      <charset val="134"/>
    </font>
    <font>
      <b/>
      <sz val="12"/>
      <name val="宋体"/>
      <charset val="134"/>
    </font>
    <font>
      <sz val="11"/>
      <name val="宋体"/>
      <charset val="134"/>
    </font>
    <font>
      <b/>
      <sz val="11"/>
      <name val="宋体"/>
      <charset val="134"/>
    </font>
    <font>
      <sz val="11"/>
      <name val="楷体_GB2312"/>
      <charset val="134"/>
    </font>
    <font>
      <sz val="11"/>
      <color rgb="FF000000"/>
      <name val="宋体"/>
      <charset val="0"/>
      <scheme val="minor"/>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twoCellAnchor editAs="oneCell">
    <xdr:from>
      <xdr:col>14</xdr:col>
      <xdr:colOff>762000</xdr:colOff>
      <xdr:row>1</xdr:row>
      <xdr:rowOff>9525</xdr:rowOff>
    </xdr:from>
    <xdr:to>
      <xdr:col>20</xdr:col>
      <xdr:colOff>476250</xdr:colOff>
      <xdr:row>10</xdr:row>
      <xdr:rowOff>171450</xdr:rowOff>
    </xdr:to>
    <xdr:pic>
      <xdr:nvPicPr>
        <xdr:cNvPr id="4" name="图片 3"/>
        <xdr:cNvPicPr>
          <a:picLocks noChangeAspect="1"/>
        </xdr:cNvPicPr>
      </xdr:nvPicPr>
      <xdr:blipFill>
        <a:blip r:embed="rId6"/>
        <a:stretch>
          <a:fillRect/>
        </a:stretch>
      </xdr:blipFill>
      <xdr:spPr>
        <a:xfrm>
          <a:off x="16992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估价对象为北京市房地产，为所有。根据《国有土地使用证》[]，估价对象（分摊）出让国有建设用地使用权面积为12867.86平方米，建筑面积为39905.31平方米。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估价对象为北京市房地产,属开发建设的，该项目尚在开发建设中。根据《国有土地使用证》[]，估价对象（分摊）出让国有建设用地使用权面积为12867.86平方米，规划建筑面积为39905.31平方米。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109528</v>
      </c>
    </row>
    <row r="21" s="4781" customFormat="1" spans="1:2">
      <c r="A21" s="4789" t="s">
        <v>21</v>
      </c>
      <c r="B21" s="4790">
        <f ca="1">'预评函-2'!D7</f>
        <v>27447</v>
      </c>
    </row>
    <row r="22" s="4781" customFormat="1" spans="1:2">
      <c r="A22" s="4789" t="s">
        <v>22</v>
      </c>
      <c r="B22" s="4790" t="str">
        <f ca="1">'预评函-2'!D6</f>
        <v>壹拾亿玖仟伍佰贰拾捌万元整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109528</v>
      </c>
    </row>
    <row r="31" s="4781" customFormat="1" spans="1:2">
      <c r="A31" s="4789" t="s">
        <v>31</v>
      </c>
      <c r="B31" s="4790">
        <f ca="1">'预评函-2'!D15</f>
        <v>27447</v>
      </c>
    </row>
    <row r="32" s="4781" customFormat="1" spans="1:2">
      <c r="A32" s="4789" t="s">
        <v>32</v>
      </c>
      <c r="B32" s="4790" t="str">
        <f ca="1">'预评函-2'!D14</f>
        <v>壹拾亿玖仟伍佰贰拾捌万元整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39905.31</v>
      </c>
    </row>
    <row r="44" s="4781" customFormat="1" spans="1:2">
      <c r="A44" s="4789" t="s">
        <v>44</v>
      </c>
      <c r="B44" s="4790" t="str">
        <f>'预评函-3'!C2</f>
        <v>(分摊)土地面积</v>
      </c>
    </row>
    <row r="45" s="4781" customFormat="1" spans="1:2">
      <c r="A45" s="4789" t="s">
        <v>45</v>
      </c>
      <c r="B45" s="4790">
        <f>'预评函-3'!C4</f>
        <v>12867.86</v>
      </c>
    </row>
    <row r="46" s="4781" customFormat="1" spans="1:2">
      <c r="A46" s="4789" t="s">
        <v>46</v>
      </c>
      <c r="B46" s="4790" t="str">
        <f>'预评函-3'!D2</f>
        <v>出让国有建设用地使用权价值</v>
      </c>
    </row>
    <row r="47" s="4781" customFormat="1" spans="1:2">
      <c r="A47" s="4789" t="s">
        <v>47</v>
      </c>
      <c r="B47" s="4790">
        <f ca="1">'预评函-3'!D4</f>
        <v>70427</v>
      </c>
    </row>
    <row r="48" s="4781" customFormat="1" spans="1:2">
      <c r="A48" s="4789" t="s">
        <v>48</v>
      </c>
      <c r="B48" s="4790">
        <f ca="1">'预评函-3'!E4</f>
        <v>17649</v>
      </c>
    </row>
    <row r="49" s="4781" customFormat="1" spans="1:2">
      <c r="A49" s="4789" t="s">
        <v>49</v>
      </c>
      <c r="B49" s="4790" t="str">
        <f ca="1">'预评函-3'!D5</f>
        <v>柒亿零肆佰贰拾柒万元整</v>
      </c>
    </row>
    <row r="50" s="4781" customFormat="1" spans="1:2">
      <c r="A50" s="4789" t="s">
        <v>50</v>
      </c>
      <c r="B50" s="4790">
        <f>'预评函-3'!F2</f>
        <v>0</v>
      </c>
    </row>
    <row r="51" s="4781" customFormat="1" spans="1:2">
      <c r="A51" s="4789" t="s">
        <v>51</v>
      </c>
      <c r="B51" s="4790">
        <f ca="1">'预评函-3'!F4</f>
        <v>39101</v>
      </c>
    </row>
    <row r="52" s="4781" customFormat="1" spans="1:2">
      <c r="A52" s="4789" t="s">
        <v>52</v>
      </c>
      <c r="B52" s="4790">
        <f ca="1">'预评函-3'!G4</f>
        <v>9798</v>
      </c>
    </row>
    <row r="53" s="4781" customFormat="1" spans="1:2">
      <c r="A53" s="4789" t="s">
        <v>53</v>
      </c>
      <c r="B53" s="4790" t="str">
        <f ca="1">'预评函-3'!F5</f>
        <v>叁亿玖仟壹佰零壹万元整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41293.96</v>
      </c>
      <c r="C51" s="4566">
        <f>E51/B51</f>
        <v>3372.32031028267</v>
      </c>
      <c r="D51" s="4567"/>
      <c r="E51" s="4568">
        <f>E52+E53</f>
        <v>139256460</v>
      </c>
      <c r="F51" s="4569">
        <f>E51/$E$62</f>
        <v>0.632368888064783</v>
      </c>
      <c r="I51" s="4477"/>
      <c r="J51" s="4478"/>
      <c r="K51" s="4478"/>
      <c r="L51" s="4478"/>
      <c r="M51" s="4525"/>
      <c r="N51" s="4570"/>
      <c r="O51" s="4571"/>
    </row>
    <row r="52" ht="14.25" spans="1:16">
      <c r="A52" s="4572" t="s">
        <v>489</v>
      </c>
      <c r="B52" s="4573">
        <f>面积指标!M4</f>
        <v>25919.38</v>
      </c>
      <c r="C52" s="4574"/>
      <c r="D52" s="4575">
        <v>3000</v>
      </c>
      <c r="E52" s="4576">
        <f>D52*B52</f>
        <v>77758140</v>
      </c>
      <c r="F52" s="4577"/>
      <c r="G52" s="4578" t="s">
        <v>490</v>
      </c>
      <c r="H52" s="4578"/>
      <c r="I52" s="4579">
        <f>E52</f>
        <v>77758140</v>
      </c>
      <c r="J52" s="1103">
        <f>E55</f>
        <v>38879070</v>
      </c>
      <c r="K52" s="1103">
        <f>E58</f>
        <v>12959690</v>
      </c>
      <c r="L52" s="1103">
        <f>E60*B52/B51</f>
        <v>6220651.2</v>
      </c>
      <c r="M52" s="4580">
        <f>E61*B52/B51</f>
        <v>3371313.00099016</v>
      </c>
      <c r="N52" s="4581">
        <f>SUM(I52:M52)</f>
        <v>139188864.20099</v>
      </c>
      <c r="O52" s="4580">
        <f>N52/B52</f>
        <v>5370.06919922429</v>
      </c>
      <c r="P52" s="4582" t="s">
        <v>491</v>
      </c>
    </row>
    <row r="53" ht="15" spans="1:16">
      <c r="A53" s="4572" t="s">
        <v>492</v>
      </c>
      <c r="B53" s="4573">
        <f>面积指标!M7</f>
        <v>15374.58</v>
      </c>
      <c r="C53" s="4574"/>
      <c r="D53" s="4575">
        <v>4000</v>
      </c>
      <c r="E53" s="4576">
        <f>D53*B53</f>
        <v>61498320</v>
      </c>
      <c r="F53" s="4577"/>
      <c r="G53" s="4578" t="s">
        <v>493</v>
      </c>
      <c r="H53" s="4578"/>
      <c r="I53" s="4583">
        <f>E53</f>
        <v>61498320</v>
      </c>
      <c r="J53" s="4584">
        <f>E56</f>
        <v>10762206</v>
      </c>
      <c r="K53" s="4584">
        <f>E59</f>
        <v>3074916</v>
      </c>
      <c r="L53" s="4584">
        <f>E60-L52</f>
        <v>3689899.2</v>
      </c>
      <c r="M53" s="4585">
        <f>E61-M52</f>
        <v>1999759.30900984</v>
      </c>
      <c r="N53" s="4586">
        <f>SUM(I53:M53)</f>
        <v>81025100.5090098</v>
      </c>
      <c r="O53" s="4585">
        <f>N53/B53</f>
        <v>5270.06919922429</v>
      </c>
      <c r="P53" s="4582" t="s">
        <v>494</v>
      </c>
    </row>
    <row r="54" ht="15" spans="1:16">
      <c r="A54" s="4565" t="s">
        <v>495</v>
      </c>
      <c r="B54" s="4566">
        <f>B51</f>
        <v>41293.96</v>
      </c>
      <c r="C54" s="4566">
        <f>E54/B54</f>
        <v>1202.14375177387</v>
      </c>
      <c r="D54" s="4587"/>
      <c r="E54" s="4568">
        <f>E55+E56</f>
        <v>49641276</v>
      </c>
      <c r="F54" s="4569">
        <f>E54/$E$62</f>
        <v>0.225422924769429</v>
      </c>
      <c r="G54" s="4578"/>
      <c r="H54" s="4578"/>
    </row>
    <row r="55" ht="15" spans="1:16">
      <c r="A55" s="4572" t="s">
        <v>491</v>
      </c>
      <c r="B55" s="4588">
        <f>B52</f>
        <v>25919.38</v>
      </c>
      <c r="C55" s="4566"/>
      <c r="D55" s="4589">
        <v>1500</v>
      </c>
      <c r="E55" s="4576">
        <f>D55*B55</f>
        <v>38879070</v>
      </c>
      <c r="F55" s="4577"/>
      <c r="G55" s="4578" t="s">
        <v>496</v>
      </c>
      <c r="H55" s="4578"/>
    </row>
    <row r="56" ht="15" spans="1:16">
      <c r="A56" s="4572" t="s">
        <v>494</v>
      </c>
      <c r="B56" s="4588">
        <f>B53</f>
        <v>15374.58</v>
      </c>
      <c r="C56" s="4566"/>
      <c r="D56" s="4589">
        <v>700</v>
      </c>
      <c r="E56" s="4576">
        <f>D56*B56</f>
        <v>10762206</v>
      </c>
      <c r="F56" s="4577"/>
      <c r="G56" s="4578" t="s">
        <v>497</v>
      </c>
      <c r="H56" s="4578"/>
    </row>
    <row r="57" ht="15" spans="1:16">
      <c r="A57" s="4590" t="s">
        <v>498</v>
      </c>
      <c r="B57" s="4566">
        <f>B51</f>
        <v>41293.96</v>
      </c>
      <c r="C57" s="4566">
        <f>E57/B57</f>
        <v>388.3039069152</v>
      </c>
      <c r="D57" s="4587"/>
      <c r="E57" s="4568">
        <f>E58+E59</f>
        <v>16034606</v>
      </c>
      <c r="F57" s="4577">
        <f>E57/$E$62</f>
        <v>0.0728137564805029</v>
      </c>
      <c r="G57" s="4578"/>
      <c r="H57" s="4578"/>
      <c r="I57" s="4591" t="s">
        <v>499</v>
      </c>
      <c r="J57" s="4591"/>
      <c r="K57" s="4591"/>
      <c r="L57" s="4591"/>
      <c r="M57" s="4591"/>
      <c r="N57" s="4592"/>
    </row>
    <row r="58" ht="14.25" spans="1:16">
      <c r="A58" s="4572" t="s">
        <v>491</v>
      </c>
      <c r="B58" s="4588">
        <f>B52</f>
        <v>25919.38</v>
      </c>
      <c r="C58" s="4593">
        <v>500</v>
      </c>
      <c r="D58" s="4594"/>
      <c r="E58" s="4576">
        <f>C58*B58</f>
        <v>12959690</v>
      </c>
      <c r="F58" s="4577"/>
      <c r="G58" s="4578"/>
      <c r="H58" s="4578"/>
      <c r="I58" s="1103">
        <f>I52+I53</f>
        <v>139256460</v>
      </c>
      <c r="J58" s="1103">
        <f t="shared" ref="J58:M58" si="10">J52+J53</f>
        <v>49641276</v>
      </c>
      <c r="K58" s="1103">
        <f t="shared" si="10"/>
        <v>16034606</v>
      </c>
      <c r="L58" s="1103">
        <f t="shared" si="10"/>
        <v>9910550.4</v>
      </c>
      <c r="M58" s="4595">
        <f t="shared" si="10"/>
        <v>5371072.31</v>
      </c>
      <c r="N58" s="4595">
        <f>SUM(I58:M58)</f>
        <v>220213964.71</v>
      </c>
    </row>
    <row r="59" ht="14.25" spans="1:16">
      <c r="A59" s="4572" t="s">
        <v>494</v>
      </c>
      <c r="B59" s="4588">
        <f>B53</f>
        <v>15374.58</v>
      </c>
      <c r="C59" s="4593">
        <v>200</v>
      </c>
      <c r="D59" s="4594"/>
      <c r="E59" s="4576">
        <f>C59*B59</f>
        <v>3074916</v>
      </c>
      <c r="F59" s="4577"/>
      <c r="G59" s="4578" t="s">
        <v>500</v>
      </c>
      <c r="H59" s="4578"/>
      <c r="I59" s="4596">
        <f>I58/$E$62</f>
        <v>0.632368888064783</v>
      </c>
      <c r="J59" s="4596">
        <f t="shared" ref="J59:M59" si="11">J58/$E$62</f>
        <v>0.225422924769429</v>
      </c>
      <c r="K59" s="4596">
        <f t="shared" si="11"/>
        <v>0.0728137564805029</v>
      </c>
      <c r="L59" s="4596">
        <f t="shared" si="11"/>
        <v>0.0450041867828465</v>
      </c>
      <c r="M59" s="4597">
        <f t="shared" si="11"/>
        <v>0.024390243902439</v>
      </c>
      <c r="N59" s="4597">
        <f>SUM(I59:M59)</f>
        <v>1</v>
      </c>
    </row>
    <row r="60" ht="15" spans="1:16">
      <c r="A60" s="4565" t="s">
        <v>501</v>
      </c>
      <c r="B60" s="4598">
        <f>B51*0.06</f>
        <v>2477.6376</v>
      </c>
      <c r="C60" s="4566">
        <f>E60/B51</f>
        <v>240</v>
      </c>
      <c r="D60" s="4599">
        <f>D53</f>
        <v>4000</v>
      </c>
      <c r="E60" s="4568">
        <f>D60*B60</f>
        <v>9910550.4</v>
      </c>
      <c r="F60" s="4577">
        <f>E60/$E$62</f>
        <v>0.0450041867828465</v>
      </c>
      <c r="G60" s="4600">
        <f>B60/(B62+B60)</f>
        <v>0.0566037735849057</v>
      </c>
      <c r="H60" s="4601" t="s">
        <v>502</v>
      </c>
    </row>
    <row r="61" ht="15" spans="1:16">
      <c r="A61" s="4565" t="s">
        <v>503</v>
      </c>
      <c r="B61" s="4602">
        <f>B51</f>
        <v>41293.96</v>
      </c>
      <c r="C61" s="4566">
        <f>E61/B61</f>
        <v>130.069199224293</v>
      </c>
      <c r="D61" s="4603">
        <v>0.025</v>
      </c>
      <c r="E61" s="4568">
        <f>(E51+E54+E57+E60)*D61</f>
        <v>5371072.31</v>
      </c>
      <c r="F61" s="4577">
        <f>E61/$E$62</f>
        <v>0.024390243902439</v>
      </c>
      <c r="G61" s="4578" t="s">
        <v>504</v>
      </c>
    </row>
    <row r="62" ht="15.75" spans="1:16">
      <c r="A62" s="4604" t="s">
        <v>505</v>
      </c>
      <c r="B62" s="4605">
        <f>B51</f>
        <v>41293.96</v>
      </c>
      <c r="C62" s="4606">
        <f>C51+C54+C57+C61+C60</f>
        <v>5332.83716819603</v>
      </c>
      <c r="D62" s="4607">
        <f>E62/B62</f>
        <v>5332.83716819603</v>
      </c>
      <c r="E62" s="4608">
        <f>E51+E54+E57+E61+E60</f>
        <v>220213964.71</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39905.31</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12867.86</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7" sqref="N27"/>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面积指标!Q32</f>
        <v>12867.86</v>
      </c>
      <c r="B3" s="1165">
        <f>IF(C3="否",G5-AT5,G5)</f>
        <v>39905.31</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39905.31</v>
      </c>
      <c r="H5" s="2319">
        <f t="shared" ref="H5:AT5" si="0">SUM(H13:H656)</f>
        <v>39905.31</v>
      </c>
      <c r="I5" s="2319">
        <f t="shared" si="0"/>
        <v>24612.27</v>
      </c>
      <c r="J5" s="2319">
        <f t="shared" si="0"/>
        <v>0</v>
      </c>
      <c r="K5" s="2319">
        <f t="shared" si="0"/>
        <v>7019.07</v>
      </c>
      <c r="L5" s="2319">
        <f t="shared" si="0"/>
        <v>0</v>
      </c>
      <c r="M5" s="2319">
        <f t="shared" si="0"/>
        <v>6788.98</v>
      </c>
      <c r="N5" s="2319">
        <f t="shared" si="0"/>
        <v>0</v>
      </c>
      <c r="O5" s="2319">
        <f t="shared" si="0"/>
        <v>1484.99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39905.31</v>
      </c>
      <c r="BA5" s="2226">
        <f t="shared" si="1"/>
        <v>39905.31</v>
      </c>
      <c r="BB5" s="2226">
        <f t="shared" si="1"/>
        <v>24612.27</v>
      </c>
      <c r="BC5" s="2226">
        <f t="shared" si="1"/>
        <v>7019.07</v>
      </c>
      <c r="BD5" s="2226">
        <f t="shared" si="1"/>
        <v>6788.98</v>
      </c>
      <c r="BE5" s="2226">
        <f t="shared" si="1"/>
        <v>1484.99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12867.86</v>
      </c>
      <c r="F6" s="2319" t="s">
        <v>124</v>
      </c>
      <c r="G6" s="2319" t="s">
        <v>124</v>
      </c>
      <c r="H6" s="4254">
        <f>SUMIF(I$12:AB$12,"总值",I6:AB6)</f>
        <v>12867.86</v>
      </c>
      <c r="I6" s="2319">
        <f t="shared" ref="I6:AB6" si="2">ROUND($A$3*I5/$B$3,2)</f>
        <v>7936.47</v>
      </c>
      <c r="J6" s="2319">
        <f t="shared" si="2"/>
        <v>0</v>
      </c>
      <c r="K6" s="2319">
        <f t="shared" si="2"/>
        <v>2263.37</v>
      </c>
      <c r="L6" s="2319">
        <f t="shared" si="2"/>
        <v>0</v>
      </c>
      <c r="M6" s="2319">
        <f t="shared" si="2"/>
        <v>2189.17</v>
      </c>
      <c r="N6" s="2319">
        <f t="shared" si="2"/>
        <v>0</v>
      </c>
      <c r="O6" s="2319">
        <f t="shared" si="2"/>
        <v>478.85</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12867.86</v>
      </c>
      <c r="AZ6" s="2319" t="s">
        <v>124</v>
      </c>
      <c r="BA6" s="2319">
        <f>ROUND($AY$6*BA5/$AZ$5,2)</f>
        <v>12867.86</v>
      </c>
      <c r="BB6" s="2319">
        <f>ROUND($AY$6*BB5/$AZ$5,2)</f>
        <v>7936.47</v>
      </c>
      <c r="BC6" s="2319">
        <f t="shared" ref="BC6:BH6" si="4">ROUND($AY$6*BC5/$AZ$5,2)</f>
        <v>2263.37</v>
      </c>
      <c r="BD6" s="2319">
        <f t="shared" si="4"/>
        <v>2189.17</v>
      </c>
      <c r="BE6" s="2319">
        <f t="shared" si="4"/>
        <v>478.85</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12867.86</v>
      </c>
      <c r="F13" s="2262"/>
      <c r="G13" s="945">
        <f>H13+AC13+AT13</f>
        <v>39905.31</v>
      </c>
      <c r="H13" s="4254">
        <f>SUMIF(I$12:AB$12,"总值",I13:AB13)</f>
        <v>39905.31</v>
      </c>
      <c r="I13" s="4295">
        <f>面积指标!M32-面积指标!M29-面积指标!M30-面积指标!M31</f>
        <v>24612.27</v>
      </c>
      <c r="J13" s="4295"/>
      <c r="K13" s="4295">
        <f>面积指标!M31</f>
        <v>7019.07</v>
      </c>
      <c r="L13" s="4295"/>
      <c r="M13" s="4295">
        <f>面积指标!M29</f>
        <v>6788.98</v>
      </c>
      <c r="N13" s="4295"/>
      <c r="O13" s="4295">
        <f>面积指标!M30</f>
        <v>1484.99</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12867.86</v>
      </c>
      <c r="AZ13" s="4298">
        <f>BA13+BL13</f>
        <v>39905.31</v>
      </c>
      <c r="BA13" s="4298">
        <f>SUM(BB13:BK13)</f>
        <v>39905.31</v>
      </c>
      <c r="BB13" s="4298">
        <f>IF($D13="是",I13-J13,0)</f>
        <v>24612.27</v>
      </c>
      <c r="BC13" s="4298">
        <f>IF($D13="是",K13-L13,0)</f>
        <v>7019.07</v>
      </c>
      <c r="BD13" s="4298">
        <f>IF($D13="是",M13-N13,0)</f>
        <v>6788.98</v>
      </c>
      <c r="BE13" s="4298">
        <f>IF($D13="是",O13-P13,0)</f>
        <v>1484.99</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G36" sqref="G36"/>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12867.86</v>
      </c>
      <c r="E3" s="4164">
        <f>'数据-基础表'!AZ5</f>
        <v>39905.31</v>
      </c>
      <c r="F3" s="4160"/>
      <c r="G3" s="4165"/>
      <c r="H3" s="3479" t="s">
        <v>650</v>
      </c>
      <c r="I3" s="4166">
        <f>ROUND('数据-基础表'!B3/'数据-基础表'!A3,2)</f>
        <v>3.1</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1.91</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3.1</v>
      </c>
      <c r="J5" s="4160"/>
      <c r="K5" s="4160"/>
      <c r="L5" s="4160"/>
      <c r="M5" s="4160"/>
      <c r="N5" s="4160"/>
      <c r="O5" s="4160"/>
      <c r="P5" s="4160"/>
    </row>
    <row r="6" ht="15" spans="1:16">
      <c r="A6" s="4171"/>
      <c r="B6" s="1443" t="s">
        <v>655</v>
      </c>
      <c r="C6" s="1443"/>
      <c r="D6" s="4004">
        <f>ROUND($D$3*E6/$E$3,2)</f>
        <v>12867.86</v>
      </c>
      <c r="E6" s="3780">
        <f>E3-E5</f>
        <v>39905.31</v>
      </c>
      <c r="F6" s="4160"/>
      <c r="G6" s="4172" t="s">
        <v>656</v>
      </c>
      <c r="H6" s="3485" t="s">
        <v>652</v>
      </c>
      <c r="I6" s="4173">
        <f>ROUND(F31/D31,2)</f>
        <v>1.91</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7936.47</v>
      </c>
      <c r="E8" s="3780">
        <f>SUMIF('数据-基础表'!BB10:BK10,"地上",'数据-基础表'!BB5:BK5)</f>
        <v>24612.27</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2263.37</v>
      </c>
      <c r="E11" s="3780">
        <f>SUMPRODUCT(('数据-基础表'!BB10:BK10="地下")*('数据-基础表'!BB11:BK11="办公")*('数据-基础表'!BB5:BK5))+'数据-基础表'!BP5</f>
        <v>7019.07</v>
      </c>
      <c r="F11" s="4160"/>
      <c r="G11" s="4182"/>
      <c r="H11" s="4182"/>
      <c r="I11" s="4160"/>
      <c r="J11" s="4160"/>
      <c r="K11" s="4160"/>
      <c r="L11" s="4160"/>
      <c r="M11" s="4160"/>
      <c r="N11" s="4160"/>
      <c r="O11" s="4160"/>
      <c r="P11" s="4160"/>
    </row>
    <row r="12" spans="1:16">
      <c r="A12" s="4183"/>
      <c r="B12" s="4184"/>
      <c r="C12" s="1275" t="s">
        <v>665</v>
      </c>
      <c r="D12" s="4004">
        <f t="shared" si="0"/>
        <v>478.85</v>
      </c>
      <c r="E12" s="3780">
        <f>SUMPRODUCT(('数据-基础表'!BB10:BK10="地下")*('数据-基础表'!BB11:BK11="仓储")*('数据-基础表'!BB5:BK5))</f>
        <v>1484.99</v>
      </c>
      <c r="F12" s="4160"/>
      <c r="G12" s="4182"/>
      <c r="H12" s="4182"/>
      <c r="I12" s="4160"/>
      <c r="J12" s="4160"/>
      <c r="K12" s="4160"/>
      <c r="L12" s="4160"/>
      <c r="M12" s="4160"/>
      <c r="N12" s="4160"/>
      <c r="O12" s="4160"/>
      <c r="P12" s="4160"/>
    </row>
    <row r="13" spans="1:16">
      <c r="A13" s="4183"/>
      <c r="B13" s="4184"/>
      <c r="C13" s="1275" t="s">
        <v>666</v>
      </c>
      <c r="D13" s="4004">
        <f t="shared" si="0"/>
        <v>2189.17</v>
      </c>
      <c r="E13" s="3780">
        <f>SUMPRODUCT(('数据-基础表'!BB10:BK10="地下")*('数据-基础表'!BB11:BK11="车库")*('数据-基础表'!BB5:BK5))</f>
        <v>6788.98</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12867.86</v>
      </c>
      <c r="E16" s="4186">
        <f>SUM(E8:E15)</f>
        <v>39905.31</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7936.47</v>
      </c>
      <c r="E19" s="4004">
        <f t="shared" ref="E19:E26" si="1">SUM(F19:G19)</f>
        <v>24612.27</v>
      </c>
      <c r="F19" s="4212">
        <f>'数据-基础表'!I13</f>
        <v>24612.27</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7936.47</v>
      </c>
      <c r="S19" s="4004">
        <f t="shared" si="5"/>
        <v>24612.27</v>
      </c>
    </row>
    <row r="20" spans="1:19">
      <c r="A20" s="4215"/>
      <c r="B20" s="4181" t="s">
        <v>686</v>
      </c>
      <c r="C20" s="4211" t="s">
        <v>687</v>
      </c>
      <c r="D20" s="4004">
        <f t="shared" ref="D20:D26" si="6">ROUND($D$3*E20/$E$3,2)</f>
        <v>2263.37</v>
      </c>
      <c r="E20" s="4004">
        <f t="shared" si="1"/>
        <v>7019.07</v>
      </c>
      <c r="F20" s="4212"/>
      <c r="G20" s="3552">
        <f>'数据-基础表'!K13</f>
        <v>7019.07</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2263.37</v>
      </c>
      <c r="S20" s="4004">
        <f t="shared" si="5"/>
        <v>7019.07</v>
      </c>
    </row>
    <row r="21" spans="1:19">
      <c r="A21" s="4215"/>
      <c r="B21" s="4181" t="s">
        <v>686</v>
      </c>
      <c r="C21" s="4211" t="s">
        <v>688</v>
      </c>
      <c r="D21" s="4004">
        <f t="shared" si="6"/>
        <v>478.85</v>
      </c>
      <c r="E21" s="4004">
        <f t="shared" si="1"/>
        <v>1484.99</v>
      </c>
      <c r="F21" s="4212"/>
      <c r="G21" s="3552">
        <f>'数据-基础表'!O13</f>
        <v>1484.99</v>
      </c>
      <c r="H21" s="4213">
        <f t="shared" si="7"/>
        <v>0</v>
      </c>
      <c r="I21" s="3780">
        <f t="shared" si="2"/>
        <v>0</v>
      </c>
      <c r="J21" s="3541"/>
      <c r="K21" s="4213">
        <f t="shared" si="3"/>
        <v>0</v>
      </c>
      <c r="L21" s="4004">
        <f t="shared" si="4"/>
        <v>0</v>
      </c>
      <c r="M21" s="3780">
        <f t="shared" si="8"/>
        <v>0</v>
      </c>
      <c r="N21" s="4214"/>
      <c r="O21" s="3462"/>
      <c r="P21" s="3780">
        <f t="shared" si="9"/>
        <v>0</v>
      </c>
      <c r="R21" s="4004">
        <f t="shared" si="5"/>
        <v>478.85</v>
      </c>
      <c r="S21" s="4004">
        <f t="shared" si="5"/>
        <v>1484.99</v>
      </c>
    </row>
    <row r="22" spans="1:19">
      <c r="A22" s="4215"/>
      <c r="B22" s="4181" t="s">
        <v>686</v>
      </c>
      <c r="C22" s="4216" t="s">
        <v>633</v>
      </c>
      <c r="D22" s="4004">
        <f t="shared" si="6"/>
        <v>2189.17</v>
      </c>
      <c r="E22" s="4004">
        <f t="shared" si="1"/>
        <v>6788.98</v>
      </c>
      <c r="F22" s="4217"/>
      <c r="G22" s="4218">
        <f>'数据-基础表'!M13</f>
        <v>6788.98</v>
      </c>
      <c r="H22" s="4213">
        <f t="shared" si="7"/>
        <v>0</v>
      </c>
      <c r="I22" s="3780">
        <f t="shared" si="2"/>
        <v>0</v>
      </c>
      <c r="J22" s="3541"/>
      <c r="K22" s="4213">
        <f t="shared" si="3"/>
        <v>0</v>
      </c>
      <c r="L22" s="4004">
        <f t="shared" si="4"/>
        <v>0</v>
      </c>
      <c r="M22" s="3780">
        <f t="shared" si="8"/>
        <v>0</v>
      </c>
      <c r="N22" s="4214"/>
      <c r="O22" s="3462"/>
      <c r="P22" s="3780">
        <f t="shared" si="9"/>
        <v>0</v>
      </c>
      <c r="R22" s="4004">
        <f t="shared" si="5"/>
        <v>2189.17</v>
      </c>
      <c r="S22" s="4004">
        <f t="shared" si="5"/>
        <v>6788.98</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15.75" spans="1:19">
      <c r="A27" s="4215"/>
      <c r="B27" s="1275"/>
      <c r="C27" s="3758" t="s">
        <v>689</v>
      </c>
      <c r="D27" s="1313">
        <f>SUM(D19:D26)</f>
        <v>12867.86</v>
      </c>
      <c r="E27" s="1313">
        <f>IF(SUM(E19:E26)='数据-基础表'!BA5,SUM(E19:E26),IF(F27="地上面积有误","面积有误","地下面积有误"))</f>
        <v>39905.31</v>
      </c>
      <c r="F27" s="1313">
        <f>IF(SUM(F19:F26)=E8,SUM(F19:F26),"地上面积有误")</f>
        <v>24612.27</v>
      </c>
      <c r="G27" s="3761">
        <f>SUM(G19:G26)</f>
        <v>15293.04</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f>IF(SUM(R19:R26)=$D$3,SUM(R19:R26),SUM(R19:R26)&amp;"误差"&amp;ROUND(SUM(R19:R26)-$D$3,2))</f>
        <v>12867.86</v>
      </c>
      <c r="S27" s="4004">
        <f>IF(SUM(S19:S26)=$E$3,SUM(S19:S26),SUM(S19:S26)&amp;"误差"&amp;ROUND(SUM(S19:S26)-E3,2))</f>
        <v>39905.31</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12867.86</v>
      </c>
      <c r="E31" s="4232">
        <f>E27+E30</f>
        <v>39905.31</v>
      </c>
      <c r="F31" s="4224">
        <f>F27+F30</f>
        <v>24612.27</v>
      </c>
      <c r="G31" s="4225">
        <f>G27+G30</f>
        <v>15293.04</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7">
      <c r="D33" s="4234"/>
    </row>
    <row r="35" spans="4:7">
      <c r="G35" s="4157">
        <f>G31/E31</f>
        <v>0.383233208813564</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P23" sqref="P23"/>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24612.27</v>
      </c>
      <c r="L6" s="3999">
        <v>4800</v>
      </c>
      <c r="M6" s="4000">
        <f t="shared" ref="M6:M14" si="1">ROUND(K6*L6/10000,0)</f>
        <v>11814</v>
      </c>
      <c r="N6" s="4001">
        <f>N21</f>
        <v>0.85</v>
      </c>
      <c r="O6" s="4000" t="str">
        <f>IF($N$5="成新度","——",ROUND(M6*N6,0))</f>
        <v>——</v>
      </c>
      <c r="P6" s="2057" t="str">
        <f>IF($N$5="成新度","——",M6-O6)</f>
        <v>——</v>
      </c>
      <c r="Q6" s="4002">
        <v>0.15</v>
      </c>
      <c r="R6" s="4003">
        <f ca="1">SUMIF('数据-汇总表'!C$19:C$33,A6,'数据-汇总表'!R$19:R$27)</f>
        <v>7936.47</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56622</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7019.07</v>
      </c>
      <c r="L7" s="3999">
        <f>L6</f>
        <v>4800</v>
      </c>
      <c r="M7" s="4000">
        <f t="shared" si="1"/>
        <v>3369</v>
      </c>
      <c r="N7" s="4001">
        <f>N6</f>
        <v>0.85</v>
      </c>
      <c r="O7" s="4000" t="str">
        <f t="shared" ref="O7:O14" si="3">IF($N$5="成新度","——",ROUND(M7*N7,0))</f>
        <v>——</v>
      </c>
      <c r="P7" s="2057" t="str">
        <f t="shared" ref="P7:P14" si="4">IF($N$5="成新度","——",M7-O7)</f>
        <v>——</v>
      </c>
      <c r="Q7" s="4002">
        <v>0.1</v>
      </c>
      <c r="R7" s="4003">
        <f ca="1">SUMIF('数据-汇总表'!C$19:C$33,A7,'数据-汇总表'!R$19:R$27)</f>
        <v>2263.37</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7004</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1484.99</v>
      </c>
      <c r="L8" s="3999">
        <f>L6</f>
        <v>4800</v>
      </c>
      <c r="M8" s="4000">
        <f t="shared" si="1"/>
        <v>713</v>
      </c>
      <c r="N8" s="4001">
        <f>N6</f>
        <v>0.85</v>
      </c>
      <c r="O8" s="4000" t="str">
        <f t="shared" si="3"/>
        <v>——</v>
      </c>
      <c r="P8" s="2057" t="str">
        <f t="shared" si="4"/>
        <v>——</v>
      </c>
      <c r="Q8" s="4002">
        <v>0.05</v>
      </c>
      <c r="R8" s="4003">
        <f ca="1">SUMIF('数据-汇总表'!C$19:C$33,A8,'数据-汇总表'!R$19:R$27)</f>
        <v>478.85</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689</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6788.98</v>
      </c>
      <c r="L9" s="3999">
        <f>L6</f>
        <v>4800</v>
      </c>
      <c r="M9" s="4000">
        <f t="shared" si="1"/>
        <v>3259</v>
      </c>
      <c r="N9" s="4001">
        <f>N6</f>
        <v>0.85</v>
      </c>
      <c r="O9" s="4000" t="str">
        <f t="shared" si="3"/>
        <v>——</v>
      </c>
      <c r="P9" s="2057" t="str">
        <f t="shared" si="4"/>
        <v>——</v>
      </c>
      <c r="Q9" s="4025">
        <v>0.05</v>
      </c>
      <c r="R9" s="4003">
        <f ca="1">SUMIF('数据-汇总表'!C$19:C$33,A9,'数据-汇总表'!R$19:R$27)</f>
        <v>2189.17</v>
      </c>
      <c r="S9" s="4004">
        <f>IF('数据-汇总表'!$I$17="按面积比例",SUMIF('数据-汇总表'!C$19:C$33,A9,'数据-汇总表'!K$19:K$33),SUMIF('数据-汇总表'!C$19:C$33,A9,'数据-汇总表'!N$19:N$33))</f>
        <v>0</v>
      </c>
      <c r="T9" s="4005">
        <f t="shared" si="5"/>
        <v>0</v>
      </c>
      <c r="U9" s="4006">
        <v>730</v>
      </c>
      <c r="V9" s="4007">
        <v>0.015</v>
      </c>
      <c r="W9" s="4007">
        <v>0.15</v>
      </c>
      <c r="X9" s="4008"/>
      <c r="Y9" s="4009">
        <f>N9</f>
        <v>0.85</v>
      </c>
      <c r="Z9" s="4010"/>
      <c r="AA9" s="4011"/>
      <c r="AB9" s="4011"/>
      <c r="AC9" s="4008"/>
      <c r="AD9" s="4012"/>
      <c r="AE9" s="4013">
        <f ca="1" t="shared" si="6"/>
        <v>35.52</v>
      </c>
      <c r="AF9" s="4014"/>
      <c r="AG9" s="2180">
        <f ca="1" t="shared" si="7"/>
        <v>0</v>
      </c>
      <c r="AH9" s="4006">
        <v>194</v>
      </c>
      <c r="AI9" s="4015">
        <v>12</v>
      </c>
      <c r="AJ9" s="4014"/>
      <c r="AK9" s="4016">
        <v>0.002</v>
      </c>
      <c r="AL9" s="4017">
        <v>0.001</v>
      </c>
      <c r="AM9" s="4018">
        <v>0.005</v>
      </c>
      <c r="AN9" s="4019" t="s">
        <v>365</v>
      </c>
      <c r="AO9" s="4004">
        <f ca="1" t="shared" si="8"/>
        <v>2330</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0.8992</v>
      </c>
      <c r="H16" s="4053">
        <f>ROUND(SUMPRODUCT(H6:H13,K6:K13)/SUMPRODUCT((H6:H13&gt;0)*(K6:K13)),3)</f>
        <v>0.049</v>
      </c>
      <c r="I16" s="4054"/>
      <c r="J16" s="4054"/>
      <c r="K16" s="4055">
        <f>SUM(K6:K15)</f>
        <v>39905.31</v>
      </c>
      <c r="L16" s="4056">
        <f>ROUND(M16*10000/SUM(K6:K14),0)</f>
        <v>4800</v>
      </c>
      <c r="M16" s="4056">
        <f>SUM(M6:M14)</f>
        <v>19155</v>
      </c>
      <c r="N16" s="4057">
        <f>ROUND(SUMPRODUCT(M6:M14,N6:N14)/M16,3)</f>
        <v>0.85</v>
      </c>
      <c r="O16" s="4056">
        <f>SUM(O6:O14)</f>
        <v>0</v>
      </c>
      <c r="P16" s="4056">
        <f>SUM(P6:P14)</f>
        <v>0</v>
      </c>
      <c r="Q16" s="4058">
        <f>ROUND(SUMPRODUCT(Q6:Q13,K6:K13)/SUMPRODUCT((Q6:Q13&gt;0)*(K6:K13)),2)</f>
        <v>0.12</v>
      </c>
      <c r="R16" s="4059">
        <f ca="1">SUM(R6:R13)</f>
        <v>12867.86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0.816</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abSelected="1" topLeftCell="F1" workbookViewId="0">
      <selection activeCell="Q29" sqref="Q29:Q31"/>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5">
      <c r="A1" s="3865" t="s">
        <v>832</v>
      </c>
      <c r="B1" s="3865"/>
      <c r="C1" s="3865"/>
      <c r="D1" s="3865"/>
      <c r="E1" s="3865"/>
      <c r="F1" s="3865"/>
      <c r="G1" s="3865"/>
      <c r="H1" s="3865"/>
    </row>
    <row r="2" spans="1:15">
      <c r="A2" s="3866"/>
      <c r="B2" s="3866" t="s">
        <v>833</v>
      </c>
      <c r="C2" s="3866" t="s">
        <v>182</v>
      </c>
      <c r="D2" s="3866" t="s">
        <v>834</v>
      </c>
      <c r="E2" s="3866" t="s">
        <v>835</v>
      </c>
      <c r="F2" s="3866" t="s">
        <v>836</v>
      </c>
      <c r="G2" s="3866" t="s">
        <v>397</v>
      </c>
      <c r="H2" s="3866" t="s">
        <v>837</v>
      </c>
      <c r="J2" s="3867"/>
      <c r="K2" s="3867" t="s">
        <v>838</v>
      </c>
      <c r="L2" s="3867" t="s">
        <v>839</v>
      </c>
      <c r="M2" s="3867" t="s">
        <v>840</v>
      </c>
    </row>
    <row r="3" spans="1:15">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5">
      <c r="A4" s="3866"/>
      <c r="B4" s="3866"/>
      <c r="C4" s="3866"/>
      <c r="D4" s="3866"/>
      <c r="E4" s="3866"/>
      <c r="F4" s="3866"/>
      <c r="G4" s="3866"/>
      <c r="H4" s="3866"/>
      <c r="J4" s="3868" t="s">
        <v>848</v>
      </c>
      <c r="K4" s="3869"/>
      <c r="L4" s="3867">
        <v>24052.41</v>
      </c>
      <c r="M4" s="3867">
        <v>25919.38</v>
      </c>
    </row>
    <row r="5" spans="1:15">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5">
      <c r="A6" s="3866" t="s">
        <v>856</v>
      </c>
      <c r="B6" s="3866">
        <v>1</v>
      </c>
      <c r="C6" s="3866" t="s">
        <v>857</v>
      </c>
      <c r="D6" s="3866" t="s">
        <v>843</v>
      </c>
      <c r="E6" s="3866" t="s">
        <v>858</v>
      </c>
      <c r="F6" s="3866" t="s">
        <v>859</v>
      </c>
      <c r="G6" s="3866">
        <v>5</v>
      </c>
      <c r="H6" s="3866">
        <v>6612.42</v>
      </c>
      <c r="J6" s="3871"/>
      <c r="K6" s="3867" t="s">
        <v>860</v>
      </c>
      <c r="L6" s="3867">
        <v>3774.75</v>
      </c>
      <c r="M6" s="3867">
        <v>8246.28</v>
      </c>
    </row>
    <row r="7" spans="1:15">
      <c r="A7" s="3866"/>
      <c r="B7" s="3866">
        <v>2</v>
      </c>
      <c r="C7" s="3866" t="s">
        <v>861</v>
      </c>
      <c r="D7" s="3866" t="s">
        <v>843</v>
      </c>
      <c r="E7" s="3866" t="s">
        <v>862</v>
      </c>
      <c r="F7" s="3866" t="s">
        <v>859</v>
      </c>
      <c r="G7" s="3866">
        <v>5</v>
      </c>
      <c r="H7" s="3866">
        <v>10715.57</v>
      </c>
      <c r="J7" s="3868" t="s">
        <v>848</v>
      </c>
      <c r="K7" s="3869"/>
      <c r="L7" s="3867">
        <v>9955.09</v>
      </c>
      <c r="M7" s="3867">
        <v>15374.58</v>
      </c>
    </row>
    <row r="8" spans="1:15">
      <c r="A8" s="3866"/>
      <c r="B8" s="3866">
        <v>3</v>
      </c>
      <c r="C8" s="3866" t="s">
        <v>863</v>
      </c>
      <c r="D8" s="3866" t="s">
        <v>843</v>
      </c>
      <c r="E8" s="3866" t="s">
        <v>864</v>
      </c>
      <c r="F8" s="3866" t="s">
        <v>859</v>
      </c>
      <c r="G8" s="3866">
        <v>5</v>
      </c>
      <c r="H8" s="3866">
        <v>6724.42</v>
      </c>
      <c r="J8" s="3868" t="s">
        <v>395</v>
      </c>
      <c r="K8" s="3869"/>
      <c r="L8" s="3867">
        <v>34007.5</v>
      </c>
      <c r="M8" s="3867">
        <v>41293.96</v>
      </c>
    </row>
    <row r="9" spans="1:15">
      <c r="A9" s="3866"/>
      <c r="B9" s="3866">
        <v>4</v>
      </c>
      <c r="C9" s="3866" t="s">
        <v>865</v>
      </c>
      <c r="D9" s="3866" t="s">
        <v>843</v>
      </c>
      <c r="E9" s="3866" t="s">
        <v>866</v>
      </c>
      <c r="F9" s="3866" t="s">
        <v>867</v>
      </c>
      <c r="G9" s="3866" t="s">
        <v>868</v>
      </c>
      <c r="H9" s="3866">
        <v>9955.09</v>
      </c>
    </row>
    <row r="10" spans="1:15">
      <c r="A10" s="3866"/>
      <c r="B10" s="3866" t="s">
        <v>395</v>
      </c>
      <c r="C10" s="3866"/>
      <c r="D10" s="3866"/>
      <c r="E10" s="3866"/>
      <c r="F10" s="3866"/>
      <c r="G10" s="3866"/>
      <c r="H10" s="3866">
        <f>SUM(H6:H9)</f>
        <v>34007.5</v>
      </c>
      <c r="L10" s="3864">
        <f>L7/L8</f>
        <v>0.292732191428361</v>
      </c>
      <c r="M10" s="3864">
        <f>M7/M8</f>
        <v>0.372320310282666</v>
      </c>
    </row>
    <row r="12" spans="1:15">
      <c r="A12" s="3872" t="s">
        <v>869</v>
      </c>
      <c r="B12" s="3872"/>
      <c r="C12" s="3872"/>
      <c r="D12" s="3872"/>
      <c r="E12" s="3872"/>
      <c r="F12" s="3872"/>
      <c r="G12" s="3872"/>
      <c r="H12" s="3872"/>
    </row>
    <row r="13" spans="1:15">
      <c r="A13" s="3866"/>
      <c r="B13" s="3866" t="s">
        <v>833</v>
      </c>
      <c r="C13" s="3866" t="s">
        <v>182</v>
      </c>
      <c r="D13" s="3866" t="s">
        <v>834</v>
      </c>
      <c r="E13" s="3866" t="s">
        <v>835</v>
      </c>
      <c r="F13" s="3866" t="s">
        <v>836</v>
      </c>
      <c r="G13" s="3866" t="s">
        <v>397</v>
      </c>
      <c r="H13" s="3866" t="s">
        <v>837</v>
      </c>
      <c r="M13" s="3864">
        <f>10000-M14</f>
        <v>7100</v>
      </c>
      <c r="N13" s="3864">
        <v>30000</v>
      </c>
    </row>
    <row r="14" spans="1:15">
      <c r="A14" s="3866" t="s">
        <v>841</v>
      </c>
      <c r="B14" s="3866">
        <v>1</v>
      </c>
      <c r="C14" s="3866" t="s">
        <v>842</v>
      </c>
      <c r="D14" s="3866" t="s">
        <v>870</v>
      </c>
      <c r="E14" s="3866" t="s">
        <v>871</v>
      </c>
      <c r="F14" s="3866" t="s">
        <v>845</v>
      </c>
      <c r="G14" s="3866" t="s">
        <v>846</v>
      </c>
      <c r="H14" s="3866">
        <v>13315.65</v>
      </c>
      <c r="M14" s="3864">
        <v>2900</v>
      </c>
      <c r="N14" s="3864">
        <v>9000</v>
      </c>
    </row>
    <row r="15" spans="1:15">
      <c r="A15" s="3866"/>
      <c r="B15" s="3866"/>
      <c r="C15" s="3866"/>
      <c r="D15" s="3866"/>
      <c r="E15" s="3866"/>
      <c r="F15" s="3866"/>
      <c r="G15" s="3866"/>
      <c r="H15" s="3866"/>
      <c r="N15" s="3864">
        <f>(M13*N13+M14*N14)/10000</f>
        <v>23910</v>
      </c>
      <c r="O15" s="3864">
        <f>N15/N13</f>
        <v>0.797</v>
      </c>
    </row>
    <row r="16" spans="1:15">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7" t="s">
        <v>882</v>
      </c>
    </row>
    <row r="24" spans="1:17">
      <c r="J24" s="3867" t="s">
        <v>840</v>
      </c>
      <c r="K24" s="3867" t="s">
        <v>883</v>
      </c>
      <c r="L24" s="3867" t="s">
        <v>884</v>
      </c>
      <c r="M24" s="3867">
        <v>8915.67</v>
      </c>
      <c r="N24" s="3867">
        <v>15294832.2</v>
      </c>
      <c r="O24" s="3867">
        <f>H17</f>
        <v>9490.98</v>
      </c>
      <c r="P24" s="3867">
        <f>ROUND(N24/M24/365,2)</f>
        <v>4.7</v>
      </c>
      <c r="Q24" s="3867">
        <f>ROUND((M24+M25+M26+M27+M28)/O32*H14,2)</f>
        <v>7936.47</v>
      </c>
    </row>
    <row r="25" spans="1:17">
      <c r="J25" s="3867"/>
      <c r="K25" s="3867" t="s">
        <v>885</v>
      </c>
      <c r="L25" s="3867" t="s">
        <v>229</v>
      </c>
      <c r="M25" s="3867">
        <v>2136.2</v>
      </c>
      <c r="N25" s="3867">
        <v>3804118.65</v>
      </c>
      <c r="O25" s="3867">
        <f>H18</f>
        <v>9996.02</v>
      </c>
      <c r="P25" s="3867">
        <f t="shared" ref="P25:P33" si="0">ROUND(N25/M25/365,2)</f>
        <v>4.88</v>
      </c>
      <c r="Q25" s="3867"/>
    </row>
    <row r="26" spans="1:17">
      <c r="J26" s="3867"/>
      <c r="K26" s="3867"/>
      <c r="L26" s="3867" t="s">
        <v>884</v>
      </c>
      <c r="M26" s="3867">
        <v>7470.69</v>
      </c>
      <c r="N26" s="3867">
        <v>2726801.85</v>
      </c>
      <c r="O26" s="3867"/>
      <c r="P26" s="3867">
        <f t="shared" si="0"/>
        <v>1</v>
      </c>
      <c r="Q26" s="3867"/>
    </row>
    <row r="27" spans="1:17">
      <c r="J27" s="3867"/>
      <c r="K27" s="3867" t="s">
        <v>886</v>
      </c>
      <c r="L27" s="3867" t="s">
        <v>229</v>
      </c>
      <c r="M27" s="3867">
        <v>311.35</v>
      </c>
      <c r="N27" s="3867">
        <v>387479.85</v>
      </c>
      <c r="O27" s="3867">
        <f>H19</f>
        <v>6432.38</v>
      </c>
      <c r="P27" s="3867">
        <f t="shared" si="0"/>
        <v>3.41</v>
      </c>
      <c r="Q27" s="3867"/>
    </row>
    <row r="28" spans="1:17">
      <c r="J28" s="3867"/>
      <c r="K28" s="3867"/>
      <c r="L28" s="3867" t="s">
        <v>884</v>
      </c>
      <c r="M28" s="3867">
        <v>5778.36</v>
      </c>
      <c r="N28" s="3867">
        <v>6476189.63</v>
      </c>
      <c r="O28" s="3867"/>
      <c r="P28" s="3867">
        <f t="shared" si="0"/>
        <v>3.07</v>
      </c>
      <c r="Q28" s="3867"/>
    </row>
    <row r="29" spans="1:17">
      <c r="J29" s="3867"/>
      <c r="K29" s="3867" t="s">
        <v>887</v>
      </c>
      <c r="L29" s="3867" t="s">
        <v>888</v>
      </c>
      <c r="M29" s="3867">
        <v>6788.98</v>
      </c>
      <c r="N29" s="3867">
        <v>429600</v>
      </c>
      <c r="O29" s="3870">
        <f>H20</f>
        <v>15374.58</v>
      </c>
      <c r="P29" s="3867">
        <f t="shared" si="0"/>
        <v>0.17</v>
      </c>
      <c r="Q29" s="3867">
        <f>ROUND(M29/O32*H14,2)</f>
        <v>2189.17</v>
      </c>
    </row>
    <row r="30" spans="1:17">
      <c r="J30" s="3867"/>
      <c r="K30" s="3867"/>
      <c r="L30" s="3867" t="s">
        <v>889</v>
      </c>
      <c r="M30" s="3867">
        <v>1484.99</v>
      </c>
      <c r="N30" s="3867">
        <v>735938.52</v>
      </c>
      <c r="O30" s="3873"/>
      <c r="P30" s="3867">
        <f t="shared" si="0"/>
        <v>1.36</v>
      </c>
      <c r="Q30" s="3867">
        <f>ROUND(M30/O32*H14,2)</f>
        <v>478.85</v>
      </c>
    </row>
    <row r="31" spans="1:17">
      <c r="J31" s="3867"/>
      <c r="K31" s="3867"/>
      <c r="L31" s="3867" t="s">
        <v>229</v>
      </c>
      <c r="M31" s="3867">
        <v>7019.07</v>
      </c>
      <c r="N31" s="3867">
        <v>2846738.49</v>
      </c>
      <c r="O31" s="3871"/>
      <c r="P31" s="3867">
        <f t="shared" si="0"/>
        <v>1.11</v>
      </c>
      <c r="Q31" s="3867">
        <f>ROUND(M31/O32*H14,2)</f>
        <v>2263.37</v>
      </c>
    </row>
    <row r="32" spans="1:17">
      <c r="J32" s="3867"/>
      <c r="K32" s="3874" t="s">
        <v>395</v>
      </c>
      <c r="L32" s="3874"/>
      <c r="M32" s="3875">
        <f t="shared" ref="M32:Q32" si="1">SUM(M24:M31)</f>
        <v>39905.31</v>
      </c>
      <c r="N32" s="3875">
        <f t="shared" si="1"/>
        <v>32701699.19</v>
      </c>
      <c r="O32" s="3875">
        <f t="shared" si="1"/>
        <v>41293.96</v>
      </c>
      <c r="P32" s="3875">
        <f t="shared" si="0"/>
        <v>2.25</v>
      </c>
      <c r="Q32" s="3875">
        <f>SUM(Q24:Q31)</f>
        <v>12867.86</v>
      </c>
    </row>
    <row r="33" spans="10:17">
      <c r="J33" s="3867" t="s">
        <v>839</v>
      </c>
      <c r="K33" s="3867" t="s">
        <v>890</v>
      </c>
      <c r="L33" s="3867" t="s">
        <v>229</v>
      </c>
      <c r="M33" s="3867">
        <v>1269.62</v>
      </c>
      <c r="N33" s="3867">
        <v>3525040.66</v>
      </c>
      <c r="O33" s="3867">
        <f>H6</f>
        <v>6612.42</v>
      </c>
      <c r="P33" s="3867">
        <f t="shared" si="0"/>
        <v>7.61</v>
      </c>
      <c r="Q33" s="3867">
        <f>ROUND((M33+M34+M35+M36+M37)/O42*H3,2)</f>
        <v>10187.39</v>
      </c>
    </row>
    <row r="34" spans="10:17">
      <c r="J34" s="3867"/>
      <c r="K34" s="3867"/>
      <c r="L34" s="3867" t="s">
        <v>884</v>
      </c>
      <c r="M34" s="3867">
        <v>4914.48</v>
      </c>
      <c r="N34" s="3867">
        <v>2708636.5</v>
      </c>
      <c r="O34" s="3867"/>
      <c r="P34" s="3867">
        <f t="shared" ref="P34:P42" si="2">ROUND(N34/M34/365,2)</f>
        <v>1.51</v>
      </c>
      <c r="Q34" s="3867"/>
    </row>
    <row r="35" spans="10:17">
      <c r="J35" s="3867"/>
      <c r="K35" s="3867" t="s">
        <v>891</v>
      </c>
      <c r="L35" s="3867" t="s">
        <v>884</v>
      </c>
      <c r="M35" s="3876">
        <v>10267.99</v>
      </c>
      <c r="N35" s="3867">
        <v>13866438.91</v>
      </c>
      <c r="O35" s="3867">
        <f>H7</f>
        <v>10715.57</v>
      </c>
      <c r="P35" s="3867">
        <f t="shared" si="2"/>
        <v>3.7</v>
      </c>
      <c r="Q35" s="3867"/>
    </row>
    <row r="36" spans="10:17">
      <c r="J36" s="3867"/>
      <c r="K36" s="3867" t="s">
        <v>892</v>
      </c>
      <c r="L36" s="3867" t="s">
        <v>229</v>
      </c>
      <c r="M36" s="3867">
        <v>489.06</v>
      </c>
      <c r="N36" s="3867">
        <v>1058231.76</v>
      </c>
      <c r="O36" s="3867">
        <f>H8</f>
        <v>6724.42</v>
      </c>
      <c r="P36" s="3867">
        <f t="shared" si="2"/>
        <v>5.93</v>
      </c>
      <c r="Q36" s="3867"/>
    </row>
    <row r="37" spans="10:17">
      <c r="J37" s="3867"/>
      <c r="K37" s="3867"/>
      <c r="L37" s="3867" t="s">
        <v>884</v>
      </c>
      <c r="M37" s="3867">
        <v>6125.21</v>
      </c>
      <c r="N37" s="3867">
        <v>8093004.71</v>
      </c>
      <c r="O37" s="3867"/>
      <c r="P37" s="3867">
        <f t="shared" si="2"/>
        <v>3.62</v>
      </c>
      <c r="Q37" s="3867"/>
    </row>
    <row r="38" spans="10:17">
      <c r="J38" s="3867"/>
      <c r="K38" s="3867" t="s">
        <v>893</v>
      </c>
      <c r="L38" s="3867" t="s">
        <v>888</v>
      </c>
      <c r="M38" s="3867">
        <v>3344.85</v>
      </c>
      <c r="N38" s="3867">
        <v>600000</v>
      </c>
      <c r="O38" s="3867">
        <f>H9</f>
        <v>9955.09</v>
      </c>
      <c r="P38" s="3867">
        <f t="shared" si="2"/>
        <v>0.49</v>
      </c>
      <c r="Q38" s="3867">
        <f>ROUND(M38/O42*H3,2)</f>
        <v>1477.27</v>
      </c>
    </row>
    <row r="39" spans="10:17">
      <c r="J39" s="3867"/>
      <c r="K39" s="3867"/>
      <c r="L39" s="3867" t="s">
        <v>889</v>
      </c>
      <c r="M39" s="3867">
        <v>365.25</v>
      </c>
      <c r="N39" s="3867">
        <v>80110.16</v>
      </c>
      <c r="O39" s="3867"/>
      <c r="P39" s="3867">
        <f t="shared" si="2"/>
        <v>0.6</v>
      </c>
      <c r="Q39" s="3867">
        <f>ROUND(M39/O42*H3,2)</f>
        <v>161.31</v>
      </c>
    </row>
    <row r="40" spans="10:17">
      <c r="J40" s="3867"/>
      <c r="K40" s="3867"/>
      <c r="L40" s="3867" t="s">
        <v>229</v>
      </c>
      <c r="M40" s="3867">
        <v>5305.91</v>
      </c>
      <c r="N40" s="3867">
        <v>3871364.02</v>
      </c>
      <c r="O40" s="3867"/>
      <c r="P40" s="3867">
        <f t="shared" si="2"/>
        <v>2</v>
      </c>
      <c r="Q40" s="3870">
        <f>ROUND((M40+M41)/O42*H3,2)</f>
        <v>2425.2</v>
      </c>
    </row>
    <row r="41" spans="10:17">
      <c r="J41" s="3867"/>
      <c r="K41" s="3867"/>
      <c r="L41" s="3867" t="s">
        <v>884</v>
      </c>
      <c r="M41" s="3867">
        <v>185.25</v>
      </c>
      <c r="N41" s="3867">
        <v>122497.56</v>
      </c>
      <c r="O41" s="3867"/>
      <c r="P41" s="3867">
        <f t="shared" si="2"/>
        <v>1.81</v>
      </c>
      <c r="Q41" s="3871"/>
    </row>
    <row r="42" spans="10:17">
      <c r="J42" s="3867"/>
      <c r="K42" s="3874" t="s">
        <v>395</v>
      </c>
      <c r="L42" s="3874"/>
      <c r="M42" s="3875">
        <f t="shared" ref="M42:Q42" si="3">SUM(M33:M41)</f>
        <v>32267.62</v>
      </c>
      <c r="N42" s="3875">
        <f t="shared" si="3"/>
        <v>33925324.28</v>
      </c>
      <c r="O42" s="3875">
        <f t="shared" si="3"/>
        <v>34007.5</v>
      </c>
      <c r="P42" s="3875">
        <f t="shared" si="2"/>
        <v>2.88</v>
      </c>
      <c r="Q42" s="3875">
        <f t="shared" si="3"/>
        <v>14251.17</v>
      </c>
    </row>
  </sheetData>
  <mergeCells count="25">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39905.31</v>
      </c>
      <c r="C1" s="3837"/>
      <c r="D1" s="3837"/>
      <c r="E1" s="3837"/>
      <c r="F1" s="3837"/>
      <c r="G1" s="3838"/>
      <c r="H1" s="3839"/>
      <c r="I1" s="3839"/>
      <c r="J1" s="3839"/>
      <c r="K1" s="3839"/>
    </row>
    <row r="2" ht="16.5" spans="1:11">
      <c r="A2" s="3836" t="s">
        <v>975</v>
      </c>
      <c r="B2" s="3836">
        <f>SUM(C14:C23)</f>
        <v>12867.86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109528</v>
      </c>
      <c r="C5" s="3836">
        <f ca="1">ROUND(B5*10000/$B$1,0)</f>
        <v>27447</v>
      </c>
      <c r="D5" s="3836">
        <f ca="1">ROUND(B5*10000/$B$2,0)</f>
        <v>85117</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39905.31</v>
      </c>
      <c r="C14" s="3850">
        <f>'数据-汇总表'!D31</f>
        <v>12867.86</v>
      </c>
      <c r="D14" s="3850">
        <f ca="1">结果表!G19</f>
        <v>109528</v>
      </c>
      <c r="E14" s="3850">
        <f ca="1">ROUND(D14*10000/B14,0)</f>
        <v>27447</v>
      </c>
      <c r="F14" s="3850">
        <f ca="1">ROUND(D14*10000/C14,0)</f>
        <v>85117</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87" workbookViewId="0">
      <selection activeCell="L23" sqref="L23"/>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39905.31</v>
      </c>
      <c r="M18" s="2318">
        <f>IF(C1="",'数据-汇总表'!E3,SUMIF(项目类型,C1,'数据-汇总表'!E17:E26))</f>
        <v>39905.31</v>
      </c>
    </row>
    <row r="19" ht="14.25" spans="1:36">
      <c r="A19" s="1641" t="s">
        <v>1033</v>
      </c>
      <c r="B19" s="3473" t="s">
        <v>1034</v>
      </c>
      <c r="C19" s="3474">
        <f ca="1">SUMIF(INDIRECT("'"&amp;C4&amp;"'"&amp;"!A:A"),结果表!B19,INDIRECT("'"&amp;C4&amp;"'"&amp;"!B:B"))</f>
        <v>127906</v>
      </c>
      <c r="D19" s="3475">
        <f ca="1">SUMIF(INDIRECT("'"&amp;D4&amp;"'"&amp;"!A:A"),结果表!B19,INDIRECT("'"&amp;D4&amp;"'"&amp;"!B:B"))</f>
        <v>66645</v>
      </c>
      <c r="E19" s="1641" t="s">
        <v>1035</v>
      </c>
      <c r="F19" s="3473" t="s">
        <v>1034</v>
      </c>
      <c r="G19" s="3476">
        <f ca="1">ROUND(C19*$C$18+D19*$D$18,0)</f>
        <v>109528</v>
      </c>
      <c r="H19" s="3477" t="s">
        <v>1036</v>
      </c>
      <c r="I19" s="2303">
        <f ca="1">ROUND(C19*$C$18+D19*$D$18,4)</f>
        <v>109527.7</v>
      </c>
      <c r="K19" s="1301" t="s">
        <v>548</v>
      </c>
      <c r="L19" s="2318">
        <f>IF(C1="",'数据-汇总表'!D3,SUMIF(项目类型,C1,'数据-汇总表'!D17:D26)+SUMIF(项目类型,C1,'数据-汇总表'!H17:H27))</f>
        <v>12867.86</v>
      </c>
      <c r="M19" s="2318">
        <f>IF(C1="",'数据-汇总表'!D3,SUMIF(项目类型,C1,'数据-汇总表'!D17:D26))</f>
        <v>12867.86</v>
      </c>
    </row>
    <row r="20" ht="15" spans="1:36">
      <c r="A20" s="3478"/>
      <c r="B20" s="3479" t="s">
        <v>1037</v>
      </c>
      <c r="C20" s="3480">
        <f ca="1">SUMIF(INDIRECT("'"&amp;C4&amp;"'"&amp;"!A:A"),结果表!B20,INDIRECT("'"&amp;C4&amp;"'"&amp;"!B:B"))</f>
        <v>34937</v>
      </c>
      <c r="D20" s="3481">
        <f ca="1">SUMIF(INDIRECT("'"&amp;D4&amp;"'"&amp;"!A:A"),结果表!B20,INDIRECT("'"&amp;D4&amp;"'"&amp;"!B:B"))</f>
        <v>16701</v>
      </c>
      <c r="E20" s="3478"/>
      <c r="F20" s="3479" t="s">
        <v>1037</v>
      </c>
      <c r="G20" s="2057">
        <f ca="1">ROUND(C20*$C$18+D20*$D$18,0)</f>
        <v>29466</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114369</v>
      </c>
      <c r="K21" s="2217">
        <v>28667</v>
      </c>
    </row>
    <row r="22" ht="15" spans="1:36">
      <c r="A22" s="3486" t="s">
        <v>1041</v>
      </c>
      <c r="B22" s="3487"/>
      <c r="C22" s="3488"/>
      <c r="D22" s="3489">
        <f ca="1">IF(C19&lt;D19,D19/C19-1,C19/D19-1)</f>
        <v>0.919213744466952</v>
      </c>
      <c r="E22" s="3490"/>
      <c r="F22" s="3491"/>
      <c r="G22" s="3492">
        <f ca="1">ROUND(G19/('数据-汇总表'!D3/666.67),0)</f>
        <v>5675</v>
      </c>
      <c r="H22" s="3493" t="s">
        <v>1042</v>
      </c>
      <c r="I22" s="2303"/>
      <c r="J22" s="2217">
        <f ca="1">G19-J21</f>
        <v>-4841</v>
      </c>
      <c r="K22" s="2217">
        <f ca="1">I118</f>
        <v>27447</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f ca="1">C19/C20</f>
        <v>3.66104702750665</v>
      </c>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109528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70427</v>
      </c>
      <c r="D34" s="3524">
        <f ca="1">IF(C33="自定义",ROUND(C34/C32,3),IF(C33="收益比率",SUMIF(INDIRECT("'"&amp;D33&amp;"'"&amp;"!b:b"),"土地收益比率",INDIRECT("'"&amp;D33&amp;"'"&amp;"!c:c")),SUMIF(INDIRECT("'"&amp;D33&amp;"'"&amp;"!b:b"),"土地成本比率",INDIRECT("'"&amp;D33&amp;"'"&amp;"!c:c"))))</f>
        <v>0.643</v>
      </c>
      <c r="E34" s="3525" t="s">
        <v>1058</v>
      </c>
      <c r="F34" s="3526">
        <f ca="1">G19-F35</f>
        <v>70427</v>
      </c>
      <c r="G34" s="2303"/>
      <c r="H34" s="2303"/>
      <c r="I34" s="2303"/>
    </row>
    <row r="35" ht="15.75" spans="1:19">
      <c r="A35" s="3527"/>
      <c r="B35" s="3528" t="s">
        <v>1059</v>
      </c>
      <c r="C35" s="3529">
        <f ca="1">IF(C33="自定义",F35,ROUND(C32*D35,0))</f>
        <v>39101</v>
      </c>
      <c r="D35" s="3530">
        <f ca="1">IF(C33="自定义",ROUND(C35/C32,3),IF(C33="收益比率",SUMIF(INDIRECT("'"&amp;D33&amp;"'"&amp;"!b:b"),"建筑物收益比率",INDIRECT("'"&amp;D33&amp;"'"&amp;"!c:c")),SUMIF(INDIRECT("'"&amp;D33&amp;"'"&amp;"!b:b"),"建筑物成本比率",INDIRECT("'"&amp;D33&amp;"'"&amp;"!c:c"))))</f>
        <v>0.357</v>
      </c>
      <c r="E35" s="3531" t="s">
        <v>1060</v>
      </c>
      <c r="F35" s="3532">
        <f ca="1">ROUND(G19*收益法办公!C92,0)</f>
        <v>39101</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109528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109528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109528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3190</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9044</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55</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9044</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55</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1095</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1150</v>
      </c>
      <c r="O57" s="3624"/>
      <c r="P57" s="3625">
        <f ca="1">N57/M49</f>
        <v>0.0104995982762399</v>
      </c>
      <c r="R57" s="3626" t="s">
        <v>1135</v>
      </c>
      <c r="S57" s="3627"/>
    </row>
    <row r="58" ht="24.75" spans="1:35">
      <c r="A58" s="3603" t="s">
        <v>1108</v>
      </c>
      <c r="B58" s="2685" t="s">
        <v>1136</v>
      </c>
      <c r="C58" s="2686"/>
      <c r="D58" s="3584">
        <f ca="1">IF(H58="转让取得",C81,C97)</f>
        <v>48835</v>
      </c>
      <c r="E58" s="2321" t="s">
        <v>1129</v>
      </c>
      <c r="F58" s="1301" t="s">
        <v>124</v>
      </c>
      <c r="G58" s="1302"/>
      <c r="H58" s="3618"/>
      <c r="I58" s="3619"/>
      <c r="J58" s="967"/>
      <c r="K58" s="967"/>
      <c r="L58" s="3621" t="s">
        <v>1137</v>
      </c>
      <c r="M58" s="3628"/>
      <c r="N58" s="3629" t="str">
        <f ca="1">NUMBERSTRING(INT(N57*10000),2)&amp;"元整"</f>
        <v>壹仟壹佰伍拾万元整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1095</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108378</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壹拾亿捌仟叁佰柒拾捌万元整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27159</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109528</v>
      </c>
      <c r="D63" s="3664"/>
      <c r="E63" s="3665" t="s">
        <v>1154</v>
      </c>
      <c r="F63" s="3603">
        <v>1</v>
      </c>
      <c r="G63" s="2931" t="s">
        <v>1117</v>
      </c>
      <c r="H63" s="2320">
        <f ca="1">H64-H66</f>
        <v>9044</v>
      </c>
      <c r="I63" s="3666"/>
      <c r="J63" s="3667" t="s">
        <v>1155</v>
      </c>
      <c r="K63" s="3668" t="s">
        <v>1156</v>
      </c>
      <c r="L63" s="3669">
        <f ca="1">IF(M49&gt;10000,M49*0.5%,IF(AND(M49&gt;1000,M49&lt;=10000),M49*1%,IF(AND(M49&gt;100,M49&lt;=1000),M49*3%,IF(AND(M49&gt;10,M49&lt;=100),M49*5%,M49*8%))))</f>
        <v>547.64</v>
      </c>
      <c r="M63" s="2318">
        <f ca="1">ROUND(L63,1)</f>
        <v>547.6</v>
      </c>
      <c r="N63" s="1349"/>
      <c r="Z63" s="3442"/>
      <c r="AI63" s="3443"/>
    </row>
    <row r="64" ht="14.25" customHeight="1" spans="1:35">
      <c r="A64" s="3670" t="s">
        <v>1157</v>
      </c>
      <c r="B64" s="3671" t="s">
        <v>1158</v>
      </c>
      <c r="C64" s="850">
        <f ca="1">D45</f>
        <v>109528</v>
      </c>
      <c r="D64" s="3672"/>
      <c r="E64" s="3673"/>
      <c r="F64" s="3603">
        <v>2</v>
      </c>
      <c r="G64" s="2931" t="s">
        <v>1159</v>
      </c>
      <c r="H64" s="2320">
        <f ca="1">ROUND(H65*I64/(1+I64),0)</f>
        <v>9044</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547.64</v>
      </c>
      <c r="M64" s="2318">
        <f ca="1" t="shared" ref="M64:M65" si="1">ROUND(L64,1)</f>
        <v>547.6</v>
      </c>
      <c r="N64" s="1337" t="s">
        <v>1161</v>
      </c>
      <c r="Z64" s="3442"/>
      <c r="AI64" s="3443"/>
    </row>
    <row r="65" ht="14.25" customHeight="1" spans="1:35">
      <c r="A65" s="3670" t="s">
        <v>1162</v>
      </c>
      <c r="B65" s="3671" t="s">
        <v>1163</v>
      </c>
      <c r="C65" s="3675"/>
      <c r="D65" s="3676"/>
      <c r="E65" s="3673"/>
      <c r="F65" s="3670" t="s">
        <v>1157</v>
      </c>
      <c r="G65" s="3279" t="s">
        <v>1164</v>
      </c>
      <c r="H65" s="2320">
        <f ca="1">D45</f>
        <v>109528</v>
      </c>
      <c r="I65" s="3666"/>
      <c r="J65" s="3667"/>
      <c r="K65" s="3668" t="s">
        <v>1165</v>
      </c>
      <c r="L65" s="3669">
        <f ca="1">IF(M49&gt;1000,M49*0.1%,IF(AND(M49&gt;500,M49&lt;=1000),M49*0.5%,IF(AND(M49&gt;50,M49&lt;=500),M49*1%,IF(AND(M49&gt;1,M49&lt;=50),M49*1.5%))))</f>
        <v>109.528</v>
      </c>
      <c r="M65" s="2318">
        <f ca="1" t="shared" si="1"/>
        <v>109.5</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547.64</v>
      </c>
      <c r="M66" s="2318">
        <f ca="1">IF(L66&gt;0.5,0.5,ROUND(L66,0))</f>
        <v>0.5</v>
      </c>
      <c r="N66" s="1337" t="s">
        <v>1170</v>
      </c>
      <c r="Z66" s="3442"/>
      <c r="AI66" s="3443"/>
    </row>
    <row r="67" ht="14.25" customHeight="1" spans="1:35">
      <c r="A67" s="3662" t="s">
        <v>1171</v>
      </c>
      <c r="B67" s="3680" t="s">
        <v>1164</v>
      </c>
      <c r="C67" s="850">
        <f ca="1">C63-C66</f>
        <v>109528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18.2028</v>
      </c>
      <c r="M67" s="2318">
        <f ca="1">ROUND(L67*0.9,1)</f>
        <v>16.4</v>
      </c>
      <c r="N67" s="1349"/>
      <c r="Z67" s="3442"/>
      <c r="AI67" s="3443"/>
    </row>
    <row r="68" ht="14.25" customHeight="1" spans="1:35">
      <c r="A68" s="3682" t="s">
        <v>1174</v>
      </c>
      <c r="B68" s="3683" t="s">
        <v>1175</v>
      </c>
      <c r="C68" s="3684">
        <f ca="1">IF(C67&lt;=0,0,ROUND(C67*D68,0))</f>
        <v>5476</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547.64</v>
      </c>
      <c r="M68" s="2318">
        <f ca="1">ROUND(L68,1)</f>
        <v>547.6</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1769</v>
      </c>
      <c r="N69" s="3695">
        <f ca="1">M69/M49</f>
        <v>0.0161511211744942</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100484</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12058</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12058</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88426</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7.33338862166197</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48835</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100484</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12058</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12058</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88426</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7.33338862166197</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48835</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109528</v>
      </c>
      <c r="I101" s="2303"/>
    </row>
    <row r="102" ht="18.75" customHeight="1" spans="1:35">
      <c r="A102" s="3762" t="s">
        <v>1233</v>
      </c>
      <c r="B102" s="3763" t="s">
        <v>1232</v>
      </c>
      <c r="C102" s="3764">
        <f ca="1">C19</f>
        <v>127906</v>
      </c>
      <c r="D102" s="3765">
        <f ca="1">D19</f>
        <v>66645</v>
      </c>
      <c r="E102" s="3758"/>
      <c r="F102" s="3759"/>
      <c r="G102" s="3760" t="s">
        <v>99</v>
      </c>
      <c r="H102" s="3017">
        <f ca="1">I118</f>
        <v>27447</v>
      </c>
      <c r="I102" s="2303"/>
    </row>
    <row r="103" ht="42.75" customHeight="1" spans="1:35">
      <c r="A103" s="3762"/>
      <c r="B103" s="3763" t="s">
        <v>99</v>
      </c>
      <c r="C103" s="3766">
        <f ca="1">C20</f>
        <v>34937</v>
      </c>
      <c r="D103" s="3767">
        <f ca="1">D20</f>
        <v>16701</v>
      </c>
      <c r="E103" s="3768" t="s">
        <v>1234</v>
      </c>
      <c r="F103" s="3769"/>
      <c r="G103" s="3770" t="s">
        <v>102</v>
      </c>
      <c r="H103" s="3761">
        <f>IF(D36="正常操作",H104+H105+H106,H105+H106)</f>
        <v>0</v>
      </c>
      <c r="I103" s="2303"/>
    </row>
    <row r="104" ht="18.75" customHeight="1" spans="1:35">
      <c r="A104" s="3762" t="s">
        <v>1235</v>
      </c>
      <c r="B104" s="3771" t="s">
        <v>1232</v>
      </c>
      <c r="C104" s="3772">
        <f ca="1">H118</f>
        <v>109528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27447</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109528</v>
      </c>
      <c r="I107" s="2303"/>
    </row>
    <row r="108" ht="18.75" customHeight="1" spans="1:35">
      <c r="A108" s="2303"/>
      <c r="B108" s="2303"/>
      <c r="C108" s="2303"/>
      <c r="D108" s="2303"/>
      <c r="E108" s="726"/>
      <c r="F108" s="3759"/>
      <c r="G108" s="3760" t="s">
        <v>99</v>
      </c>
      <c r="H108" s="3017">
        <f ca="1">IF(H107=H101,H102,ROUND(H107*10000/'数据-汇总表'!E3,0))</f>
        <v>27447</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70427</v>
      </c>
      <c r="M117" s="3799">
        <f ca="1">C35</f>
        <v>39101</v>
      </c>
      <c r="N117" s="3799">
        <f ca="1">C32</f>
        <v>109528</v>
      </c>
    </row>
    <row r="118" ht="24.75" customHeight="1" spans="1:27">
      <c r="A118" s="3800" t="str">
        <f>项目基本情况!S2</f>
        <v>北京市房地产</v>
      </c>
      <c r="B118" s="3801">
        <f>M18</f>
        <v>39905.31</v>
      </c>
      <c r="C118" s="3801">
        <f>M19</f>
        <v>12867.86</v>
      </c>
      <c r="D118" s="3460">
        <f ca="1">ROUND(IF(D32="总价",L117,L119*B118/10000),0)</f>
        <v>70427</v>
      </c>
      <c r="E118" s="3460">
        <f ca="1">ROUND(IF(C33="自定义",IF(D32="楼面单价",L119,D118*10000/B118),I118-G118),0)</f>
        <v>17649</v>
      </c>
      <c r="F118" s="3460">
        <f ca="1">ROUND(IF(D32="总价",M117,M119*B118/10000),0)</f>
        <v>39101</v>
      </c>
      <c r="G118" s="3460">
        <f ca="1">ROUND(IF(D32="楼面单价",,F118*10000/B118),0)</f>
        <v>9798</v>
      </c>
      <c r="H118" s="3460">
        <f ca="1">ROUND(IF(D32="总价",C32,N119*B118/10000),4)</f>
        <v>109528</v>
      </c>
      <c r="I118" s="3460">
        <f ca="1">ROUND(IF(D32="楼面单价",C32,N117*10000/B118),0)</f>
        <v>27447</v>
      </c>
      <c r="K118" s="3795"/>
      <c r="L118" s="3795"/>
      <c r="M118" s="3795"/>
      <c r="N118" s="3795"/>
    </row>
    <row r="119" ht="18.75" customHeight="1" spans="1:27">
      <c r="A119" s="1205" t="s">
        <v>1250</v>
      </c>
      <c r="B119" s="1205"/>
      <c r="C119" s="1205"/>
      <c r="D119" s="1453" t="str">
        <f ca="1">NUMBERSTRING(INT(D118*10000),2)&amp;"元整"</f>
        <v>柒亿零肆佰贰拾柒万元整</v>
      </c>
      <c r="E119" s="1773"/>
      <c r="F119" s="1453" t="str">
        <f ca="1">NUMBERSTRING(INT(F118*10000),2)&amp;"元整"</f>
        <v>叁亿玖仟壹佰零壹万元整</v>
      </c>
      <c r="G119" s="1773"/>
      <c r="H119" s="1453" t="str">
        <f ca="1">NUMBERSTRING(INT(H118*10000),2)&amp;"元整"</f>
        <v>壹拾亿玖仟伍佰贰拾捌万元整</v>
      </c>
      <c r="I119" s="1773"/>
      <c r="K119" s="3796" t="s">
        <v>1251</v>
      </c>
      <c r="L119" s="3799">
        <f ca="1">C34</f>
        <v>70427</v>
      </c>
      <c r="M119" s="3799">
        <f ca="1">C35</f>
        <v>39101</v>
      </c>
      <c r="N119" s="3799">
        <f ca="1">C32</f>
        <v>109528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109528</v>
      </c>
      <c r="I122" s="3811"/>
      <c r="AA122" s="2217"/>
    </row>
    <row r="123" ht="18.75" customHeight="1" spans="1:27">
      <c r="A123" s="1453" t="s">
        <v>1250</v>
      </c>
      <c r="B123" s="3807"/>
      <c r="C123" s="3807"/>
      <c r="D123" s="3807"/>
      <c r="E123" s="3807"/>
      <c r="F123" s="3807"/>
      <c r="G123" s="1773"/>
      <c r="H123" s="1453" t="str">
        <f ca="1">NUMBERSTRING(INT(H122*10000),2)&amp;"元整"</f>
        <v>壹拾亿玖仟伍佰贰拾捌万元整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0" workbookViewId="0">
      <selection activeCell="N28" sqref="N28"/>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127906</v>
      </c>
      <c r="C2" s="1859" t="s">
        <v>1266</v>
      </c>
      <c r="D2" s="1860">
        <f ca="1">IF(E1="项目模式",IF(E2="——",ROUND(C43*D3/10000,0),ROUND(C43*D3/10000,0)-F2),IF(E1="单套模式",IF(E2="——",ROUND(C43*D3/10000,4),ROUND(C43*D3/10000,4)-F2)))</f>
        <v>139417</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34937</v>
      </c>
      <c r="C3" s="1865" t="s">
        <v>1269</v>
      </c>
      <c r="D3" s="1864">
        <f>IF(D1="",'数据-汇总表'!E3,SUMIF('数据-汇总表'!$C19:$C33,D1,'数据-汇总表'!$E19:$E33))</f>
        <v>39905.31</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110</v>
      </c>
      <c r="X9" s="1440"/>
      <c r="Y9" s="1169" t="s">
        <v>1296</v>
      </c>
      <c r="Z9" s="1443" t="str">
        <f t="shared" ref="Z9:Z15" si="7">Q9</f>
        <v>用途</v>
      </c>
      <c r="AA9" s="1443">
        <f t="shared" si="3"/>
        <v>1</v>
      </c>
      <c r="AB9" s="1443">
        <f t="shared" si="4"/>
        <v>1</v>
      </c>
      <c r="AC9" s="1443">
        <f t="shared" si="5"/>
        <v>0.909090909090909</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115</v>
      </c>
      <c r="G38" s="3375" t="s">
        <v>1373</v>
      </c>
      <c r="H38" s="1915">
        <f>SUMIF(108:108,G38,109:109)-SUMIF(108:108,C38,109:109)+100</f>
        <v>115</v>
      </c>
      <c r="I38" s="3375" t="s">
        <v>1373</v>
      </c>
      <c r="J38" s="1915">
        <f>SUMIF(108:108,I38,109:1038)-SUMIF(108:108,C38,109:109)+100</f>
        <v>115</v>
      </c>
      <c r="K38" s="1517"/>
      <c r="L38" s="3365"/>
      <c r="M38" s="3372"/>
      <c r="N38" s="3372"/>
      <c r="O38" s="3373"/>
      <c r="P38" s="1534"/>
      <c r="Q38" s="2086" t="str">
        <f t="shared" si="11"/>
        <v>地下面积占比</v>
      </c>
      <c r="R38" s="1535" t="s">
        <v>1289</v>
      </c>
      <c r="S38" s="1536">
        <f t="shared" si="12"/>
        <v>115</v>
      </c>
      <c r="T38" s="1535" t="s">
        <v>1289</v>
      </c>
      <c r="U38" s="1536">
        <f t="shared" si="13"/>
        <v>115</v>
      </c>
      <c r="V38" s="1535" t="s">
        <v>1289</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34937</v>
      </c>
      <c r="D42" s="1799" t="s">
        <v>1328</v>
      </c>
      <c r="E42" s="2146">
        <f>R42</f>
        <v>38654</v>
      </c>
      <c r="F42" s="1570"/>
      <c r="G42" s="2147">
        <f>T42</f>
        <v>32585</v>
      </c>
      <c r="H42" s="1570"/>
      <c r="I42" s="2146">
        <f>V42</f>
        <v>33572</v>
      </c>
      <c r="J42" s="1570"/>
      <c r="K42" s="1572">
        <f>F42+H42+J42</f>
        <v>0</v>
      </c>
      <c r="L42" s="3377"/>
      <c r="M42" s="1627"/>
      <c r="N42" s="3351">
        <v>30000</v>
      </c>
      <c r="O42" s="1627"/>
      <c r="P42" s="1051" t="str">
        <f>A42</f>
        <v>比较价值（元/平方米）</v>
      </c>
      <c r="Q42" s="1051"/>
      <c r="R42" s="1563">
        <f>IF(F1="售价",ROUND(PRODUCT(R41,AA7:AA40),0),ROUND(PRODUCT(R41,AA7:AA40),1))</f>
        <v>38654</v>
      </c>
      <c r="S42" s="1563"/>
      <c r="T42" s="1563">
        <f>IF(F1="售价",ROUND(PRODUCT(T41,AB7:AB40),0),ROUND(PRODUCT(T41,AB7:AB40),1))</f>
        <v>32585</v>
      </c>
      <c r="U42" s="1563"/>
      <c r="V42" s="1563">
        <f>IF(F1="售价",ROUND(PRODUCT(V41,AC7:AC40),0),ROUND(PRODUCT(V41,AC7:AC40),1))</f>
        <v>33572</v>
      </c>
      <c r="W42" s="1563"/>
      <c r="X42" s="1564"/>
      <c r="Y42" s="1564"/>
      <c r="Z42" s="1564"/>
      <c r="AA42" s="1564"/>
      <c r="AB42" s="1564"/>
      <c r="AC42" s="1564"/>
    </row>
    <row r="43" ht="15.75" spans="1:29">
      <c r="A43" s="1573" t="s">
        <v>1329</v>
      </c>
      <c r="B43" s="1574"/>
      <c r="C43" s="1575">
        <f>R43</f>
        <v>34937</v>
      </c>
      <c r="D43" s="1768"/>
      <c r="E43" s="1768"/>
      <c r="F43" s="1768"/>
      <c r="G43" s="1768"/>
      <c r="H43" s="1768"/>
      <c r="I43" s="1768"/>
      <c r="J43" s="1768"/>
      <c r="K43" s="1970"/>
      <c r="L43" s="3377"/>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34937</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0.164174470947379</v>
      </c>
      <c r="F46" s="1585" t="str">
        <f>IF(OR(E46&gt;=0.3,E46&lt;=-0.3),"超过30%","")</f>
        <v/>
      </c>
      <c r="G46" s="1584">
        <f>IF(G41&lt;G42,G42/G41-1,G41/G42-1)</f>
        <v>0.166180758017493</v>
      </c>
      <c r="H46" s="1585" t="str">
        <f>IF(OR(G46&gt;=0.3,G46&lt;=-0.3),"超过30%","")</f>
        <v/>
      </c>
      <c r="I46" s="1584">
        <f>IF(I41&lt;I42,I42/I41-1,I41/I42-1)</f>
        <v>0.351959966638866</v>
      </c>
      <c r="J46" s="1585" t="str">
        <f>IF(OR(I46&gt;=0.3,I46&lt;=-0.3),"超过30%","")</f>
        <v>超过30%</v>
      </c>
      <c r="K46" s="1582"/>
      <c r="L46" s="1631"/>
      <c r="M46" s="1627"/>
      <c r="N46" s="1627"/>
      <c r="O46" s="1627"/>
    </row>
    <row r="47" ht="13.5" customHeight="1" spans="1:29">
      <c r="A47" s="1562"/>
      <c r="B47" s="1562"/>
      <c r="C47" s="682" t="s">
        <v>1331</v>
      </c>
      <c r="D47" s="1122"/>
      <c r="E47" s="1584">
        <f>IF(E42&lt;G42,G42/E42-1,E42/G42-1)</f>
        <v>0.18625134264232</v>
      </c>
      <c r="F47" s="1585" t="str">
        <f>IF(OR(E47&gt;=0.2,E47&lt;=-0.2),"超过20%","")</f>
        <v/>
      </c>
      <c r="G47" s="1584">
        <f>IF(G42&lt;I42,I42/G42-1,G42/I42-1)</f>
        <v>0.0302900107411386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110</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1377</v>
      </c>
      <c r="F108" s="3401" t="s">
        <v>1371</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66645</v>
      </c>
      <c r="C2" s="3306" t="s">
        <v>1451</v>
      </c>
      <c r="D2" s="3307" t="s">
        <v>1452</v>
      </c>
      <c r="E2" s="3308">
        <f>SUM(E6:E13)</f>
        <v>39905.31</v>
      </c>
      <c r="F2" s="3302"/>
      <c r="G2" s="3303"/>
      <c r="H2" s="3303"/>
      <c r="I2" s="3303"/>
      <c r="J2" s="3303"/>
      <c r="K2" s="3303"/>
      <c r="L2" s="3303"/>
      <c r="M2" s="3303"/>
      <c r="N2" s="3303"/>
      <c r="O2" s="3303"/>
      <c r="P2" s="3303"/>
      <c r="Q2" s="3303"/>
      <c r="R2" s="3303"/>
      <c r="S2" s="3303"/>
    </row>
    <row r="3" spans="1:22">
      <c r="A3" s="3304" t="s">
        <v>1268</v>
      </c>
      <c r="B3" s="3309">
        <f ca="1">ROUND(B2*10000/E2,0)</f>
        <v>16701</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56622</v>
      </c>
      <c r="C6" s="3306" t="s">
        <v>1451</v>
      </c>
      <c r="D6" s="3310"/>
      <c r="E6" s="3321">
        <f>IF(OR(A6=0,F6="否"),0,'数据-取费表'!K6+'数据-取费表'!S6)</f>
        <v>24612.27</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7004</v>
      </c>
      <c r="C7" s="3306" t="s">
        <v>1451</v>
      </c>
      <c r="D7" s="3310"/>
      <c r="E7" s="3321">
        <f>IF(OR(A7=0,F7="否"),0,'数据-取费表'!K7+'数据-取费表'!S7)</f>
        <v>7019.07</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689</v>
      </c>
      <c r="C8" s="3306" t="s">
        <v>1451</v>
      </c>
      <c r="D8" s="3310"/>
      <c r="E8" s="3321">
        <f>IF(OR(A8=0,F8="否"),0,'数据-取费表'!K8+'数据-取费表'!S8)</f>
        <v>1484.99</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2330</v>
      </c>
      <c r="C9" s="3306" t="s">
        <v>1451</v>
      </c>
      <c r="D9" s="3310"/>
      <c r="E9" s="3321">
        <f>IF(OR(A9=0,F9="否"),0,'数据-取费表'!K9+'数据-取费表'!S9)</f>
        <v>6788.98</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56622</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23006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3319</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3314.91</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3683.23</v>
      </c>
      <c r="D7" s="2906" t="s">
        <v>1477</v>
      </c>
      <c r="E7" s="2650" t="s">
        <v>1478</v>
      </c>
      <c r="F7" s="2907">
        <f ca="1">IF(INDIRECT("'数据-取费表'!ah"&amp;$G$1)="",INDIRECT("'数据-取费表'!k"&amp;$G$1),INDIRECT("'数据-取费表'!ah"&amp;$G$1))</f>
        <v>24612.27</v>
      </c>
      <c r="G7" s="883"/>
      <c r="H7" s="2903" t="s">
        <v>1186</v>
      </c>
      <c r="I7" s="2904" t="s">
        <v>1476</v>
      </c>
      <c r="J7" s="3256">
        <f ca="1">ROUND(M6*M8*M7/10000,2)</f>
        <v>0</v>
      </c>
      <c r="K7" s="2906" t="s">
        <v>1477</v>
      </c>
      <c r="L7" s="1301" t="s">
        <v>1478</v>
      </c>
      <c r="M7" s="2907">
        <f ca="1">F7</f>
        <v>24612.27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368.32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4.14</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507</v>
      </c>
      <c r="D13" s="3259" t="s">
        <v>1490</v>
      </c>
      <c r="E13" s="2926"/>
      <c r="F13" s="2895"/>
      <c r="G13" s="2878"/>
      <c r="H13" s="2675" t="s">
        <v>1488</v>
      </c>
      <c r="I13" s="2676" t="s">
        <v>1489</v>
      </c>
      <c r="J13" s="2924">
        <f ca="1">ROUND(J14+J22+J24+J26,0)</f>
        <v>185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442.52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1186</v>
      </c>
      <c r="B15" s="2900" t="s">
        <v>1495</v>
      </c>
      <c r="C15" s="3255">
        <f ca="1">C18</f>
        <v>35.21</v>
      </c>
      <c r="D15" s="1104" t="s">
        <v>1496</v>
      </c>
      <c r="E15" s="2932"/>
      <c r="F15" s="2933"/>
      <c r="G15" s="2691"/>
      <c r="H15" s="1315" t="s">
        <v>1186</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298.34</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4.89</v>
      </c>
      <c r="D17" s="2938" t="s">
        <v>1501</v>
      </c>
      <c r="E17" s="2941"/>
      <c r="F17" s="2937">
        <v>0.06</v>
      </c>
      <c r="G17" s="2691"/>
      <c r="H17" s="662" t="s">
        <v>1500</v>
      </c>
      <c r="I17" s="2935" t="s">
        <v>1126</v>
      </c>
      <c r="J17" s="3262">
        <f ca="1">ROUND(J22*M16+((J24+J26)*M17),2)</f>
        <v>3.04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35.21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397.79</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141.76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9.52</v>
      </c>
      <c r="D20" s="2705" t="s">
        <v>1511</v>
      </c>
      <c r="E20" s="1301" t="s">
        <v>1512</v>
      </c>
      <c r="F20" s="3017">
        <f>'数据-取费表'!B53</f>
        <v>12</v>
      </c>
      <c r="G20" s="883"/>
      <c r="H20" s="2903" t="s">
        <v>1193</v>
      </c>
      <c r="I20" s="2645" t="s">
        <v>1510</v>
      </c>
      <c r="J20" s="3257">
        <f ca="1">ROUND(M20*M21/10000,2)</f>
        <v>9.52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7936.47</v>
      </c>
      <c r="G21" s="2691"/>
      <c r="H21" s="2707"/>
      <c r="I21" s="2708"/>
      <c r="J21" s="3263"/>
      <c r="K21" s="2710"/>
      <c r="L21" s="1301" t="s">
        <v>1513</v>
      </c>
      <c r="M21" s="2907">
        <f ca="1">INDIRECT("'数据-取费表'!r"&amp;$G$1)</f>
        <v>7936.47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33.75</v>
      </c>
      <c r="D22" s="2951" t="s">
        <v>1515</v>
      </c>
      <c r="E22" s="1301" t="s">
        <v>1509</v>
      </c>
      <c r="F22" s="2913">
        <f ca="1">INDIRECT("'数据-取费表'!Ak"&amp;$G$1)</f>
        <v>0.002</v>
      </c>
      <c r="G22" s="2691"/>
      <c r="H22" s="2949" t="s">
        <v>1162</v>
      </c>
      <c r="I22" s="2642" t="s">
        <v>1514</v>
      </c>
      <c r="J22" s="3264">
        <f ca="1">ROUND(J35*M22,2)</f>
        <v>33.75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16876</v>
      </c>
      <c r="G23" s="2691"/>
      <c r="H23" s="2707"/>
      <c r="I23" s="2708"/>
      <c r="J23" s="3265"/>
      <c r="K23" s="2954"/>
      <c r="L23" s="2900" t="s">
        <v>1516</v>
      </c>
      <c r="M23" s="2911">
        <f ca="1">J35</f>
        <v>16876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14.35</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14345</v>
      </c>
      <c r="G25" s="883"/>
      <c r="H25" s="2707"/>
      <c r="I25" s="2708"/>
      <c r="J25" s="3265"/>
      <c r="K25" s="2954"/>
      <c r="L25" s="2944" t="s">
        <v>1520</v>
      </c>
      <c r="M25" s="2911">
        <f ca="1">J37</f>
        <v>0</v>
      </c>
    </row>
    <row r="26" s="2604" customFormat="1" ht="18" customHeight="1" spans="1:37">
      <c r="A26" s="2692" t="s">
        <v>1218</v>
      </c>
      <c r="B26" s="2671" t="s">
        <v>1521</v>
      </c>
      <c r="C26" s="3266">
        <f ca="1">ROUND(C5*F26,2)</f>
        <v>16.6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2812</v>
      </c>
      <c r="D27" s="3267" t="s">
        <v>1525</v>
      </c>
      <c r="E27" s="2957"/>
      <c r="F27" s="2958"/>
      <c r="G27" s="2959"/>
      <c r="H27" s="2675" t="s">
        <v>1523</v>
      </c>
      <c r="I27" s="2716" t="s">
        <v>1524</v>
      </c>
      <c r="J27" s="2924">
        <f ca="1">J5-J13</f>
        <v>-185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56105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61154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24612.27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24847</v>
      </c>
      <c r="D32" s="2981" t="s">
        <v>1541</v>
      </c>
      <c r="E32" s="2725" t="s">
        <v>1542</v>
      </c>
      <c r="F32" s="2982">
        <f ca="1">INDIRECT("'数据-取费表'!k"&amp;$G$1)</f>
        <v>24612.27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0.152756854474239</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13379</v>
      </c>
      <c r="D35" s="3269" t="s">
        <v>1546</v>
      </c>
      <c r="E35" s="633"/>
      <c r="F35" s="634"/>
      <c r="G35" s="883"/>
      <c r="H35" s="3272" t="s">
        <v>1544</v>
      </c>
      <c r="I35" s="3273" t="s">
        <v>1547</v>
      </c>
      <c r="J35" s="1287">
        <f ca="1">C51</f>
        <v>16876</v>
      </c>
      <c r="K35" s="3021" t="s">
        <v>1266</v>
      </c>
      <c r="L35" s="1280"/>
      <c r="M35" s="1281"/>
    </row>
    <row r="36" ht="18" customHeight="1" spans="1:37">
      <c r="A36" s="1315" t="s">
        <v>1186</v>
      </c>
      <c r="B36" s="2318" t="s">
        <v>1548</v>
      </c>
      <c r="C36" s="1103">
        <f ca="1">INDIRECT("'数据-取费表'!m"&amp;$G$1)+INDIRECT("'数据-取费表'!t"&amp;$G$1)</f>
        <v>11814</v>
      </c>
      <c r="D36" s="2321" t="s">
        <v>1549</v>
      </c>
      <c r="E36" s="2321"/>
      <c r="F36" s="2722"/>
      <c r="G36" s="883"/>
      <c r="H36" s="3004" t="s">
        <v>1162</v>
      </c>
      <c r="I36" s="3005" t="s">
        <v>1550</v>
      </c>
      <c r="J36" s="803">
        <f ca="1">ROUND(J35*(1-M36),0)</f>
        <v>16876</v>
      </c>
      <c r="K36" s="1301" t="s">
        <v>1551</v>
      </c>
      <c r="L36" s="1279" t="s">
        <v>1552</v>
      </c>
      <c r="M36" s="2913">
        <f ca="1">INDIRECT("'数据-取费表'!ad"&amp;$G$1)</f>
        <v>0</v>
      </c>
    </row>
    <row r="37" ht="18" customHeight="1" spans="1:37">
      <c r="A37" s="1315" t="s">
        <v>1190</v>
      </c>
      <c r="B37" s="2935" t="s">
        <v>760</v>
      </c>
      <c r="C37" s="1287">
        <f ca="1">ROUND(C36*F37,0)</f>
        <v>709</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738</v>
      </c>
      <c r="D39" s="1301" t="s">
        <v>1560</v>
      </c>
      <c r="E39" s="1301" t="s">
        <v>1561</v>
      </c>
      <c r="F39" s="3017">
        <f>'数据-取费表'!B35</f>
        <v>300</v>
      </c>
      <c r="G39" s="883"/>
    </row>
    <row r="40" ht="18" customHeight="1" spans="1:37">
      <c r="A40" s="1315" t="s">
        <v>1562</v>
      </c>
      <c r="B40" s="2935" t="s">
        <v>766</v>
      </c>
      <c r="C40" s="1287">
        <f ca="1">ROUND(C36*F40,0)</f>
        <v>118</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401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432+0.0009V建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432</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2067+0.0045V建</v>
      </c>
      <c r="D47" s="1295" t="s">
        <v>1577</v>
      </c>
      <c r="E47" s="2314"/>
      <c r="F47" s="3017"/>
      <c r="G47" s="883"/>
      <c r="H47" s="713"/>
      <c r="I47" s="713"/>
      <c r="J47" s="713"/>
      <c r="K47" s="1337"/>
      <c r="L47" s="713"/>
      <c r="M47" s="713"/>
    </row>
    <row r="48" ht="18" customHeight="1" spans="1:37">
      <c r="A48" s="1315" t="s">
        <v>1186</v>
      </c>
      <c r="B48" s="1301" t="s">
        <v>1578</v>
      </c>
      <c r="C48" s="1287">
        <f ca="1">ROUND((C35+C42)*F48,0)</f>
        <v>2067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16876</v>
      </c>
      <c r="D51" s="3021" t="s">
        <v>1266</v>
      </c>
      <c r="E51" s="2964"/>
      <c r="F51" s="2913"/>
      <c r="K51" s="2748"/>
    </row>
    <row r="52" s="883" customFormat="1" ht="18" customHeight="1" spans="1:18">
      <c r="A52" s="3022" t="s">
        <v>1588</v>
      </c>
      <c r="B52" s="3013" t="s">
        <v>1550</v>
      </c>
      <c r="C52" s="2905">
        <f ca="1">ROUND(C51*(1-F52),0)</f>
        <v>2531</v>
      </c>
      <c r="D52" s="2964" t="s">
        <v>1589</v>
      </c>
      <c r="E52" s="2964" t="s">
        <v>1590</v>
      </c>
      <c r="F52" s="2913">
        <f ca="1">INDIRECT("'数据-取费表'!y"&amp;$G$1)</f>
        <v>0.85</v>
      </c>
      <c r="K52" s="2748"/>
    </row>
    <row r="53" s="883" customFormat="1" ht="18" customHeight="1" spans="1:18">
      <c r="A53" s="3023" t="s">
        <v>1591</v>
      </c>
      <c r="B53" s="3024" t="s">
        <v>1592</v>
      </c>
      <c r="C53" s="3008">
        <f ca="1">C51-C52</f>
        <v>14345</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-56987</v>
      </c>
      <c r="D55" s="2755" t="str">
        <f>C2</f>
        <v>万元</v>
      </c>
      <c r="E55" s="2746"/>
      <c r="F55" s="2746"/>
      <c r="I55" s="2756" t="s">
        <v>1596</v>
      </c>
      <c r="J55" s="2757"/>
      <c r="K55" s="2758"/>
      <c r="L55" s="3030">
        <f ca="1">IF(M56="住宅",0,IF(L57&gt;J60,L69,J69))</f>
        <v>517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56105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517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16876</v>
      </c>
      <c r="R58" s="2774" t="s">
        <v>1618</v>
      </c>
    </row>
    <row r="59" s="883" customFormat="1" ht="13.5" spans="1:18">
      <c r="A59" s="3057" t="s">
        <v>1186</v>
      </c>
      <c r="B59" s="3279" t="s">
        <v>1476</v>
      </c>
      <c r="C59" s="3257">
        <f ca="1">ROUND(F58*F60*F59/10000,2)</f>
        <v>0</v>
      </c>
      <c r="D59" s="2906" t="s">
        <v>1477</v>
      </c>
      <c r="E59" s="2797" t="s">
        <v>1478</v>
      </c>
      <c r="F59" s="3058">
        <f ca="1">F7</f>
        <v>24612.27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47871</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61718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56105</v>
      </c>
      <c r="R65" s="3043" t="s">
        <v>1604</v>
      </c>
    </row>
    <row r="66" s="883" customFormat="1" ht="24.75" spans="1:18">
      <c r="A66" s="1282" t="s">
        <v>1157</v>
      </c>
      <c r="B66" s="1306" t="s">
        <v>1492</v>
      </c>
      <c r="C66" s="3255">
        <f ca="1">ROUND(IF(AND(项目基本情况!B11="自然人",项目基本情况!B10="北京市",M56="住宅"),C58*F66,C67+C71+C72),2)</f>
        <v>9.05</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-0.47</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6750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3.9</v>
      </c>
      <c r="D69" s="2938" t="s">
        <v>1501</v>
      </c>
      <c r="E69" s="2941"/>
      <c r="F69" s="2937">
        <f t="shared" ref="F69:F70" si="0">F17</f>
        <v>0.06</v>
      </c>
      <c r="I69" s="2843" t="s">
        <v>1653</v>
      </c>
      <c r="J69" s="3081">
        <f ca="1">IF(OR(M56="住宅",J60&lt;L57,J65="是"),"0",ROUND(J68/(1+J61)^J62,0))</f>
        <v>517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-0.47</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61154</v>
      </c>
      <c r="R71" s="3043" t="s">
        <v>1636</v>
      </c>
    </row>
    <row r="72" s="883" customFormat="1" ht="13.5" spans="1:18">
      <c r="A72" s="2903" t="s">
        <v>1193</v>
      </c>
      <c r="B72" s="3292" t="s">
        <v>1510</v>
      </c>
      <c r="C72" s="3257">
        <f ca="1">IF(项目基本情况!B11="自然人","——",ROUND(F72*F73/10000,2))</f>
        <v>9.52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7936.47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33.75</v>
      </c>
      <c r="D74" s="3087" t="s">
        <v>1515</v>
      </c>
      <c r="E74" s="3294" t="s">
        <v>1670</v>
      </c>
      <c r="F74" s="3063">
        <f ca="1">C51</f>
        <v>16876</v>
      </c>
      <c r="I74" s="2848" t="s">
        <v>1671</v>
      </c>
      <c r="J74" s="3085">
        <v>40</v>
      </c>
      <c r="K74" s="3085">
        <v>30</v>
      </c>
      <c r="L74" s="3085">
        <v>50</v>
      </c>
      <c r="M74" s="2852">
        <v>0.02</v>
      </c>
      <c r="O74" s="3040" t="s">
        <v>1602</v>
      </c>
      <c r="P74" s="3048" t="s">
        <v>1603</v>
      </c>
      <c r="Q74" s="3088">
        <f ca="1">C28+J31</f>
        <v>56105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14.35</v>
      </c>
      <c r="D76" s="3087" t="s">
        <v>1518</v>
      </c>
      <c r="E76" s="3294" t="s">
        <v>1592</v>
      </c>
      <c r="F76" s="3092">
        <f ca="1">C53</f>
        <v>14345</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47871</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2635</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2812</v>
      </c>
      <c r="R80" s="2774" t="s">
        <v>1618</v>
      </c>
    </row>
    <row r="81" s="883" customFormat="1" ht="13.5" spans="1:18">
      <c r="A81" s="3098"/>
      <c r="B81" s="2861"/>
      <c r="C81" s="2892"/>
      <c r="D81" s="3099" t="s">
        <v>1531</v>
      </c>
      <c r="E81" s="2827" t="s">
        <v>1532</v>
      </c>
      <c r="F81" s="2969">
        <f ca="1">F29</f>
        <v>35.52</v>
      </c>
      <c r="O81" s="2793" t="s">
        <v>1677</v>
      </c>
      <c r="P81" s="2859" t="s">
        <v>1678</v>
      </c>
      <c r="Q81" s="3093">
        <f ca="1">C52</f>
        <v>2531</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-390</v>
      </c>
      <c r="D84" s="3106" t="s">
        <v>1541</v>
      </c>
      <c r="E84" s="2866" t="s">
        <v>1542</v>
      </c>
      <c r="F84" s="2982">
        <f ca="1">F32</f>
        <v>24612.27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61154</v>
      </c>
      <c r="R86" s="3043" t="s">
        <v>1636</v>
      </c>
    </row>
    <row r="87" spans="1:18">
      <c r="A87" s="883"/>
      <c r="B87" s="2870" t="s">
        <v>1684</v>
      </c>
      <c r="C87" s="1807">
        <f ca="1">ROUND(C53*C88,0)</f>
        <v>1004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0.747</v>
      </c>
    </row>
    <row r="95" spans="1:18">
      <c r="B95" s="495" t="s">
        <v>1692</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7004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9979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416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415.03</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461.15</v>
      </c>
      <c r="D7" s="2906" t="s">
        <v>1477</v>
      </c>
      <c r="E7" s="2650" t="s">
        <v>1478</v>
      </c>
      <c r="F7" s="2907">
        <f ca="1">IF(INDIRECT("'数据-取费表'!ah"&amp;$G$1)="",INDIRECT("'数据-取费表'!k"&amp;$G$1),INDIRECT("'数据-取费表'!ah"&amp;$G$1))</f>
        <v>7019.07</v>
      </c>
      <c r="G7" s="883"/>
      <c r="H7" s="2903" t="s">
        <v>1186</v>
      </c>
      <c r="I7" s="2904" t="s">
        <v>1476</v>
      </c>
      <c r="J7" s="3256">
        <f ca="1">ROUND(M6*M8*M7/10000,2)</f>
        <v>0</v>
      </c>
      <c r="K7" s="2906" t="s">
        <v>1477</v>
      </c>
      <c r="L7" s="1301" t="s">
        <v>1478</v>
      </c>
      <c r="M7" s="2907">
        <f ca="1">F7</f>
        <v>7019.07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46.12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0.52</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72</v>
      </c>
      <c r="D13" s="3259" t="s">
        <v>1490</v>
      </c>
      <c r="E13" s="2926"/>
      <c r="F13" s="2895"/>
      <c r="G13" s="2878"/>
      <c r="H13" s="2675" t="s">
        <v>1488</v>
      </c>
      <c r="I13" s="2676" t="s">
        <v>1489</v>
      </c>
      <c r="J13" s="2924">
        <f ca="1">ROUND(J14+J22+J24+J26,0)</f>
        <v>50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56.86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41.28</v>
      </c>
      <c r="K14" s="2931" t="s">
        <v>1494</v>
      </c>
      <c r="L14" s="2685" t="str">
        <f>E14</f>
        <v/>
      </c>
      <c r="M14" s="2930" t="str">
        <f ca="1">IF(M56="非住宅","",IF(M6*M7*M8/12/(1+'数据-取费表'!F30)&gt;100000,4%,2.5%))</f>
        <v/>
      </c>
    </row>
    <row r="15" s="2604" customFormat="1" ht="18" customHeight="1" spans="1:37">
      <c r="A15" s="1315" t="s">
        <v>1186</v>
      </c>
      <c r="B15" s="2900" t="s">
        <v>1495</v>
      </c>
      <c r="C15" s="3255">
        <f ca="1">C18</f>
        <v>4.34</v>
      </c>
      <c r="D15" s="1104" t="s">
        <v>1496</v>
      </c>
      <c r="E15" s="2932"/>
      <c r="F15" s="2933"/>
      <c r="G15" s="2691"/>
      <c r="H15" s="1315" t="s">
        <v>1186</v>
      </c>
      <c r="I15" s="2900" t="s">
        <v>1495</v>
      </c>
      <c r="J15" s="3255">
        <f ca="1">J18</f>
        <v>-0.1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1.19</v>
      </c>
      <c r="D17" s="2938" t="s">
        <v>1501</v>
      </c>
      <c r="E17" s="2941"/>
      <c r="F17" s="2937">
        <v>0.06</v>
      </c>
      <c r="G17" s="2691"/>
      <c r="H17" s="662" t="s">
        <v>1500</v>
      </c>
      <c r="I17" s="2935" t="s">
        <v>1126</v>
      </c>
      <c r="J17" s="3262">
        <f ca="1">ROUND(J22*M16+((J24+J26)*M17),2)</f>
        <v>0.83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4.34</v>
      </c>
      <c r="D18" s="2931" t="s">
        <v>1504</v>
      </c>
      <c r="E18" s="1301" t="s">
        <v>1505</v>
      </c>
      <c r="F18" s="2937">
        <f>'数据-取费表'!B44</f>
        <v>0.12</v>
      </c>
      <c r="G18" s="2691"/>
      <c r="H18" s="662" t="s">
        <v>1502</v>
      </c>
      <c r="I18" s="2935" t="s">
        <v>1506</v>
      </c>
      <c r="J18" s="3262">
        <f ca="1">ROUND((J16-J17)*M18,2)</f>
        <v>-0.1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38.66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2.72</v>
      </c>
      <c r="D20" s="2705" t="s">
        <v>1511</v>
      </c>
      <c r="E20" s="1301" t="s">
        <v>1512</v>
      </c>
      <c r="F20" s="3017">
        <f>'数据-取费表'!B53</f>
        <v>12</v>
      </c>
      <c r="G20" s="883"/>
      <c r="H20" s="2903" t="s">
        <v>1193</v>
      </c>
      <c r="I20" s="2645" t="s">
        <v>1510</v>
      </c>
      <c r="J20" s="3257">
        <f ca="1">ROUND(M20*M21/10000,2)</f>
        <v>2.72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2263.37</v>
      </c>
      <c r="G21" s="2691"/>
      <c r="H21" s="2707"/>
      <c r="I21" s="2708"/>
      <c r="J21" s="3263"/>
      <c r="K21" s="2710"/>
      <c r="L21" s="1301" t="s">
        <v>1513</v>
      </c>
      <c r="M21" s="2907">
        <f ca="1">INDIRECT("'数据-取费表'!r"&amp;$G$1)</f>
        <v>2263.37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9.2</v>
      </c>
      <c r="D22" s="2951" t="s">
        <v>1515</v>
      </c>
      <c r="E22" s="1301" t="s">
        <v>1509</v>
      </c>
      <c r="F22" s="2913">
        <f ca="1">INDIRECT("'数据-取费表'!Ak"&amp;$G$1)</f>
        <v>0.002</v>
      </c>
      <c r="G22" s="2691"/>
      <c r="H22" s="2949" t="s">
        <v>1162</v>
      </c>
      <c r="I22" s="2642" t="s">
        <v>1514</v>
      </c>
      <c r="J22" s="3264">
        <f ca="1">ROUND(J35*M22,2)</f>
        <v>9.2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4602</v>
      </c>
      <c r="G23" s="2691"/>
      <c r="H23" s="2707"/>
      <c r="I23" s="2708"/>
      <c r="J23" s="3265"/>
      <c r="K23" s="2954"/>
      <c r="L23" s="2900" t="s">
        <v>1516</v>
      </c>
      <c r="M23" s="2911">
        <f ca="1">J35</f>
        <v>4602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3.91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3912</v>
      </c>
      <c r="G25" s="883"/>
      <c r="H25" s="2707"/>
      <c r="I25" s="2708"/>
      <c r="J25" s="3265"/>
      <c r="K25" s="2954"/>
      <c r="L25" s="2944" t="s">
        <v>1520</v>
      </c>
      <c r="M25" s="2911">
        <f ca="1">J37</f>
        <v>0</v>
      </c>
    </row>
    <row r="26" s="2604" customFormat="1" ht="18" customHeight="1" spans="1:37">
      <c r="A26" s="2692" t="s">
        <v>1218</v>
      </c>
      <c r="B26" s="2671" t="s">
        <v>1521</v>
      </c>
      <c r="C26" s="3266">
        <f ca="1">ROUND(C5*F26,2)</f>
        <v>2.08</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344</v>
      </c>
      <c r="D27" s="3267" t="s">
        <v>1525</v>
      </c>
      <c r="E27" s="2957"/>
      <c r="F27" s="2958"/>
      <c r="G27" s="2959"/>
      <c r="H27" s="2675" t="s">
        <v>1523</v>
      </c>
      <c r="I27" s="2716" t="s">
        <v>1524</v>
      </c>
      <c r="J27" s="2924">
        <f ca="1">J5-J13</f>
        <v>-50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6863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7481</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7019.07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10658</v>
      </c>
      <c r="D32" s="2981" t="s">
        <v>1541</v>
      </c>
      <c r="E32" s="2725" t="s">
        <v>1542</v>
      </c>
      <c r="F32" s="2982">
        <f ca="1">INDIRECT("'数据-取费表'!k"&amp;$G$1)</f>
        <v>7019.07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0.173076923076923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3816</v>
      </c>
      <c r="D35" s="3269" t="s">
        <v>1546</v>
      </c>
      <c r="E35" s="633"/>
      <c r="F35" s="634"/>
      <c r="G35" s="883"/>
      <c r="H35" s="3272" t="s">
        <v>1544</v>
      </c>
      <c r="I35" s="3273" t="s">
        <v>1547</v>
      </c>
      <c r="J35" s="1287">
        <f ca="1">C51</f>
        <v>4602</v>
      </c>
      <c r="K35" s="3021" t="s">
        <v>1266</v>
      </c>
      <c r="L35" s="1280"/>
      <c r="M35" s="1281"/>
    </row>
    <row r="36" ht="18" customHeight="1" spans="1:37">
      <c r="A36" s="1315" t="s">
        <v>1186</v>
      </c>
      <c r="B36" s="2318" t="s">
        <v>1548</v>
      </c>
      <c r="C36" s="1103">
        <f ca="1">INDIRECT("'数据-取费表'!m"&amp;$G$1)+INDIRECT("'数据-取费表'!t"&amp;$G$1)</f>
        <v>3369</v>
      </c>
      <c r="D36" s="2321" t="s">
        <v>1549</v>
      </c>
      <c r="E36" s="2321"/>
      <c r="F36" s="2722"/>
      <c r="G36" s="883"/>
      <c r="H36" s="3004" t="s">
        <v>1162</v>
      </c>
      <c r="I36" s="3005" t="s">
        <v>1550</v>
      </c>
      <c r="J36" s="803">
        <f ca="1">ROUND(J35*(1-M36),0)</f>
        <v>4602</v>
      </c>
      <c r="K36" s="1301" t="s">
        <v>1551</v>
      </c>
      <c r="L36" s="1279" t="s">
        <v>1552</v>
      </c>
      <c r="M36" s="2913">
        <f ca="1">INDIRECT("'数据-取费表'!ad"&amp;$G$1)</f>
        <v>0</v>
      </c>
    </row>
    <row r="37" ht="18" customHeight="1" spans="1:37">
      <c r="A37" s="1315" t="s">
        <v>1190</v>
      </c>
      <c r="B37" s="2935" t="s">
        <v>760</v>
      </c>
      <c r="C37" s="1287">
        <f ca="1">ROUND(C36*F37,0)</f>
        <v>202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211</v>
      </c>
      <c r="D39" s="1301" t="s">
        <v>1560</v>
      </c>
      <c r="E39" s="1301" t="s">
        <v>1561</v>
      </c>
      <c r="F39" s="3017">
        <f>'数据-取费表'!B35</f>
        <v>300</v>
      </c>
      <c r="G39" s="883"/>
    </row>
    <row r="40" ht="18" customHeight="1" spans="1:37">
      <c r="A40" s="1315" t="s">
        <v>1562</v>
      </c>
      <c r="B40" s="2935" t="s">
        <v>766</v>
      </c>
      <c r="C40" s="1287">
        <f ca="1">ROUND(C36*F40,0)</f>
        <v>34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123+0.0009V建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123</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393+0.003V建</v>
      </c>
      <c r="D47" s="1295" t="s">
        <v>1577</v>
      </c>
      <c r="E47" s="2314"/>
      <c r="F47" s="3017"/>
      <c r="G47" s="883"/>
      <c r="H47" s="713"/>
      <c r="I47" s="713"/>
      <c r="J47" s="713"/>
      <c r="K47" s="1337"/>
      <c r="L47" s="713"/>
      <c r="M47" s="713"/>
    </row>
    <row r="48" ht="18" customHeight="1" spans="1:37">
      <c r="A48" s="1315" t="s">
        <v>1186</v>
      </c>
      <c r="B48" s="1301" t="s">
        <v>1578</v>
      </c>
      <c r="C48" s="1287">
        <f ca="1">ROUND((C35+C42)*F48,0)</f>
        <v>393</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4602</v>
      </c>
      <c r="D51" s="3021" t="s">
        <v>1266</v>
      </c>
      <c r="E51" s="2964"/>
      <c r="F51" s="2913"/>
      <c r="K51" s="2748"/>
    </row>
    <row r="52" s="883" customFormat="1" ht="18" customHeight="1" spans="1:18">
      <c r="A52" s="3022" t="s">
        <v>1588</v>
      </c>
      <c r="B52" s="3013" t="s">
        <v>1550</v>
      </c>
      <c r="C52" s="2905">
        <f ca="1">ROUND(C51*(1-F52),0)</f>
        <v>690</v>
      </c>
      <c r="D52" s="2964" t="s">
        <v>1589</v>
      </c>
      <c r="E52" s="2964" t="s">
        <v>1590</v>
      </c>
      <c r="F52" s="2913">
        <f ca="1">INDIRECT("'数据-取费表'!y"&amp;$G$1)</f>
        <v>0.85</v>
      </c>
      <c r="K52" s="2748"/>
    </row>
    <row r="53" s="883" customFormat="1" ht="18" customHeight="1" spans="1:18">
      <c r="A53" s="3023" t="s">
        <v>1591</v>
      </c>
      <c r="B53" s="3024" t="s">
        <v>1592</v>
      </c>
      <c r="C53" s="3008">
        <f ca="1">C51-C52</f>
        <v>3912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-7110</v>
      </c>
      <c r="D55" s="2755" t="str">
        <f>C2</f>
        <v>万元</v>
      </c>
      <c r="E55" s="2746"/>
      <c r="F55" s="2746"/>
      <c r="I55" s="2756" t="s">
        <v>1596</v>
      </c>
      <c r="J55" s="2757"/>
      <c r="K55" s="2758"/>
      <c r="L55" s="3030">
        <f ca="1">IF(M56="住宅",0,IF(L57&gt;J60,L69,J69))</f>
        <v>141</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6863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141</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4602</v>
      </c>
      <c r="R58" s="2774" t="s">
        <v>1618</v>
      </c>
    </row>
    <row r="59" s="883" customFormat="1" ht="13.5" spans="1:18">
      <c r="A59" s="3057" t="s">
        <v>1186</v>
      </c>
      <c r="B59" s="3279" t="s">
        <v>1476</v>
      </c>
      <c r="C59" s="3257">
        <f ca="1">ROUND(F58*F60*F59/10000,2)</f>
        <v>0</v>
      </c>
      <c r="D59" s="2906" t="s">
        <v>1477</v>
      </c>
      <c r="E59" s="2797" t="s">
        <v>1478</v>
      </c>
      <c r="F59" s="3058">
        <f ca="1">F7</f>
        <v>7019.07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5372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7634</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16</v>
      </c>
      <c r="D65" s="2827" t="s">
        <v>1640</v>
      </c>
      <c r="E65" s="2839"/>
      <c r="F65" s="2778"/>
      <c r="I65" s="2829" t="s">
        <v>1641</v>
      </c>
      <c r="J65" s="3290" t="s">
        <v>1642</v>
      </c>
      <c r="K65" s="2780" t="s">
        <v>1643</v>
      </c>
      <c r="L65" s="3047" t="str">
        <f ca="1">IF(L57&lt;J60,"——",L57-J62)</f>
        <v>——</v>
      </c>
      <c r="O65" s="3040" t="s">
        <v>1602</v>
      </c>
      <c r="P65" s="3048" t="s">
        <v>1603</v>
      </c>
      <c r="Q65" s="3088">
        <f ca="1">C28+J31</f>
        <v>6863</v>
      </c>
      <c r="R65" s="3043" t="s">
        <v>1604</v>
      </c>
    </row>
    <row r="66" s="883" customFormat="1" ht="24.75" spans="1:18">
      <c r="A66" s="1282" t="s">
        <v>1157</v>
      </c>
      <c r="B66" s="1306" t="s">
        <v>1492</v>
      </c>
      <c r="C66" s="3255">
        <f ca="1">ROUND(IF(AND(项目基本情况!B11="自然人",项目基本情况!B10="北京市",M56="住宅"),C58*F66,C67+C71+C72),2)</f>
        <v>2.59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1841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1.06</v>
      </c>
      <c r="D69" s="2938" t="s">
        <v>1501</v>
      </c>
      <c r="E69" s="2941"/>
      <c r="F69" s="2937">
        <f t="shared" si="0"/>
        <v>0.06</v>
      </c>
      <c r="I69" s="2843" t="s">
        <v>1653</v>
      </c>
      <c r="J69" s="3081">
        <f ca="1">IF(OR(M56="住宅",J60&lt;L57,J65="是"),"0",ROUND(J68/(1+J61)^J62,0))</f>
        <v>141</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7481</v>
      </c>
      <c r="R71" s="3043" t="s">
        <v>1636</v>
      </c>
    </row>
    <row r="72" s="883" customFormat="1" ht="13.5" spans="1:18">
      <c r="A72" s="2903" t="s">
        <v>1193</v>
      </c>
      <c r="B72" s="3292" t="s">
        <v>1510</v>
      </c>
      <c r="C72" s="3257">
        <f ca="1">IF(项目基本情况!B11="自然人","——",ROUND(F72*F73/10000,2))</f>
        <v>2.72</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2263.37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9.2</v>
      </c>
      <c r="D74" s="3087" t="s">
        <v>1515</v>
      </c>
      <c r="E74" s="3294" t="s">
        <v>1670</v>
      </c>
      <c r="F74" s="3063">
        <f ca="1">C51</f>
        <v>4602</v>
      </c>
      <c r="I74" s="2848" t="s">
        <v>1671</v>
      </c>
      <c r="J74" s="3085">
        <v>40</v>
      </c>
      <c r="K74" s="3085">
        <v>30</v>
      </c>
      <c r="L74" s="3085">
        <v>50</v>
      </c>
      <c r="M74" s="2852">
        <v>0.02</v>
      </c>
      <c r="O74" s="3040" t="s">
        <v>1602</v>
      </c>
      <c r="P74" s="3048" t="s">
        <v>1603</v>
      </c>
      <c r="Q74" s="3088">
        <f ca="1">C28+J31</f>
        <v>6863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3.91</v>
      </c>
      <c r="D76" s="3087" t="s">
        <v>1518</v>
      </c>
      <c r="E76" s="3294" t="s">
        <v>1592</v>
      </c>
      <c r="F76" s="3092">
        <f ca="1">C53</f>
        <v>3912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5372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-16</v>
      </c>
      <c r="D79" s="2853" t="s">
        <v>1525</v>
      </c>
      <c r="E79" s="3094"/>
      <c r="F79" s="3095"/>
      <c r="O79" s="2793" t="s">
        <v>1621</v>
      </c>
      <c r="P79" s="2859" t="s">
        <v>1673</v>
      </c>
      <c r="Q79" s="3093">
        <f ca="1">ROUND(Q80-Q81*Q82,0)</f>
        <v>296</v>
      </c>
      <c r="R79" s="2774" t="s">
        <v>1674</v>
      </c>
    </row>
    <row r="80" s="883" customFormat="1" ht="13.5" spans="1:18">
      <c r="A80" s="3096" t="s">
        <v>1526</v>
      </c>
      <c r="B80" s="2858" t="s">
        <v>1527</v>
      </c>
      <c r="C80" s="2915">
        <f ca="1">ROUND(C79*(1-((1+F82)/(1+F80))^F81)/(F80-F82),0)</f>
        <v>-247</v>
      </c>
      <c r="D80" s="3097" t="s">
        <v>1528</v>
      </c>
      <c r="E80" s="2827" t="s">
        <v>1529</v>
      </c>
      <c r="F80" s="2913">
        <f ca="1" t="shared" si="1"/>
        <v>0.055</v>
      </c>
      <c r="O80" s="2793" t="s">
        <v>1675</v>
      </c>
      <c r="P80" s="2859" t="s">
        <v>1676</v>
      </c>
      <c r="Q80" s="3093">
        <f ca="1">C27</f>
        <v>344</v>
      </c>
      <c r="R80" s="2774" t="s">
        <v>1618</v>
      </c>
    </row>
    <row r="81" s="883" customFormat="1" ht="13.5" spans="1:18">
      <c r="A81" s="3098"/>
      <c r="B81" s="2861"/>
      <c r="C81" s="2892"/>
      <c r="D81" s="3099" t="s">
        <v>1531</v>
      </c>
      <c r="E81" s="2827" t="s">
        <v>1532</v>
      </c>
      <c r="F81" s="2969">
        <f ca="1" t="shared" si="1"/>
        <v>35.52</v>
      </c>
      <c r="O81" s="2793" t="s">
        <v>1677</v>
      </c>
      <c r="P81" s="2859" t="s">
        <v>1678</v>
      </c>
      <c r="Q81" s="3093">
        <f ca="1">C52</f>
        <v>690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-383</v>
      </c>
      <c r="D84" s="3106" t="s">
        <v>1541</v>
      </c>
      <c r="E84" s="2866" t="s">
        <v>1542</v>
      </c>
      <c r="F84" s="2982">
        <f ca="1">F32</f>
        <v>7019.07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7481</v>
      </c>
      <c r="R86" s="3043" t="s">
        <v>1636</v>
      </c>
    </row>
    <row r="87" spans="1:18">
      <c r="A87" s="883"/>
      <c r="B87" s="2870" t="s">
        <v>1684</v>
      </c>
      <c r="C87" s="1807">
        <f ca="1">ROUND(C53*C88,0)</f>
        <v>274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0.203</v>
      </c>
    </row>
    <row r="92" spans="1:18">
      <c r="B92" s="2870" t="s">
        <v>1689</v>
      </c>
      <c r="C92" s="3108">
        <f ca="1">ROUND(C87/C27,3)</f>
        <v>0.797</v>
      </c>
    </row>
    <row r="93" spans="1:18">
      <c r="B93" s="493" t="s">
        <v>1690</v>
      </c>
      <c r="C93" s="460"/>
    </row>
    <row r="94" spans="1:18">
      <c r="B94" s="495" t="s">
        <v>1691</v>
      </c>
      <c r="C94" s="3109">
        <f ca="1">1-C95</f>
        <v>0.441</v>
      </c>
    </row>
    <row r="95" spans="1:18">
      <c r="B95" s="495" t="s">
        <v>1692</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689</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4640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41.46</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48.78</v>
      </c>
      <c r="D7" s="2906" t="s">
        <v>1477</v>
      </c>
      <c r="E7" s="2650" t="s">
        <v>1478</v>
      </c>
      <c r="F7" s="2907">
        <f ca="1">IF(INDIRECT("'数据-取费表'!ah"&amp;$G$1)="",INDIRECT("'数据-取费表'!k"&amp;$G$1),INDIRECT("'数据-取费表'!ah"&amp;$G$1))</f>
        <v>1484.99</v>
      </c>
      <c r="G7" s="883"/>
      <c r="H7" s="2903" t="s">
        <v>1186</v>
      </c>
      <c r="I7" s="2904" t="s">
        <v>1476</v>
      </c>
      <c r="J7" s="3256">
        <f ca="1">ROUND(M6*M8*M7/10000,2)</f>
        <v>0</v>
      </c>
      <c r="K7" s="2906" t="s">
        <v>1477</v>
      </c>
      <c r="L7" s="1301" t="s">
        <v>1478</v>
      </c>
      <c r="M7" s="2907">
        <f ca="1">F7</f>
        <v>1484.99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7.32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0.05</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9</v>
      </c>
      <c r="D13" s="3259" t="s">
        <v>1490</v>
      </c>
      <c r="E13" s="2926"/>
      <c r="F13" s="2895"/>
      <c r="G13" s="2878"/>
      <c r="H13" s="2675" t="s">
        <v>1488</v>
      </c>
      <c r="I13" s="2676" t="s">
        <v>1489</v>
      </c>
      <c r="J13" s="2924">
        <f ca="1">ROUND(J14+J22+J24+J26,0)</f>
        <v>10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5.97</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8.36</v>
      </c>
      <c r="K14" s="2931" t="s">
        <v>1494</v>
      </c>
      <c r="L14" s="2685" t="str">
        <f>E14</f>
        <v/>
      </c>
      <c r="M14" s="2930" t="str">
        <f ca="1">IF(M56="非住宅","",IF(M6*M7*M8/12/(1+'数据-取费表'!F30)&gt;100000,4%,2.5%))</f>
        <v/>
      </c>
    </row>
    <row r="15" s="2604" customFormat="1" ht="18" customHeight="1" spans="1:37">
      <c r="A15" s="1315" t="s">
        <v>1186</v>
      </c>
      <c r="B15" s="2900" t="s">
        <v>1495</v>
      </c>
      <c r="C15" s="3255">
        <f ca="1">C18</f>
        <v>0.42</v>
      </c>
      <c r="D15" s="1104" t="s">
        <v>1496</v>
      </c>
      <c r="E15" s="2932"/>
      <c r="F15" s="2933"/>
      <c r="G15" s="2691"/>
      <c r="H15" s="1315" t="s">
        <v>1186</v>
      </c>
      <c r="I15" s="2900" t="s">
        <v>1495</v>
      </c>
      <c r="J15" s="3255">
        <f ca="1">J18</f>
        <v>-0.02</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0.23</v>
      </c>
      <c r="D17" s="2938" t="s">
        <v>1501</v>
      </c>
      <c r="E17" s="2941"/>
      <c r="F17" s="2937">
        <v>0.06</v>
      </c>
      <c r="G17" s="2691"/>
      <c r="H17" s="662" t="s">
        <v>1500</v>
      </c>
      <c r="I17" s="2935" t="s">
        <v>1126</v>
      </c>
      <c r="J17" s="3262">
        <f ca="1">ROUND(J22*M16+((J24+J26)*M17),2)</f>
        <v>0.17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0.42</v>
      </c>
      <c r="D18" s="2931" t="s">
        <v>1504</v>
      </c>
      <c r="E18" s="1301" t="s">
        <v>1505</v>
      </c>
      <c r="F18" s="2937">
        <f>'数据-取费表'!B44</f>
        <v>0.12</v>
      </c>
      <c r="G18" s="2691"/>
      <c r="H18" s="662" t="s">
        <v>1502</v>
      </c>
      <c r="I18" s="2935" t="s">
        <v>1506</v>
      </c>
      <c r="J18" s="3262">
        <f ca="1">ROUND((J16-J17)*M18,2)</f>
        <v>-0.02</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7.81</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0.57</v>
      </c>
      <c r="D20" s="2705" t="s">
        <v>1511</v>
      </c>
      <c r="E20" s="1301" t="s">
        <v>1512</v>
      </c>
      <c r="F20" s="3017">
        <f>'数据-取费表'!B53</f>
        <v>12</v>
      </c>
      <c r="G20" s="883"/>
      <c r="H20" s="2903" t="s">
        <v>1193</v>
      </c>
      <c r="I20" s="2645" t="s">
        <v>1510</v>
      </c>
      <c r="J20" s="3257">
        <f ca="1">ROUND(M20*M21/10000,2)</f>
        <v>0.57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478.85</v>
      </c>
      <c r="G21" s="2691"/>
      <c r="H21" s="2707"/>
      <c r="I21" s="2708"/>
      <c r="J21" s="3263"/>
      <c r="K21" s="2710"/>
      <c r="L21" s="1301" t="s">
        <v>1513</v>
      </c>
      <c r="M21" s="2907">
        <f ca="1">INDIRECT("'数据-取费表'!r"&amp;$G$1)</f>
        <v>478.85</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1.86</v>
      </c>
      <c r="D22" s="2951" t="s">
        <v>1515</v>
      </c>
      <c r="E22" s="1301" t="s">
        <v>1509</v>
      </c>
      <c r="F22" s="2913">
        <f ca="1">INDIRECT("'数据-取费表'!Ak"&amp;$G$1)</f>
        <v>0.002</v>
      </c>
      <c r="G22" s="2691"/>
      <c r="H22" s="2949" t="s">
        <v>1162</v>
      </c>
      <c r="I22" s="2642" t="s">
        <v>1514</v>
      </c>
      <c r="J22" s="3264">
        <f ca="1">ROUND(J35*M22,2)</f>
        <v>1.86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930</v>
      </c>
      <c r="G23" s="2691"/>
      <c r="H23" s="2707"/>
      <c r="I23" s="2708"/>
      <c r="J23" s="3265"/>
      <c r="K23" s="2954"/>
      <c r="L23" s="2900" t="s">
        <v>1516</v>
      </c>
      <c r="M23" s="2911">
        <f ca="1">J35</f>
        <v>930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0.79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790</v>
      </c>
      <c r="G25" s="883"/>
      <c r="H25" s="2707"/>
      <c r="I25" s="2708"/>
      <c r="J25" s="3265"/>
      <c r="K25" s="2954"/>
      <c r="L25" s="2944" t="s">
        <v>1520</v>
      </c>
      <c r="M25" s="2911">
        <f ca="1">J37</f>
        <v>0</v>
      </c>
    </row>
    <row r="26" s="2604" customFormat="1" ht="18" customHeight="1" spans="1:37">
      <c r="A26" s="2692" t="s">
        <v>1218</v>
      </c>
      <c r="B26" s="2671" t="s">
        <v>1521</v>
      </c>
      <c r="C26" s="3266">
        <f ca="1">ROUND(C5*F26,2)</f>
        <v>0.21</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33</v>
      </c>
      <c r="D27" s="3267" t="s">
        <v>1525</v>
      </c>
      <c r="E27" s="2957"/>
      <c r="F27" s="2958"/>
      <c r="G27" s="2959"/>
      <c r="H27" s="2675" t="s">
        <v>1523</v>
      </c>
      <c r="I27" s="2716" t="s">
        <v>1524</v>
      </c>
      <c r="J27" s="2924">
        <f ca="1">J5-J13</f>
        <v>-10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719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1484.99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4842</v>
      </c>
      <c r="D32" s="2981" t="s">
        <v>1541</v>
      </c>
      <c r="E32" s="2725" t="s">
        <v>1542</v>
      </c>
      <c r="F32" s="2982">
        <f ca="1">INDIRECT("'数据-取费表'!k"&amp;$G$1)</f>
        <v>1484.99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0.214285714285714</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808</v>
      </c>
      <c r="D35" s="3269" t="s">
        <v>1546</v>
      </c>
      <c r="E35" s="633"/>
      <c r="F35" s="634"/>
      <c r="G35" s="883"/>
      <c r="H35" s="3272" t="s">
        <v>1544</v>
      </c>
      <c r="I35" s="3273" t="s">
        <v>1547</v>
      </c>
      <c r="J35" s="1287">
        <f ca="1">C51</f>
        <v>930</v>
      </c>
      <c r="K35" s="3021" t="s">
        <v>1266</v>
      </c>
      <c r="L35" s="1280"/>
      <c r="M35" s="1281"/>
    </row>
    <row r="36" ht="18" customHeight="1" spans="1:37">
      <c r="A36" s="1315" t="s">
        <v>1186</v>
      </c>
      <c r="B36" s="2318" t="s">
        <v>1548</v>
      </c>
      <c r="C36" s="1103">
        <f ca="1">INDIRECT("'数据-取费表'!m"&amp;$G$1)+INDIRECT("'数据-取费表'!t"&amp;$G$1)</f>
        <v>713</v>
      </c>
      <c r="D36" s="2321" t="s">
        <v>1549</v>
      </c>
      <c r="E36" s="2321"/>
      <c r="F36" s="2722"/>
      <c r="G36" s="883"/>
      <c r="H36" s="3004" t="s">
        <v>1162</v>
      </c>
      <c r="I36" s="3005" t="s">
        <v>1550</v>
      </c>
      <c r="J36" s="803">
        <f ca="1">ROUND(J35*(1-M36),0)</f>
        <v>930</v>
      </c>
      <c r="K36" s="1301" t="s">
        <v>1551</v>
      </c>
      <c r="L36" s="1279" t="s">
        <v>1552</v>
      </c>
      <c r="M36" s="2913">
        <f ca="1">INDIRECT("'数据-取费表'!ad"&amp;$G$1)</f>
        <v>0</v>
      </c>
    </row>
    <row r="37" ht="18" customHeight="1" spans="1:37">
      <c r="A37" s="1315" t="s">
        <v>1190</v>
      </c>
      <c r="B37" s="2935" t="s">
        <v>760</v>
      </c>
      <c r="C37" s="1287">
        <f ca="1">ROUND(C36*F37,0)</f>
        <v>43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45</v>
      </c>
      <c r="D39" s="1301" t="s">
        <v>1560</v>
      </c>
      <c r="E39" s="1301" t="s">
        <v>1561</v>
      </c>
      <c r="F39" s="3017">
        <f>'数据-取费表'!B35</f>
        <v>300</v>
      </c>
      <c r="G39" s="883"/>
    </row>
    <row r="40" ht="18" customHeight="1" spans="1:37">
      <c r="A40" s="1315" t="s">
        <v>1562</v>
      </c>
      <c r="B40" s="2935" t="s">
        <v>766</v>
      </c>
      <c r="C40" s="1287">
        <f ca="1">ROUND(C36*F40,0)</f>
        <v>7</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24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42+0.0015V建</v>
      </c>
      <c r="D47" s="1295" t="s">
        <v>1577</v>
      </c>
      <c r="E47" s="2314"/>
      <c r="F47" s="3017"/>
      <c r="G47" s="883"/>
      <c r="H47" s="713"/>
      <c r="I47" s="713"/>
      <c r="J47" s="713"/>
      <c r="K47" s="1337"/>
      <c r="L47" s="713"/>
      <c r="M47" s="713"/>
    </row>
    <row r="48" ht="18" customHeight="1" spans="1:37">
      <c r="A48" s="1315" t="s">
        <v>1186</v>
      </c>
      <c r="B48" s="1301" t="s">
        <v>1578</v>
      </c>
      <c r="C48" s="1287">
        <f ca="1">ROUND((C35+C42)*F48,0)</f>
        <v>42</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930</v>
      </c>
      <c r="D51" s="3021" t="s">
        <v>1266</v>
      </c>
      <c r="E51" s="2964"/>
      <c r="F51" s="2913"/>
      <c r="K51" s="2748"/>
    </row>
    <row r="52" s="883" customFormat="1" ht="18" customHeight="1" spans="1:18">
      <c r="A52" s="3022" t="s">
        <v>1588</v>
      </c>
      <c r="B52" s="3013" t="s">
        <v>1550</v>
      </c>
      <c r="C52" s="2905">
        <f ca="1">ROUND(C51*(1-F52),0)</f>
        <v>140</v>
      </c>
      <c r="D52" s="2964" t="s">
        <v>1589</v>
      </c>
      <c r="E52" s="2964" t="s">
        <v>1590</v>
      </c>
      <c r="F52" s="2913">
        <f ca="1">INDIRECT("'数据-取费表'!y"&amp;$G$1)</f>
        <v>0.85</v>
      </c>
      <c r="K52" s="2748"/>
    </row>
    <row r="53" s="883" customFormat="1" ht="18" customHeight="1" spans="1:18">
      <c r="A53" s="3023" t="s">
        <v>1591</v>
      </c>
      <c r="B53" s="3024" t="s">
        <v>1592</v>
      </c>
      <c r="C53" s="3008">
        <f ca="1">C51-C52</f>
        <v>790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-709</v>
      </c>
      <c r="D55" s="2755" t="str">
        <f>C2</f>
        <v>万元</v>
      </c>
      <c r="E55" s="2746"/>
      <c r="F55" s="2746"/>
      <c r="I55" s="2756" t="s">
        <v>1596</v>
      </c>
      <c r="J55" s="2757"/>
      <c r="K55" s="2758"/>
      <c r="L55" s="3030">
        <f ca="1">IF(M56="住宅",0,IF(L57&gt;J60,L69,J69))</f>
        <v>29</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29</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930</v>
      </c>
      <c r="R58" s="2774" t="s">
        <v>1618</v>
      </c>
    </row>
    <row r="59" s="883" customFormat="1" ht="13.5" spans="1:18">
      <c r="A59" s="3057" t="s">
        <v>1186</v>
      </c>
      <c r="B59" s="3279" t="s">
        <v>1476</v>
      </c>
      <c r="C59" s="3257">
        <f ca="1">ROUND(F58*F60*F59/10000,2)</f>
        <v>0</v>
      </c>
      <c r="D59" s="2906" t="s">
        <v>1477</v>
      </c>
      <c r="E59" s="2797" t="s">
        <v>1478</v>
      </c>
      <c r="F59" s="3058">
        <f ca="1">F7</f>
        <v>1484.99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456</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751</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3</v>
      </c>
      <c r="D65" s="2827" t="s">
        <v>1640</v>
      </c>
      <c r="E65" s="2839"/>
      <c r="F65" s="2778"/>
      <c r="I65" s="2829" t="s">
        <v>1641</v>
      </c>
      <c r="J65" s="3290" t="s">
        <v>1642</v>
      </c>
      <c r="K65" s="2780" t="s">
        <v>1643</v>
      </c>
      <c r="L65" s="3047" t="str">
        <f ca="1">IF(L57&lt;J60,"——",L57-J62)</f>
        <v>——</v>
      </c>
      <c r="O65" s="3040" t="s">
        <v>1602</v>
      </c>
      <c r="P65" s="3048" t="s">
        <v>1603</v>
      </c>
      <c r="Q65" s="3088">
        <f ca="1">C28+J31</f>
        <v>660</v>
      </c>
      <c r="R65" s="3043" t="s">
        <v>1604</v>
      </c>
    </row>
    <row r="66" s="883" customFormat="1" ht="24.75" spans="1:18">
      <c r="A66" s="1282" t="s">
        <v>1157</v>
      </c>
      <c r="B66" s="1306" t="s">
        <v>1492</v>
      </c>
      <c r="C66" s="3255">
        <f ca="1">ROUND(IF(AND(项目基本情况!B11="自然人",项目基本情况!B10="北京市",M56="住宅"),C58*F66,C67+C71+C72),2)</f>
        <v>0.54</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372</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0.21</v>
      </c>
      <c r="D69" s="2938" t="s">
        <v>1501</v>
      </c>
      <c r="E69" s="2941"/>
      <c r="F69" s="2937">
        <f t="shared" si="0"/>
        <v>0.06</v>
      </c>
      <c r="I69" s="2843" t="s">
        <v>1653</v>
      </c>
      <c r="J69" s="3081">
        <f ca="1">IF(OR(M56="住宅",J60&lt;L57,J65="是"),"0",ROUND(J68/(1+J61)^J62,0))</f>
        <v>29</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719</v>
      </c>
      <c r="R71" s="3043" t="s">
        <v>1636</v>
      </c>
    </row>
    <row r="72" s="883" customFormat="1" ht="13.5" spans="1:18">
      <c r="A72" s="2903" t="s">
        <v>1193</v>
      </c>
      <c r="B72" s="3292" t="s">
        <v>1510</v>
      </c>
      <c r="C72" s="3257">
        <f ca="1">IF(项目基本情况!B11="自然人","——",ROUND(F72*F73/10000,2))</f>
        <v>0.57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478.85</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1.86</v>
      </c>
      <c r="D74" s="3087" t="s">
        <v>1515</v>
      </c>
      <c r="E74" s="3294" t="s">
        <v>1670</v>
      </c>
      <c r="F74" s="3063">
        <f ca="1">C51</f>
        <v>930</v>
      </c>
      <c r="I74" s="2848" t="s">
        <v>1671</v>
      </c>
      <c r="J74" s="3085">
        <v>40</v>
      </c>
      <c r="K74" s="3085">
        <v>30</v>
      </c>
      <c r="L74" s="3085">
        <v>50</v>
      </c>
      <c r="M74" s="2852">
        <v>0.02</v>
      </c>
      <c r="O74" s="3040" t="s">
        <v>1602</v>
      </c>
      <c r="P74" s="3048" t="s">
        <v>1603</v>
      </c>
      <c r="Q74" s="3088">
        <f ca="1">C28+J31</f>
        <v>660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0.79</v>
      </c>
      <c r="D76" s="3087" t="s">
        <v>1518</v>
      </c>
      <c r="E76" s="3294" t="s">
        <v>1592</v>
      </c>
      <c r="F76" s="3092">
        <f ca="1">C53</f>
        <v>790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456</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-3</v>
      </c>
      <c r="D79" s="2853" t="s">
        <v>1525</v>
      </c>
      <c r="E79" s="3094"/>
      <c r="F79" s="3095"/>
      <c r="O79" s="2793" t="s">
        <v>1621</v>
      </c>
      <c r="P79" s="2859" t="s">
        <v>1673</v>
      </c>
      <c r="Q79" s="3093">
        <f ca="1">ROUND(Q80-Q81*Q82,0)</f>
        <v>23</v>
      </c>
      <c r="R79" s="2774" t="s">
        <v>1674</v>
      </c>
    </row>
    <row r="80" s="883" customFormat="1" ht="13.5" spans="1:18">
      <c r="A80" s="3096" t="s">
        <v>1526</v>
      </c>
      <c r="B80" s="2858" t="s">
        <v>1527</v>
      </c>
      <c r="C80" s="2915">
        <f ca="1">ROUND(C79*(1-((1+F82)/(1+F80))^F81)/(F80-F82),0)</f>
        <v>-49</v>
      </c>
      <c r="D80" s="3097" t="s">
        <v>1528</v>
      </c>
      <c r="E80" s="2827" t="s">
        <v>1529</v>
      </c>
      <c r="F80" s="2913">
        <f ca="1" t="shared" si="1"/>
        <v>0.05</v>
      </c>
      <c r="O80" s="2793" t="s">
        <v>1675</v>
      </c>
      <c r="P80" s="2859" t="s">
        <v>1676</v>
      </c>
      <c r="Q80" s="3093">
        <f ca="1">C27</f>
        <v>33</v>
      </c>
      <c r="R80" s="2774" t="s">
        <v>1618</v>
      </c>
    </row>
    <row r="81" s="883" customFormat="1" ht="13.5" spans="1:18">
      <c r="A81" s="3098"/>
      <c r="B81" s="2861"/>
      <c r="C81" s="2892"/>
      <c r="D81" s="3099" t="s">
        <v>1531</v>
      </c>
      <c r="E81" s="2827" t="s">
        <v>1532</v>
      </c>
      <c r="F81" s="2969">
        <f ca="1" t="shared" si="1"/>
        <v>35.52</v>
      </c>
      <c r="O81" s="2793" t="s">
        <v>1677</v>
      </c>
      <c r="P81" s="2859" t="s">
        <v>1678</v>
      </c>
      <c r="Q81" s="3093">
        <f ca="1">C52</f>
        <v>140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-357</v>
      </c>
      <c r="D84" s="3106" t="s">
        <v>1541</v>
      </c>
      <c r="E84" s="2866" t="s">
        <v>1542</v>
      </c>
      <c r="F84" s="2982">
        <f ca="1">F32</f>
        <v>1484.99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719</v>
      </c>
      <c r="R86" s="3043" t="s">
        <v>1636</v>
      </c>
    </row>
    <row r="87" spans="1:18">
      <c r="A87" s="883"/>
      <c r="B87" s="2870" t="s">
        <v>1684</v>
      </c>
      <c r="C87" s="1807">
        <f ca="1">ROUND(C53*C88,0)</f>
        <v>55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-0.667</v>
      </c>
    </row>
    <row r="92" spans="1:18">
      <c r="B92" s="2870" t="s">
        <v>1689</v>
      </c>
      <c r="C92" s="3108">
        <f ca="1">ROUND(C87/C27,3)</f>
        <v>1.667</v>
      </c>
    </row>
    <row r="93" spans="1:18">
      <c r="B93" s="493" t="s">
        <v>1690</v>
      </c>
      <c r="C93" s="460"/>
    </row>
    <row r="94" spans="1:18">
      <c r="B94" s="495" t="s">
        <v>1691</v>
      </c>
      <c r="C94" s="3109">
        <f ca="1">1-C95</f>
        <v>-0.147</v>
      </c>
    </row>
    <row r="95" spans="1:18">
      <c r="B95" s="495" t="s">
        <v>1692</v>
      </c>
      <c r="C95" s="3108">
        <f ca="1">ROUND(C53/(C28+J31+L55),3)</f>
        <v>1.147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2330</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3432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144.45</v>
      </c>
      <c r="D6" s="1279" t="s">
        <v>1474</v>
      </c>
      <c r="E6" s="2900" t="s">
        <v>1475</v>
      </c>
      <c r="F6" s="2947">
        <f ca="1">INDIRECT("'数据-取费表'!u"&amp;$G$1)</f>
        <v>730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169.94</v>
      </c>
      <c r="D7" s="2906" t="s">
        <v>1477</v>
      </c>
      <c r="E7" s="2650" t="s">
        <v>1478</v>
      </c>
      <c r="F7" s="2907">
        <f ca="1">IF(INDIRECT("'数据-取费表'!ah"&amp;$G$1)="",INDIRECT("'数据-取费表'!k"&amp;$G$1),INDIRECT("'数据-取费表'!ah"&amp;$G$1))</f>
        <v>194</v>
      </c>
      <c r="G7" s="883"/>
      <c r="H7" s="2903" t="s">
        <v>1186</v>
      </c>
      <c r="I7" s="2904" t="s">
        <v>1476</v>
      </c>
      <c r="J7" s="3256">
        <f ca="1">ROUND(M6*M8*M7/10000,2)</f>
        <v>0</v>
      </c>
      <c r="K7" s="2906" t="s">
        <v>1477</v>
      </c>
      <c r="L7" s="1301" t="s">
        <v>1478</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25.49</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34</v>
      </c>
      <c r="D13" s="3259" t="s">
        <v>1490</v>
      </c>
      <c r="E13" s="2926"/>
      <c r="F13" s="2895"/>
      <c r="G13" s="2878"/>
      <c r="H13" s="2675" t="s">
        <v>1488</v>
      </c>
      <c r="I13" s="2676" t="s">
        <v>1489</v>
      </c>
      <c r="J13" s="2924">
        <f ca="1">ROUND(J14+J22+J24+J26,0)</f>
        <v>47</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21.4</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38.24</v>
      </c>
      <c r="K14" s="2931" t="s">
        <v>1494</v>
      </c>
      <c r="L14" s="2685" t="str">
        <f>E14</f>
        <v/>
      </c>
      <c r="M14" s="2930" t="str">
        <f ca="1">IF(M56="非住宅","",IF(M6*M7*M8/12/(1+'数据-取费表'!F30)&gt;100000,4%,2.5%))</f>
        <v/>
      </c>
    </row>
    <row r="15" s="2604" customFormat="1" ht="18" customHeight="1" spans="1:37">
      <c r="A15" s="1315" t="s">
        <v>1186</v>
      </c>
      <c r="B15" s="2900" t="s">
        <v>1495</v>
      </c>
      <c r="C15" s="3255">
        <f ca="1">C18</f>
        <v>1.44</v>
      </c>
      <c r="D15" s="1104" t="s">
        <v>1496</v>
      </c>
      <c r="E15" s="2932"/>
      <c r="F15" s="2933"/>
      <c r="G15" s="2691"/>
      <c r="H15" s="1315" t="s">
        <v>1186</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13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1.02</v>
      </c>
      <c r="D17" s="2938" t="s">
        <v>1501</v>
      </c>
      <c r="E17" s="2941"/>
      <c r="F17" s="2937">
        <v>0.06</v>
      </c>
      <c r="G17" s="2691"/>
      <c r="H17" s="662" t="s">
        <v>1500</v>
      </c>
      <c r="I17" s="2935" t="s">
        <v>1126</v>
      </c>
      <c r="J17" s="3262">
        <f ca="1">ROUND(J22*M16+((J24+J26)*M17),2)</f>
        <v>0.77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1.44</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17.33</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35.7</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2.63</v>
      </c>
      <c r="D20" s="2705" t="s">
        <v>1511</v>
      </c>
      <c r="E20" s="1301" t="s">
        <v>1512</v>
      </c>
      <c r="F20" s="3017">
        <f>'数据-取费表'!B53</f>
        <v>12</v>
      </c>
      <c r="G20" s="883"/>
      <c r="H20" s="2903" t="s">
        <v>1193</v>
      </c>
      <c r="I20" s="2645" t="s">
        <v>1510</v>
      </c>
      <c r="J20" s="3257">
        <f ca="1">ROUND(M20*M21/10000,2)</f>
        <v>2.63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2189.17</v>
      </c>
      <c r="G21" s="2691"/>
      <c r="H21" s="2707"/>
      <c r="I21" s="2708"/>
      <c r="J21" s="3263"/>
      <c r="K21" s="2710"/>
      <c r="L21" s="1301" t="s">
        <v>1513</v>
      </c>
      <c r="M21" s="2907">
        <f ca="1">INDIRECT("'数据-取费表'!r"&amp;$G$1)</f>
        <v>2189.17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8.5</v>
      </c>
      <c r="D22" s="2951" t="s">
        <v>1515</v>
      </c>
      <c r="E22" s="1301" t="s">
        <v>1509</v>
      </c>
      <c r="F22" s="2913">
        <f ca="1">INDIRECT("'数据-取费表'!Ak"&amp;$G$1)</f>
        <v>0.002</v>
      </c>
      <c r="G22" s="2691"/>
      <c r="H22" s="2949" t="s">
        <v>1162</v>
      </c>
      <c r="I22" s="2642" t="s">
        <v>1514</v>
      </c>
      <c r="J22" s="3264">
        <f ca="1">ROUND(J35*M22,2)</f>
        <v>8.5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4250</v>
      </c>
      <c r="G23" s="2691"/>
      <c r="H23" s="2707"/>
      <c r="I23" s="2708"/>
      <c r="J23" s="3265"/>
      <c r="K23" s="2954"/>
      <c r="L23" s="2900" t="s">
        <v>1516</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3.61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3612</v>
      </c>
      <c r="G25" s="883"/>
      <c r="H25" s="2707"/>
      <c r="I25" s="2708"/>
      <c r="J25" s="3265"/>
      <c r="K25" s="2954"/>
      <c r="L25" s="2944" t="s">
        <v>1520</v>
      </c>
      <c r="M25" s="2911">
        <f ca="1">J37</f>
        <v>0</v>
      </c>
    </row>
    <row r="26" s="2604" customFormat="1" ht="18" customHeight="1" spans="1:37">
      <c r="A26" s="2692" t="s">
        <v>1218</v>
      </c>
      <c r="B26" s="2671" t="s">
        <v>1521</v>
      </c>
      <c r="C26" s="3266">
        <f ca="1">ROUND(C5*F26,2)</f>
        <v>0.72</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110</v>
      </c>
      <c r="D27" s="3267" t="s">
        <v>1525</v>
      </c>
      <c r="E27" s="2957"/>
      <c r="F27" s="2958"/>
      <c r="G27" s="2959"/>
      <c r="H27" s="2675" t="s">
        <v>1523</v>
      </c>
      <c r="I27" s="2716" t="s">
        <v>1524</v>
      </c>
      <c r="J27" s="2924">
        <f ca="1">J5-J13</f>
        <v>-47</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2200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2398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3532</v>
      </c>
      <c r="D32" s="2981" t="s">
        <v>1541</v>
      </c>
      <c r="E32" s="2725" t="s">
        <v>1542</v>
      </c>
      <c r="F32" s="2982">
        <f ca="1">INDIRECT("'数据-取费表'!k"&amp;$G$1)</f>
        <v>6788.98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3692</v>
      </c>
      <c r="D35" s="3269" t="s">
        <v>1546</v>
      </c>
      <c r="E35" s="633"/>
      <c r="F35" s="634"/>
      <c r="G35" s="883"/>
      <c r="H35" s="3272" t="s">
        <v>1544</v>
      </c>
      <c r="I35" s="3273" t="s">
        <v>1547</v>
      </c>
      <c r="J35" s="1287">
        <f ca="1">C51</f>
        <v>4250</v>
      </c>
      <c r="K35" s="3021" t="s">
        <v>1266</v>
      </c>
      <c r="L35" s="1280"/>
      <c r="M35" s="1281"/>
    </row>
    <row r="36" ht="18" customHeight="1" spans="1:37">
      <c r="A36" s="1315" t="s">
        <v>1186</v>
      </c>
      <c r="B36" s="2318" t="s">
        <v>1548</v>
      </c>
      <c r="C36" s="1103">
        <f ca="1">INDIRECT("'数据-取费表'!m"&amp;$G$1)+INDIRECT("'数据-取费表'!t"&amp;$G$1)</f>
        <v>3259</v>
      </c>
      <c r="D36" s="2321" t="s">
        <v>1549</v>
      </c>
      <c r="E36" s="2321"/>
      <c r="F36" s="2722"/>
      <c r="G36" s="883"/>
      <c r="H36" s="3004" t="s">
        <v>1162</v>
      </c>
      <c r="I36" s="3005" t="s">
        <v>1550</v>
      </c>
      <c r="J36" s="803">
        <f ca="1">ROUND(J35*(1-M36),0)</f>
        <v>4250</v>
      </c>
      <c r="K36" s="1301" t="s">
        <v>1551</v>
      </c>
      <c r="L36" s="1279" t="s">
        <v>1552</v>
      </c>
      <c r="M36" s="2913">
        <f ca="1">INDIRECT("'数据-取费表'!ad"&amp;$G$1)</f>
        <v>0</v>
      </c>
    </row>
    <row r="37" ht="18" customHeight="1" spans="1:37">
      <c r="A37" s="1315" t="s">
        <v>1190</v>
      </c>
      <c r="B37" s="2935" t="s">
        <v>760</v>
      </c>
      <c r="C37" s="1287">
        <f ca="1">ROUND(C36*F37,0)</f>
        <v>196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204</v>
      </c>
      <c r="D39" s="1301" t="s">
        <v>1560</v>
      </c>
      <c r="E39" s="1301" t="s">
        <v>1561</v>
      </c>
      <c r="F39" s="3017">
        <f>'数据-取费表'!B35</f>
        <v>300</v>
      </c>
      <c r="G39" s="883"/>
    </row>
    <row r="40" ht="18" customHeight="1" spans="1:37">
      <c r="A40" s="1315" t="s">
        <v>1562</v>
      </c>
      <c r="B40" s="2935" t="s">
        <v>766</v>
      </c>
      <c r="C40" s="1287">
        <f ca="1">ROUND(C36*F40,0)</f>
        <v>33</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190+0.0015V建</v>
      </c>
      <c r="D47" s="1295" t="s">
        <v>1577</v>
      </c>
      <c r="E47" s="2314"/>
      <c r="F47" s="3017"/>
      <c r="G47" s="883"/>
      <c r="H47" s="713"/>
      <c r="I47" s="713"/>
      <c r="J47" s="713"/>
      <c r="K47" s="1337"/>
      <c r="L47" s="713"/>
      <c r="M47" s="713"/>
    </row>
    <row r="48" ht="18" customHeight="1" spans="1:37">
      <c r="A48" s="1315" t="s">
        <v>1186</v>
      </c>
      <c r="B48" s="1301" t="s">
        <v>1578</v>
      </c>
      <c r="C48" s="1287">
        <f ca="1">ROUND((C35+C42)*F48,0)</f>
        <v>190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4250</v>
      </c>
      <c r="D51" s="3021" t="s">
        <v>1266</v>
      </c>
      <c r="E51" s="2964"/>
      <c r="F51" s="2913"/>
      <c r="K51" s="2748"/>
    </row>
    <row r="52" s="883" customFormat="1" ht="18" customHeight="1" spans="1:18">
      <c r="A52" s="3022" t="s">
        <v>1588</v>
      </c>
      <c r="B52" s="3013" t="s">
        <v>1550</v>
      </c>
      <c r="C52" s="2905">
        <f ca="1">ROUND(C51*(1-F52),0)</f>
        <v>638</v>
      </c>
      <c r="D52" s="2964" t="s">
        <v>1589</v>
      </c>
      <c r="E52" s="2964" t="s">
        <v>1590</v>
      </c>
      <c r="F52" s="2913">
        <f ca="1">INDIRECT("'数据-取费表'!y"&amp;$G$1)</f>
        <v>0.85</v>
      </c>
      <c r="K52" s="2748"/>
    </row>
    <row r="53" s="883" customFormat="1" ht="18" customHeight="1" spans="1:18">
      <c r="A53" s="3023" t="s">
        <v>1591</v>
      </c>
      <c r="B53" s="3024" t="s">
        <v>1592</v>
      </c>
      <c r="C53" s="3008">
        <f ca="1">C51-C52</f>
        <v>3612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-2447</v>
      </c>
      <c r="D55" s="2755" t="str">
        <f>C2</f>
        <v>万元</v>
      </c>
      <c r="E55" s="2746"/>
      <c r="F55" s="2746"/>
      <c r="I55" s="2756" t="s">
        <v>1596</v>
      </c>
      <c r="J55" s="2757"/>
      <c r="K55" s="2758"/>
      <c r="L55" s="3030">
        <f ca="1">IF(M56="住宅",0,IF(L57&gt;J60,L69,J69))</f>
        <v>130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2200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130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4250</v>
      </c>
      <c r="R58" s="2774" t="s">
        <v>1618</v>
      </c>
    </row>
    <row r="59" s="883" customFormat="1" ht="13.5" spans="1:18">
      <c r="A59" s="3057" t="s">
        <v>1186</v>
      </c>
      <c r="B59" s="3279" t="s">
        <v>1476</v>
      </c>
      <c r="C59" s="3257">
        <f ca="1">ROUND(F58*F60*F59/10000,2)</f>
        <v>0</v>
      </c>
      <c r="D59" s="2906" t="s">
        <v>1477</v>
      </c>
      <c r="E59" s="2797" t="s">
        <v>1478</v>
      </c>
      <c r="F59" s="3058">
        <f ca="1">F7</f>
        <v>194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1284</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2540</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2200</v>
      </c>
      <c r="R65" s="3043" t="s">
        <v>1604</v>
      </c>
    </row>
    <row r="66" s="883" customFormat="1" ht="24.75" spans="1:18">
      <c r="A66" s="1282" t="s">
        <v>1157</v>
      </c>
      <c r="B66" s="1306" t="s">
        <v>1492</v>
      </c>
      <c r="C66" s="3255">
        <f ca="1">ROUND(IF(AND(项目基本情况!B11="自然人",项目基本情况!B10="北京市",M56="住宅"),C58*F66,C67+C71+C72),2)</f>
        <v>2.51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-0.12</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0.98</v>
      </c>
      <c r="D69" s="2938" t="s">
        <v>1501</v>
      </c>
      <c r="E69" s="2941"/>
      <c r="F69" s="2937">
        <f t="shared" si="0"/>
        <v>0.06</v>
      </c>
      <c r="I69" s="2843" t="s">
        <v>1653</v>
      </c>
      <c r="J69" s="3081">
        <f ca="1">IF(OR(M56="住宅",J60&lt;L57,J65="是"),"0",ROUND(J68/(1+J61)^J62,0))</f>
        <v>130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-0.12</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2398</v>
      </c>
      <c r="R71" s="3043" t="s">
        <v>1636</v>
      </c>
    </row>
    <row r="72" s="883" customFormat="1" ht="13.5" spans="1:18">
      <c r="A72" s="2903" t="s">
        <v>1193</v>
      </c>
      <c r="B72" s="3292" t="s">
        <v>1510</v>
      </c>
      <c r="C72" s="3257">
        <f ca="1">IF(项目基本情况!B11="自然人","——",ROUND(F72*F73/10000,2))</f>
        <v>2.63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2189.17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8.5</v>
      </c>
      <c r="D74" s="3087" t="s">
        <v>1515</v>
      </c>
      <c r="E74" s="3294" t="s">
        <v>1670</v>
      </c>
      <c r="F74" s="3063">
        <f ca="1">C51</f>
        <v>4250</v>
      </c>
      <c r="I74" s="2848" t="s">
        <v>1671</v>
      </c>
      <c r="J74" s="3085">
        <v>40</v>
      </c>
      <c r="K74" s="3085">
        <v>30</v>
      </c>
      <c r="L74" s="3085">
        <v>50</v>
      </c>
      <c r="M74" s="2852">
        <v>0.02</v>
      </c>
      <c r="O74" s="3040" t="s">
        <v>1602</v>
      </c>
      <c r="P74" s="3048" t="s">
        <v>1603</v>
      </c>
      <c r="Q74" s="3088">
        <f ca="1">C28+J31</f>
        <v>2200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3.61</v>
      </c>
      <c r="D76" s="3087" t="s">
        <v>1518</v>
      </c>
      <c r="E76" s="3294" t="s">
        <v>1592</v>
      </c>
      <c r="F76" s="3092">
        <f ca="1">C53</f>
        <v>3612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1284</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65</v>
      </c>
      <c r="R79" s="2774" t="s">
        <v>1674</v>
      </c>
    </row>
    <row r="80" s="883" customFormat="1" ht="13.5" spans="1:18">
      <c r="A80" s="3096" t="s">
        <v>1526</v>
      </c>
      <c r="B80" s="2858" t="s">
        <v>1527</v>
      </c>
      <c r="C80" s="2915">
        <f ca="1">ROUND(C79*(1-((1+F82)/(1+F80))^F81)/(F80-F82),0)</f>
        <v>-247</v>
      </c>
      <c r="D80" s="3097" t="s">
        <v>1528</v>
      </c>
      <c r="E80" s="2827" t="s">
        <v>1529</v>
      </c>
      <c r="F80" s="2913">
        <f ca="1" t="shared" si="1"/>
        <v>0.05</v>
      </c>
      <c r="O80" s="2793" t="s">
        <v>1675</v>
      </c>
      <c r="P80" s="2859" t="s">
        <v>1676</v>
      </c>
      <c r="Q80" s="3093">
        <f ca="1">C27</f>
        <v>110</v>
      </c>
      <c r="R80" s="2774" t="s">
        <v>1618</v>
      </c>
    </row>
    <row r="81" s="883" customFormat="1" ht="13.5" spans="1:18">
      <c r="A81" s="3098"/>
      <c r="B81" s="2861"/>
      <c r="C81" s="2892"/>
      <c r="D81" s="3099" t="s">
        <v>1531</v>
      </c>
      <c r="E81" s="2827" t="s">
        <v>1532</v>
      </c>
      <c r="F81" s="2969">
        <f ca="1" t="shared" si="1"/>
        <v>35.52</v>
      </c>
      <c r="O81" s="2793" t="s">
        <v>1677</v>
      </c>
      <c r="P81" s="2859" t="s">
        <v>1678</v>
      </c>
      <c r="Q81" s="3093">
        <f ca="1">C52</f>
        <v>638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-396</v>
      </c>
      <c r="D84" s="3106" t="s">
        <v>1541</v>
      </c>
      <c r="E84" s="2866" t="s">
        <v>1542</v>
      </c>
      <c r="F84" s="2982">
        <f ca="1">F32</f>
        <v>6788.98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2398</v>
      </c>
      <c r="R86" s="3043" t="s">
        <v>1636</v>
      </c>
    </row>
    <row r="87" spans="1:18">
      <c r="A87" s="883"/>
      <c r="B87" s="2870" t="s">
        <v>1684</v>
      </c>
      <c r="C87" s="1807">
        <f ca="1">ROUND(C53*C88,0)</f>
        <v>253</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v>
      </c>
    </row>
    <row r="92" spans="1:18">
      <c r="B92" s="2870" t="s">
        <v>1689</v>
      </c>
      <c r="C92" s="3108">
        <f ca="1">ROUND(C87/C27,3)</f>
        <v>2.3</v>
      </c>
    </row>
    <row r="93" spans="1:18">
      <c r="B93" s="493" t="s">
        <v>1690</v>
      </c>
      <c r="C93" s="460"/>
    </row>
    <row r="94" spans="1:18">
      <c r="B94" s="495" t="s">
        <v>1691</v>
      </c>
      <c r="C94" s="3109">
        <f ca="1">1-C95</f>
        <v>-0.55</v>
      </c>
    </row>
    <row r="95" spans="1:18">
      <c r="B95" s="495" t="s">
        <v>1692</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23529</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5896</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27525</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22411</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19155</v>
      </c>
      <c r="D10" s="3139"/>
      <c r="E10" s="471"/>
      <c r="F10" s="3147">
        <f ca="1">IF('数据-取费表'!B24=0,1,IF(B1="",'数据-取费表'!N16,INDIRECT("'数据-取费表'!n"&amp;$G$1)))</f>
        <v>1</v>
      </c>
      <c r="G10" s="482" t="s">
        <v>1710</v>
      </c>
    </row>
    <row r="11" s="407" customFormat="1" spans="1:9">
      <c r="A11" s="3145" t="s">
        <v>1705</v>
      </c>
      <c r="B11" s="3146" t="s">
        <v>1711</v>
      </c>
      <c r="C11" s="641">
        <f ca="1">ROUND(C10*F11,0)</f>
        <v>1149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1915</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798</v>
      </c>
      <c r="D16" s="664">
        <f ca="1">IF(B1="",'数据-汇总表'!E6,IF(INDIRECT("'数据-取费表'!c"&amp;$G$1)="住宅",INDIRECT("'数据-取费表'!s"&amp;$G$1),INDIRECT("'数据-取费表'!k"&amp;$G$1)+INDIRECT("'数据-取费表'!s"&amp;$G$1)))</f>
        <v>39905.31</v>
      </c>
      <c r="E16" s="664">
        <f>'数据-取费表'!B28</f>
        <v>200</v>
      </c>
      <c r="F16" s="644"/>
      <c r="G16" s="444"/>
    </row>
    <row r="17" s="407" customFormat="1" spans="1:7">
      <c r="A17" s="662" t="s">
        <v>1500</v>
      </c>
      <c r="B17" s="3154" t="s">
        <v>1722</v>
      </c>
      <c r="C17" s="641">
        <f ca="1">IF(G17="已包含在土地取得成本中","0",ROUND(D17*E17/10000,0))</f>
        <v>718</v>
      </c>
      <c r="D17" s="623">
        <f ca="1">D15+D16</f>
        <v>39905.31</v>
      </c>
      <c r="E17" s="623">
        <f>'数据-取费表'!B31</f>
        <v>180</v>
      </c>
      <c r="F17" s="3155"/>
      <c r="G17" s="661"/>
    </row>
    <row r="18" s="407" customFormat="1" spans="1:7">
      <c r="A18" s="3156" t="s">
        <v>1502</v>
      </c>
      <c r="B18" s="3154" t="s">
        <v>1723</v>
      </c>
      <c r="C18" s="641">
        <f ca="1">ROUND(E18*D18*F10/10000,0)</f>
        <v>1197</v>
      </c>
      <c r="D18" s="641">
        <f ca="1">D17</f>
        <v>39905.31</v>
      </c>
      <c r="E18" s="641">
        <f>'数据-取费表'!B35</f>
        <v>300</v>
      </c>
      <c r="F18" s="3148"/>
      <c r="G18" s="482" t="str">
        <f ca="1">IF(F10=100%,"","按工程进度计取")</f>
        <v/>
      </c>
    </row>
    <row r="19" s="407" customFormat="1" spans="1:7">
      <c r="A19" s="3145" t="s">
        <v>1724</v>
      </c>
      <c r="B19" s="3146" t="s">
        <v>1725</v>
      </c>
      <c r="C19" s="641">
        <f ca="1">ROUND(C10*F19,0)</f>
        <v>192</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672</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722+0.0009V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722</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2770+0.0036V</v>
      </c>
      <c r="D27" s="681"/>
      <c r="E27" s="682"/>
      <c r="F27" s="3166">
        <f ca="1">IF(B1="",'数据-取费表'!Q16,INDIRECT("'数据-取费表'!q"&amp;$G$1))</f>
        <v>0.12</v>
      </c>
      <c r="G27" s="3159" t="s">
        <v>1743</v>
      </c>
    </row>
    <row r="28" s="407" customFormat="1" spans="1:7">
      <c r="A28" s="3145" t="s">
        <v>1703</v>
      </c>
      <c r="B28" s="3154" t="s">
        <v>1744</v>
      </c>
      <c r="C28" s="791">
        <f ca="1">ROUND(C6*F27*'数据-取费表'!B23/'数据-取费表'!B22+(C9+C21)*F27,0)</f>
        <v>2770</v>
      </c>
      <c r="D28" s="453"/>
      <c r="E28" s="454"/>
      <c r="F28" s="3155"/>
      <c r="G28" s="3238" t="str">
        <f ca="1">IF(F10=100%,"","其中：土地取得成本产生的利润按已建工期计算")</f>
        <v/>
      </c>
    </row>
    <row r="29" s="407" customFormat="1" spans="1:7">
      <c r="A29" s="3145" t="s">
        <v>1705</v>
      </c>
      <c r="B29" s="3154" t="s">
        <v>1745</v>
      </c>
      <c r="C29" s="3164">
        <f ca="1">ROUND(F22*F27,4)</f>
        <v>0.0036</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3996</v>
      </c>
      <c r="D31" s="688"/>
      <c r="E31" s="688"/>
      <c r="F31" s="3171">
        <f>IF('数据-取费表'!B24=0,'数据-取费表'!N16,1)</f>
        <v>0.85</v>
      </c>
      <c r="G31" s="690" t="s">
        <v>1749</v>
      </c>
    </row>
    <row r="32" s="407" customFormat="1" ht="15.75" spans="1:7">
      <c r="A32" s="687" t="s">
        <v>1523</v>
      </c>
      <c r="B32" s="617" t="s">
        <v>1750</v>
      </c>
      <c r="C32" s="618">
        <f ca="1">C5-C31</f>
        <v>23529</v>
      </c>
      <c r="D32" s="688"/>
      <c r="E32" s="688"/>
      <c r="F32" s="689"/>
      <c r="G32" s="3172" t="s">
        <v>1751</v>
      </c>
    </row>
    <row r="33" s="407" customFormat="1" ht="16.5" spans="1:7">
      <c r="A33" s="3173">
        <v>4</v>
      </c>
      <c r="B33" s="3174" t="s">
        <v>1752</v>
      </c>
      <c r="C33" s="3175">
        <f ca="1">ROUND(C32*(1+F33),0)</f>
        <v>25647</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21693</v>
      </c>
      <c r="D40" s="3190"/>
      <c r="E40" s="3190"/>
      <c r="F40" s="3190"/>
      <c r="G40" s="3191"/>
    </row>
    <row r="41" ht="15.75" spans="1:7">
      <c r="A41" s="3242" t="s">
        <v>1703</v>
      </c>
      <c r="B41" s="3243" t="str">
        <f t="shared" ref="B41:C43" si="0">B10</f>
        <v>  建安费用</v>
      </c>
      <c r="C41" s="776">
        <f ca="1" t="shared" si="0"/>
        <v>19155</v>
      </c>
      <c r="D41" s="3194"/>
      <c r="E41" s="3194"/>
      <c r="F41" s="785"/>
      <c r="G41" s="3195"/>
    </row>
    <row r="42" ht="15.75" spans="1:7">
      <c r="A42" s="3242" t="s">
        <v>1705</v>
      </c>
      <c r="B42" s="3243" t="str">
        <f t="shared" si="0"/>
        <v>  前期费用</v>
      </c>
      <c r="C42" s="776">
        <f ca="1" t="shared" si="0"/>
        <v>1149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1197</v>
      </c>
      <c r="D44" s="3194"/>
      <c r="E44" s="3194"/>
      <c r="F44" s="785"/>
      <c r="G44" s="3195"/>
    </row>
    <row r="45" ht="15.75" spans="1:7">
      <c r="A45" s="626" t="s">
        <v>1759</v>
      </c>
      <c r="B45" s="3150" t="str">
        <f>B19</f>
        <v>  其他工程费</v>
      </c>
      <c r="C45" s="791">
        <f ca="1">C19</f>
        <v>192</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651</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699+0.0009V建1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699</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2681+0.0036V建1</v>
      </c>
      <c r="D52" s="3213"/>
      <c r="E52" s="3203"/>
      <c r="F52" s="3214">
        <f ca="1">F27</f>
        <v>0.12</v>
      </c>
      <c r="G52" s="3215" t="s">
        <v>1766</v>
      </c>
    </row>
    <row r="53" spans="1:7">
      <c r="A53" s="3242" t="s">
        <v>1703</v>
      </c>
      <c r="B53" s="3246" t="s">
        <v>1767</v>
      </c>
      <c r="C53" s="776">
        <f ca="1">ROUND((C40+C47)*F27,0)</f>
        <v>2681</v>
      </c>
      <c r="D53" s="3216"/>
      <c r="E53" s="3217"/>
      <c r="F53" s="3218"/>
      <c r="G53" s="3219"/>
    </row>
    <row r="54" spans="1:7">
      <c r="A54" s="3242" t="s">
        <v>1705</v>
      </c>
      <c r="B54" s="3246" t="s">
        <v>1768</v>
      </c>
      <c r="C54" s="3220">
        <f ca="1">ROUND(F48*F27,4)</f>
        <v>0.0036</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26643</v>
      </c>
      <c r="D56" s="682"/>
      <c r="E56" s="682"/>
      <c r="F56" s="3224"/>
      <c r="G56" s="3223" t="s">
        <v>1772</v>
      </c>
    </row>
    <row r="57" ht="15" spans="1:7">
      <c r="A57" s="3132" t="s">
        <v>1588</v>
      </c>
      <c r="B57" s="3249" t="s">
        <v>1550</v>
      </c>
      <c r="C57" s="651">
        <f ca="1">ROUND(C56*(1-F57),0)</f>
        <v>3996</v>
      </c>
      <c r="D57" s="682"/>
      <c r="E57" s="682"/>
      <c r="F57" s="3224">
        <f>F31</f>
        <v>0.85</v>
      </c>
      <c r="G57" s="3223" t="s">
        <v>1773</v>
      </c>
    </row>
    <row r="58" ht="18.75" spans="1:7">
      <c r="A58" s="3132" t="s">
        <v>1774</v>
      </c>
      <c r="B58" s="3226" t="s">
        <v>1775</v>
      </c>
      <c r="C58" s="651">
        <f ca="1">C56-C57</f>
        <v>22647</v>
      </c>
      <c r="D58" s="682"/>
      <c r="E58" s="682"/>
      <c r="F58" s="3224"/>
      <c r="G58" s="3223" t="s">
        <v>1776</v>
      </c>
    </row>
    <row r="59" ht="15.75" spans="1:7">
      <c r="A59" s="3250" t="s">
        <v>1777</v>
      </c>
      <c r="B59" s="3251" t="s">
        <v>1778</v>
      </c>
      <c r="C59" s="3228">
        <f ca="1">ROUND(C58*(1+F59),0)</f>
        <v>24685</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估价对象为北京市房地产，为所有。根据《国有土地使用证》[]，估价对象（分摊）出让国有建设用地使用权面积为12867.86平方米，建筑面积为39905.31平方米。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估价对象为北京市房地产,属开发建设的，该项目尚在开发建设中。根据《国有土地使用证》[]，估价对象（分摊）出让国有建设用地使用权面积为12867.86平方米，规划建筑面积为39905.31平方米。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23528.7937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5896</v>
      </c>
      <c r="C3" s="416" t="s">
        <v>1694</v>
      </c>
      <c r="D3" s="416">
        <f ca="1">IF(C1="含税",E2+C33,E2+C32)</f>
        <v>235287937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275252480</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224108221</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191545488</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11492729</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19154549</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7981062</v>
      </c>
      <c r="D16" s="664">
        <f ca="1">IF(B1="",'数据-汇总表'!E6,IF(INDIRECT("'数据-取费表'!c"&amp;$G$1)="住宅",INDIRECT("'数据-取费表'!s"&amp;$G$1),INDIRECT("'数据-取费表'!k"&amp;$G$1)+INDIRECT("'数据-取费表'!s"&amp;$G$1)))</f>
        <v>39905.31</v>
      </c>
      <c r="E16" s="664">
        <f>'数据-取费表'!B28</f>
        <v>200</v>
      </c>
      <c r="F16" s="644"/>
      <c r="G16" s="444"/>
      <c r="J16" s="405"/>
    </row>
    <row r="17" s="407" customFormat="1" ht="15" spans="1:10">
      <c r="A17" s="662" t="s">
        <v>1500</v>
      </c>
      <c r="B17" s="3154" t="s">
        <v>1722</v>
      </c>
      <c r="C17" s="641">
        <f ca="1">IF(G17="已包含在土地取得成本中","0",ROUND(D17*E17,0))</f>
        <v>7182956</v>
      </c>
      <c r="D17" s="623">
        <f ca="1">D15+D16</f>
        <v>39905.31</v>
      </c>
      <c r="E17" s="623">
        <f>'数据-取费表'!B31</f>
        <v>180</v>
      </c>
      <c r="F17" s="3155"/>
      <c r="G17" s="661"/>
      <c r="J17" s="405"/>
    </row>
    <row r="18" s="407" customFormat="1" ht="15" spans="1:10">
      <c r="A18" s="3156" t="s">
        <v>1502</v>
      </c>
      <c r="B18" s="3154" t="s">
        <v>1723</v>
      </c>
      <c r="C18" s="641">
        <f ca="1">ROUND(E18*D18*F10,0)</f>
        <v>11971593</v>
      </c>
      <c r="D18" s="641">
        <f ca="1">D17</f>
        <v>39905.31</v>
      </c>
      <c r="E18" s="641">
        <f>'数据-取费表'!B35</f>
        <v>300</v>
      </c>
      <c r="F18" s="3148"/>
      <c r="G18" s="482" t="str">
        <f ca="1">IF(F10=100%,"","按工程进度计取")</f>
        <v/>
      </c>
      <c r="J18" s="405"/>
    </row>
    <row r="19" s="407" customFormat="1" ht="15" spans="1:10">
      <c r="A19" s="3145" t="s">
        <v>1724</v>
      </c>
      <c r="B19" s="3146" t="s">
        <v>1725</v>
      </c>
      <c r="C19" s="641">
        <f ca="1">ROUND(C10*F19,0)</f>
        <v>1915455</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6723247</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7225025+0.0009V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7225025</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27699776+0.0036V</v>
      </c>
      <c r="D27" s="681"/>
      <c r="E27" s="682"/>
      <c r="F27" s="3166">
        <f ca="1">IF(B1="",'数据-取费表'!Q16,INDIRECT("'数据-取费表'!q"&amp;$G$1))</f>
        <v>0.12</v>
      </c>
      <c r="G27" s="3159" t="s">
        <v>1743</v>
      </c>
      <c r="J27" s="405"/>
    </row>
    <row r="28" s="407" customFormat="1" ht="15" spans="1:10">
      <c r="A28" s="3145" t="s">
        <v>1703</v>
      </c>
      <c r="B28" s="3154" t="s">
        <v>1744</v>
      </c>
      <c r="C28" s="791">
        <f ca="1">ROUND(C6*F27*'数据-取费表'!B23/'数据-取费表'!B22+(C9+C21)*F27,0)</f>
        <v>27699776</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0.0036</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39964543</v>
      </c>
      <c r="D31" s="688"/>
      <c r="E31" s="688"/>
      <c r="F31" s="3171">
        <f>IF('数据-取费表'!B24=0,'数据-取费表'!N16,1)</f>
        <v>0.85</v>
      </c>
      <c r="G31" s="690" t="s">
        <v>1784</v>
      </c>
      <c r="J31" s="405"/>
    </row>
    <row r="32" s="407" customFormat="1" ht="15.75" spans="1:10">
      <c r="A32" s="687" t="s">
        <v>1523</v>
      </c>
      <c r="B32" s="617" t="s">
        <v>1750</v>
      </c>
      <c r="C32" s="618">
        <f ca="1">C5-C31</f>
        <v>235287937</v>
      </c>
      <c r="D32" s="688"/>
      <c r="E32" s="688"/>
      <c r="F32" s="689"/>
      <c r="G32" s="3172" t="s">
        <v>1751</v>
      </c>
      <c r="J32" s="405"/>
    </row>
    <row r="33" s="407" customFormat="1" ht="16.5" spans="1:10">
      <c r="A33" s="3173">
        <v>4</v>
      </c>
      <c r="B33" s="3174" t="s">
        <v>1752</v>
      </c>
      <c r="C33" s="3175">
        <f ca="1">ROUND(C32*(1+F33),0)</f>
        <v>256463851</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216925265</v>
      </c>
      <c r="D40" s="3190"/>
      <c r="E40" s="3190"/>
      <c r="F40" s="3190"/>
      <c r="G40" s="3191"/>
    </row>
    <row r="41" ht="15.75" spans="1:10">
      <c r="A41" s="3192" t="s">
        <v>1703</v>
      </c>
      <c r="B41" s="3193" t="str">
        <f t="shared" ref="B41:C43" si="0">B10</f>
        <v>  建安费用</v>
      </c>
      <c r="C41" s="776">
        <f ca="1" t="shared" si="0"/>
        <v>191545488</v>
      </c>
      <c r="D41" s="3194"/>
      <c r="E41" s="3194"/>
      <c r="F41" s="785"/>
      <c r="G41" s="3195"/>
    </row>
    <row r="42" ht="15.75" spans="1:10">
      <c r="A42" s="3192" t="s">
        <v>1705</v>
      </c>
      <c r="B42" s="3193" t="str">
        <f t="shared" si="0"/>
        <v>  前期费用</v>
      </c>
      <c r="C42" s="776">
        <f ca="1" t="shared" si="0"/>
        <v>11492729</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11971593</v>
      </c>
      <c r="D44" s="3194"/>
      <c r="E44" s="3194"/>
      <c r="F44" s="785"/>
      <c r="G44" s="3195"/>
    </row>
    <row r="45" ht="15.75" spans="1:10">
      <c r="A45" s="3197" t="s">
        <v>1759</v>
      </c>
      <c r="B45" s="3198" t="str">
        <f>B19</f>
        <v>  其他工程费</v>
      </c>
      <c r="C45" s="791">
        <f ca="1">C19</f>
        <v>1915455</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6507758</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6993454+0.0009V建1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6993454</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26811963+0.0036V建1</v>
      </c>
      <c r="D52" s="3213"/>
      <c r="E52" s="3203"/>
      <c r="F52" s="3214">
        <f ca="1">F27</f>
        <v>0.12</v>
      </c>
      <c r="G52" s="3215" t="s">
        <v>1766</v>
      </c>
    </row>
    <row r="53" spans="1:7">
      <c r="A53" s="3192" t="s">
        <v>1703</v>
      </c>
      <c r="B53" s="3211" t="s">
        <v>1767</v>
      </c>
      <c r="C53" s="776">
        <f ca="1">ROUND((C40+C47)*F27,0)</f>
        <v>26811963</v>
      </c>
      <c r="D53" s="3216"/>
      <c r="E53" s="3217"/>
      <c r="F53" s="3218"/>
      <c r="G53" s="3219"/>
    </row>
    <row r="54" spans="1:7">
      <c r="A54" s="3192" t="s">
        <v>1705</v>
      </c>
      <c r="B54" s="3211" t="s">
        <v>1768</v>
      </c>
      <c r="C54" s="3220">
        <f ca="1">ROUND(F48*F27,4)</f>
        <v>0.0036</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266430285</v>
      </c>
      <c r="D56" s="682"/>
      <c r="E56" s="682"/>
      <c r="F56" s="3224"/>
      <c r="G56" s="3223" t="s">
        <v>1772</v>
      </c>
    </row>
    <row r="57" ht="15" spans="1:7">
      <c r="A57" s="3221" t="s">
        <v>1588</v>
      </c>
      <c r="B57" s="3225" t="s">
        <v>1550</v>
      </c>
      <c r="C57" s="651">
        <f ca="1">ROUND(C56*(1-F57),0)</f>
        <v>39964543</v>
      </c>
      <c r="D57" s="682"/>
      <c r="E57" s="682"/>
      <c r="F57" s="3224">
        <f>F31</f>
        <v>0.85</v>
      </c>
      <c r="G57" s="3223" t="s">
        <v>1773</v>
      </c>
    </row>
    <row r="58" ht="18.75" spans="1:7">
      <c r="A58" s="3221" t="s">
        <v>1774</v>
      </c>
      <c r="B58" s="3221" t="s">
        <v>1775</v>
      </c>
      <c r="C58" s="651">
        <f ca="1">C56-C57</f>
        <v>226465742</v>
      </c>
      <c r="D58" s="682"/>
      <c r="E58" s="682"/>
      <c r="F58" s="3224"/>
      <c r="G58" s="3223" t="s">
        <v>1776</v>
      </c>
    </row>
    <row r="59" ht="15.75" spans="1:7">
      <c r="A59" s="3226" t="s">
        <v>1777</v>
      </c>
      <c r="B59" s="3227" t="s">
        <v>1778</v>
      </c>
      <c r="C59" s="3228">
        <f ca="1">ROUND(C58*(1+F59),0)</f>
        <v>246847659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27179.4775</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6811</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28611672</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7981062</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7981062</v>
      </c>
      <c r="D10" s="443">
        <f ca="1">IF(B1="",'数据-汇总表'!E6,IF(INDIRECT("'数据-取费表'!c"&amp;$G$1)="住宅",INDIRECT("'数据-取费表'!s"&amp;$G$1),INDIRECT("'数据-取费表'!k"&amp;$G$1)+INDIRECT("'数据-取费表'!s"&amp;$G$1)))</f>
        <v>39905.31</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7182956</v>
      </c>
      <c r="D19" s="428">
        <f ca="1">D9+D10</f>
        <v>39905.31</v>
      </c>
      <c r="E19" s="427">
        <f>'数据-取费表'!B31</f>
        <v>180</v>
      </c>
      <c r="F19" s="449"/>
      <c r="G19" s="661"/>
    </row>
    <row r="20" s="407" customFormat="1" ht="13.5" customHeight="1" spans="1:7">
      <c r="A20" s="425" t="s">
        <v>1809</v>
      </c>
      <c r="B20" s="426" t="s">
        <v>1810</v>
      </c>
      <c r="C20" s="450">
        <f ca="1">ROUND((C5+C19)*F20,0)</f>
        <v>1073839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2309422</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1819121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456690</v>
      </c>
      <c r="D24" s="460"/>
      <c r="E24" s="460"/>
      <c r="F24" s="461"/>
      <c r="G24" s="462" t="s">
        <v>1820</v>
      </c>
    </row>
    <row r="25" s="407" customFormat="1" ht="24" spans="1:7">
      <c r="A25" s="458" t="s">
        <v>1713</v>
      </c>
      <c r="B25" s="431" t="s">
        <v>1821</v>
      </c>
      <c r="C25" s="460">
        <f ca="1">ROUND(IF('数据-取费表'!B22&lt;=1,C20*F22*'数据-取费表'!B22/2,C20*(POWER((1+F22),'数据-取费表'!B22/2)-1)),0)</f>
        <v>33611</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4424216</v>
      </c>
      <c r="D27" s="453">
        <f ca="1">C29</f>
        <v>0.0036</v>
      </c>
      <c r="E27" s="454" t="s">
        <v>1814</v>
      </c>
      <c r="F27" s="468">
        <f ca="1">IF(B1="",'数据-取费表'!Q16,INDIRECT("'数据-取费表'!q"&amp;$G$1))</f>
        <v>0.12</v>
      </c>
      <c r="G27" s="469" t="s">
        <v>1825</v>
      </c>
    </row>
    <row r="28" s="407" customFormat="1" ht="13.5" customHeight="1" spans="1:7">
      <c r="A28" s="458" t="s">
        <v>1703</v>
      </c>
      <c r="B28" s="470" t="s">
        <v>1744</v>
      </c>
      <c r="C28" s="471">
        <f ca="1">ROUND((C5+C19+C20)*F27,0)</f>
        <v>4424216</v>
      </c>
      <c r="D28" s="453"/>
      <c r="E28" s="454"/>
      <c r="F28" s="468"/>
      <c r="G28" s="469"/>
    </row>
    <row r="29" s="407" customFormat="1" ht="13.5" customHeight="1" spans="1:7">
      <c r="A29" s="458" t="s">
        <v>1705</v>
      </c>
      <c r="B29" s="470" t="s">
        <v>1745</v>
      </c>
      <c r="C29" s="460">
        <f ca="1">ROUND(C21*F27,4)</f>
        <v>0.0036</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45188211</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216925265</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191545488</v>
      </c>
      <c r="D34" s="433"/>
      <c r="E34" s="436"/>
      <c r="F34" s="479"/>
      <c r="G34" s="435"/>
    </row>
    <row r="35" ht="13.5" customHeight="1" spans="1:7">
      <c r="A35" s="458" t="s">
        <v>1705</v>
      </c>
      <c r="B35" s="431" t="s">
        <v>1834</v>
      </c>
      <c r="C35" s="436">
        <f ca="1">ROUND(C34*F35,0)</f>
        <v>11492729</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11971593</v>
      </c>
      <c r="D37" s="433">
        <f ca="1">D19</f>
        <v>39905.31</v>
      </c>
      <c r="E37" s="471">
        <f>'数据-取费表'!B35</f>
        <v>300</v>
      </c>
      <c r="F37" s="480"/>
      <c r="G37" s="482"/>
    </row>
    <row r="38" ht="13.5" customHeight="1" spans="1:7">
      <c r="A38" s="458" t="s">
        <v>1724</v>
      </c>
      <c r="B38" s="431" t="s">
        <v>1194</v>
      </c>
      <c r="C38" s="436">
        <f ca="1">ROUND(C34*F38,0)</f>
        <v>1915455</v>
      </c>
      <c r="D38" s="436"/>
      <c r="E38" s="436"/>
      <c r="F38" s="480">
        <f>'数据-取费表'!B36</f>
        <v>0.01</v>
      </c>
      <c r="G38" s="435" t="s">
        <v>1726</v>
      </c>
    </row>
    <row r="39" s="407" customFormat="1" ht="13.5" customHeight="1" spans="1:7">
      <c r="A39" s="425" t="s">
        <v>1807</v>
      </c>
      <c r="B39" s="426" t="s">
        <v>1810</v>
      </c>
      <c r="C39" s="450">
        <f ca="1">ROUND(C33*F20,0)</f>
        <v>6507758</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6993454</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6789761</v>
      </c>
      <c r="D42" s="460"/>
      <c r="E42" s="460"/>
      <c r="F42" s="461"/>
      <c r="G42" s="484" t="s">
        <v>1840</v>
      </c>
    </row>
    <row r="43" ht="13.5" customHeight="1" spans="1:7">
      <c r="A43" s="458" t="s">
        <v>1705</v>
      </c>
      <c r="B43" s="431" t="s">
        <v>1819</v>
      </c>
      <c r="C43" s="460">
        <f ca="1">ROUND(IF('数据-取费表'!B22&lt;=1,C39*F22*'数据-取费表'!B20/2,C39*(POWER((1+F22),'数据-取费表'!B20/2)-1)),0)</f>
        <v>203693</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26811963</v>
      </c>
      <c r="D45" s="453">
        <f ca="1">C47</f>
        <v>0.0036</v>
      </c>
      <c r="E45" s="454" t="s">
        <v>1838</v>
      </c>
      <c r="F45" s="468">
        <f ca="1">F27</f>
        <v>0.12</v>
      </c>
      <c r="G45" s="469" t="s">
        <v>1841</v>
      </c>
    </row>
    <row r="46" s="407" customFormat="1" ht="13.5" customHeight="1" spans="1:7">
      <c r="A46" s="458" t="s">
        <v>1703</v>
      </c>
      <c r="B46" s="470" t="s">
        <v>1767</v>
      </c>
      <c r="C46" s="471">
        <f ca="1">ROUND((C33+C39)*F27,0)</f>
        <v>26811963</v>
      </c>
      <c r="D46" s="487"/>
      <c r="E46" s="454"/>
      <c r="F46" s="468"/>
      <c r="G46" s="469"/>
    </row>
    <row r="47" s="407" customFormat="1" ht="13.5" customHeight="1" spans="1:7">
      <c r="A47" s="458" t="s">
        <v>1705</v>
      </c>
      <c r="B47" s="470" t="s">
        <v>1768</v>
      </c>
      <c r="C47" s="460">
        <f ca="1">ROUND(C40*F27,4)</f>
        <v>0.0036</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266595958</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226606564</v>
      </c>
      <c r="D51" s="450"/>
      <c r="E51" s="450"/>
      <c r="F51" s="488"/>
      <c r="G51" s="455" t="s">
        <v>1849</v>
      </c>
    </row>
    <row r="52" s="406" customFormat="1" ht="16.5" spans="1:7">
      <c r="A52" s="489" t="s">
        <v>1850</v>
      </c>
      <c r="B52" s="490"/>
      <c r="C52" s="491">
        <f ca="1">C31+C51</f>
        <v>271794775</v>
      </c>
      <c r="D52" s="490"/>
      <c r="E52" s="490"/>
      <c r="F52" s="490"/>
      <c r="G52" s="492"/>
    </row>
    <row r="55" ht="15" spans="1:7">
      <c r="B55" s="493" t="s">
        <v>1780</v>
      </c>
      <c r="C55" s="494"/>
    </row>
    <row r="56" spans="1:7">
      <c r="B56" s="495" t="s">
        <v>1691</v>
      </c>
      <c r="C56" s="497">
        <f ca="1">1-C57</f>
        <v>0.166</v>
      </c>
    </row>
    <row r="57" spans="1:7">
      <c r="B57" s="495" t="s">
        <v>1692</v>
      </c>
      <c r="C57" s="496">
        <f ca="1">ROUND(C51/C52,3)</f>
        <v>0.834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39905.31</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109528</v>
      </c>
      <c r="E5" s="4735"/>
    </row>
    <row r="6" spans="1:5">
      <c r="A6" s="4735"/>
      <c r="B6" s="4739"/>
      <c r="C6" s="4740" t="s">
        <v>98</v>
      </c>
      <c r="D6" s="4741" t="str">
        <f ca="1">NUMBERSTRING(INT(D5*10000),2)&amp;"元整"</f>
        <v>壹拾亿玖仟伍佰贰拾捌万元整</v>
      </c>
      <c r="E6" s="4735"/>
    </row>
    <row r="7" ht="15.75" spans="1:5">
      <c r="A7" s="4735"/>
      <c r="B7" s="4742"/>
      <c r="C7" s="4743" t="s">
        <v>99</v>
      </c>
      <c r="D7" s="4744">
        <f ca="1">结果表!H102</f>
        <v>27447</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109528</v>
      </c>
      <c r="E13" s="4735"/>
    </row>
    <row r="14" spans="1:5">
      <c r="A14" s="4735"/>
      <c r="B14" s="4739"/>
      <c r="C14" s="4740" t="s">
        <v>98</v>
      </c>
      <c r="D14" s="4741" t="str">
        <f ca="1">NUMBERSTRING(INT(D13*10000),2)&amp;"元整"</f>
        <v>壹拾亿玖仟伍佰贰拾捌万元整</v>
      </c>
      <c r="E14" s="4735"/>
    </row>
    <row r="15" ht="15" spans="1:5">
      <c r="A15" s="4735"/>
      <c r="B15" s="4742"/>
      <c r="C15" s="4743" t="s">
        <v>99</v>
      </c>
      <c r="D15" s="4754">
        <f ca="1">结果表!H108</f>
        <v>27447</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24612.27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7019.07</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1484.99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6788.98</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39905.31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24612.27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7019.07</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1484.99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6788.98</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12867.86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-894</v>
      </c>
      <c r="C2" s="719" t="s">
        <v>2229</v>
      </c>
      <c r="D2" s="1260"/>
      <c r="E2" s="716"/>
      <c r="G2" s="716"/>
      <c r="H2" s="716"/>
      <c r="I2" s="716"/>
      <c r="J2" s="716"/>
      <c r="K2" s="716"/>
    </row>
    <row r="3" ht="18" customHeight="1" spans="1:33">
      <c r="A3" s="420" t="s">
        <v>1268</v>
      </c>
      <c r="B3" s="606">
        <f ca="1">ROUND(B2*10000/IF(C1="",'数据-汇总表'!E3,INDIRECT("'数据-取费表'!K"&amp;$K$1)),0)</f>
        <v>-224</v>
      </c>
      <c r="C3" s="719" t="s">
        <v>2230</v>
      </c>
      <c r="E3" s="711"/>
      <c r="I3" s="716"/>
      <c r="J3" s="716"/>
      <c r="K3" s="716"/>
    </row>
    <row r="4" ht="18" customHeight="1" spans="1:33">
      <c r="A4" s="1261" t="s">
        <v>2231</v>
      </c>
      <c r="B4" s="1262">
        <f ca="1">ROUND(B2*10000/IF(C1="",'数据-汇总表'!D3,INDIRECT("'数据-取费表'!R"&amp;$K$1)),0)</f>
        <v>-695</v>
      </c>
      <c r="C4" s="1263" t="s">
        <v>2230</v>
      </c>
      <c r="E4" s="711"/>
      <c r="I4" s="716"/>
      <c r="J4" s="716"/>
      <c r="K4" s="716"/>
    </row>
    <row r="5" ht="18" customHeight="1" spans="1:33">
      <c r="A5" s="416"/>
      <c r="B5" s="1264">
        <f ca="1">ROUND(B2/(IF(C1="",'数据-汇总表'!D3,INDIRECT("'数据-取费表'!R"&amp;$K$1))/666.67),0)</f>
        <v>-46</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798</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798</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798</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798</v>
      </c>
      <c r="D22" s="1299">
        <f ca="1">IF(C1="",'数据-汇总表'!E6,IF(INDIRECT("'数据-取费表'!c"&amp;$K$1)="住宅",INDIRECT("'数据-取费表'!s"&amp;$K$1),INDIRECT("'数据-取费表'!k"&amp;$K$1)+INDIRECT("'数据-取费表'!s"&amp;$K$1)))</f>
        <v>39905.31</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39905.31</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39905.31</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24</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99+0V</v>
      </c>
      <c r="D33" s="1313"/>
      <c r="E33" s="764"/>
      <c r="F33" s="1326">
        <f ca="1">IF(C1="",'数据-取费表'!Q16,INDIRECT("'数据-取费表'!q"&amp;$K$1))</f>
        <v>0.12</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99</v>
      </c>
      <c r="D35" s="1317"/>
      <c r="E35" s="1311"/>
      <c r="F35" s="1327"/>
      <c r="G35" s="1280"/>
      <c r="H35" s="1280"/>
      <c r="I35" s="1280"/>
      <c r="J35" s="1280"/>
      <c r="K35" s="1281"/>
    </row>
    <row r="36" s="705" customFormat="1" ht="15" spans="1:11">
      <c r="A36" s="726">
        <v>9</v>
      </c>
      <c r="B36" s="753" t="s">
        <v>2278</v>
      </c>
      <c r="C36" s="754">
        <f ca="1">ROUND((C13-C15-C27-C28-C31-C35-C32)/(1+F14+C30+C34),0)</f>
        <v>-894</v>
      </c>
      <c r="D36" s="760"/>
      <c r="E36" s="760"/>
      <c r="F36" s="1313"/>
      <c r="G36" s="1329" t="s">
        <v>2279</v>
      </c>
      <c r="H36" s="760"/>
      <c r="I36" s="760"/>
      <c r="J36" s="760"/>
      <c r="K36" s="1271"/>
    </row>
    <row r="37" s="1258" customFormat="1" ht="15.75" spans="1:11">
      <c r="A37" s="1330">
        <v>10</v>
      </c>
      <c r="B37" s="1331" t="s">
        <v>2280</v>
      </c>
      <c r="C37" s="1332">
        <f ca="1">ROUND(C36*(1+F37),0)</f>
        <v>-974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798</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798</v>
      </c>
      <c r="D53" s="1343"/>
      <c r="E53" s="1343"/>
      <c r="F53" s="1343"/>
      <c r="G53" s="1343"/>
    </row>
    <row r="54" s="1259" customFormat="1" spans="1:7">
      <c r="A54" s="1346" t="s">
        <v>1497</v>
      </c>
      <c r="B54" s="1347" t="s">
        <v>1718</v>
      </c>
      <c r="C54" s="1348">
        <f ca="1" t="shared" si="0"/>
        <v>798</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24</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99+0V</v>
      </c>
      <c r="D64" s="1343"/>
      <c r="E64" s="1343"/>
      <c r="F64" s="1343"/>
      <c r="G64" s="1343"/>
    </row>
    <row r="65" s="1259" customFormat="1" spans="1:7">
      <c r="A65" s="1343">
        <v>5</v>
      </c>
      <c r="B65" s="1306" t="s">
        <v>2302</v>
      </c>
      <c r="C65" s="1307">
        <f ca="1">C36</f>
        <v>-894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-22647</v>
      </c>
      <c r="C2" s="719" t="s">
        <v>2229</v>
      </c>
      <c r="D2" s="719"/>
      <c r="E2" s="716"/>
      <c r="F2" s="716"/>
      <c r="G2" s="716"/>
      <c r="H2" s="716"/>
      <c r="I2" s="716"/>
      <c r="J2" s="716"/>
      <c r="K2" s="716"/>
    </row>
    <row r="3" ht="18" customHeight="1" spans="1:33">
      <c r="A3" s="420" t="s">
        <v>1268</v>
      </c>
      <c r="B3" s="606">
        <f ca="1">ROUND(B2*10000/IF(C1="",'数据-汇总表'!E3,INDIRECT("'数据-取费表'!K"&amp;$K$1)),0)</f>
        <v>-5675</v>
      </c>
      <c r="C3" s="719" t="s">
        <v>2230</v>
      </c>
      <c r="D3" s="719"/>
      <c r="E3" s="716"/>
      <c r="F3" s="716"/>
      <c r="G3" s="716"/>
      <c r="H3" s="716"/>
      <c r="I3" s="716"/>
      <c r="J3" s="716"/>
      <c r="K3" s="716"/>
    </row>
    <row r="4" ht="18" customHeight="1" spans="1:33">
      <c r="A4" s="607" t="s">
        <v>2176</v>
      </c>
      <c r="B4" s="604">
        <f ca="1">ROUND(B2*10000/IF(C1="",'数据-汇总表'!D3,INDIRECT("'数据-取费表'!R"&amp;$K$1)),0)</f>
        <v>-17600</v>
      </c>
      <c r="C4" s="720" t="s">
        <v>1694</v>
      </c>
      <c r="D4" s="719"/>
      <c r="E4" s="716"/>
      <c r="F4" s="716"/>
      <c r="G4" s="716"/>
      <c r="H4" s="716"/>
      <c r="I4" s="716"/>
      <c r="J4" s="716"/>
      <c r="K4" s="716"/>
    </row>
    <row r="5" ht="18" customHeight="1" spans="1:33">
      <c r="A5" s="416"/>
      <c r="B5" s="608">
        <f ca="1">ROUND(B2/(IF(C1="",'数据-汇总表'!D3,INDIRECT("'数据-取费表'!R"&amp;$K$1))/666.67),0)</f>
        <v>-1173</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22647</v>
      </c>
      <c r="D15" s="763"/>
      <c r="E15" s="764"/>
      <c r="F15" s="765"/>
      <c r="G15" s="766" t="s">
        <v>1776</v>
      </c>
      <c r="H15" s="767"/>
      <c r="I15" s="767"/>
      <c r="J15" s="767"/>
      <c r="K15" s="768"/>
    </row>
    <row r="16" s="706" customFormat="1" ht="13.5" customHeight="1" spans="1:33">
      <c r="A16" s="769" t="s">
        <v>2408</v>
      </c>
      <c r="B16" s="770" t="s">
        <v>1758</v>
      </c>
      <c r="C16" s="771">
        <f ca="1">SUM(C17:C22)</f>
        <v>21693</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19155</v>
      </c>
      <c r="D17" s="777"/>
      <c r="E17" s="778"/>
      <c r="F17" s="779"/>
      <c r="G17" s="780"/>
      <c r="H17" s="758"/>
      <c r="I17" s="758"/>
      <c r="J17" s="758"/>
      <c r="K17" s="759"/>
    </row>
    <row r="18" s="706" customFormat="1" ht="13.5" customHeight="1" spans="1:33">
      <c r="A18" s="774" t="s">
        <v>2512</v>
      </c>
      <c r="B18" s="781" t="s">
        <v>1711</v>
      </c>
      <c r="C18" s="776">
        <f ca="1">ROUND(C17*F18,0)</f>
        <v>1149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1197</v>
      </c>
      <c r="D20" s="786">
        <f ca="1">IF(C1="",'数据-汇总表'!E3,INDIRECT("'数据-取费表'!K"&amp;$K$1)+INDIRECT("'数据-取费表'!S"&amp;$K$1))</f>
        <v>39905.31</v>
      </c>
      <c r="E20" s="787">
        <f>'数据-取费表'!B35</f>
        <v>300</v>
      </c>
      <c r="F20" s="786"/>
      <c r="G20" s="785"/>
      <c r="H20" s="758"/>
      <c r="I20" s="758"/>
      <c r="J20" s="767"/>
      <c r="K20" s="768"/>
    </row>
    <row r="21" s="706" customFormat="1" ht="13.5" customHeight="1" spans="1:33">
      <c r="A21" s="774" t="s">
        <v>2516</v>
      </c>
      <c r="B21" s="788" t="s">
        <v>1725</v>
      </c>
      <c r="C21" s="776">
        <f ca="1">ROUND(C17*F21,0)</f>
        <v>192</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651</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699+0.0009V建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699</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2681+0.0036V建</v>
      </c>
      <c r="D28" s="804"/>
      <c r="E28" s="804"/>
      <c r="F28" s="805">
        <f ca="1">IF(C1="",'数据-取费表'!Q16,INDIRECT("'数据-取费表'!q"&amp;$K$1))</f>
        <v>0.12</v>
      </c>
      <c r="G28" s="806" t="s">
        <v>2526</v>
      </c>
      <c r="H28" s="758"/>
      <c r="I28" s="758"/>
      <c r="J28" s="758"/>
      <c r="K28" s="759"/>
    </row>
    <row r="29" s="706" customFormat="1" ht="13.5" customHeight="1" spans="1:33">
      <c r="A29" s="774" t="s">
        <v>2511</v>
      </c>
      <c r="B29" s="788" t="s">
        <v>2527</v>
      </c>
      <c r="C29" s="807">
        <f ca="1">ROUND((C16+C23)*F28,0)</f>
        <v>2681</v>
      </c>
      <c r="D29" s="804"/>
      <c r="E29" s="804"/>
      <c r="F29" s="808"/>
      <c r="G29" s="806"/>
      <c r="H29" s="809"/>
      <c r="I29" s="809"/>
      <c r="J29" s="809"/>
      <c r="K29" s="810"/>
    </row>
    <row r="30" s="708" customFormat="1" ht="13.5" customHeight="1" spans="1:33">
      <c r="A30" s="774" t="s">
        <v>2512</v>
      </c>
      <c r="B30" s="788" t="s">
        <v>2528</v>
      </c>
      <c r="C30" s="776">
        <f ca="1">ROUND(F24*F28,4)</f>
        <v>0.0036</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26643</v>
      </c>
      <c r="D32" s="813"/>
      <c r="E32" s="814"/>
      <c r="F32" s="786"/>
      <c r="G32" s="816" t="s">
        <v>1772</v>
      </c>
      <c r="H32" s="817"/>
      <c r="I32" s="817"/>
      <c r="J32" s="817"/>
      <c r="K32" s="818"/>
    </row>
    <row r="33" s="709" customFormat="1" ht="13.5" customHeight="1" spans="1:11">
      <c r="A33" s="769" t="s">
        <v>1588</v>
      </c>
      <c r="B33" s="819" t="s">
        <v>1550</v>
      </c>
      <c r="C33" s="820">
        <f ca="1">ROUND(C32*(1-F33),0)</f>
        <v>3996</v>
      </c>
      <c r="D33" s="821"/>
      <c r="E33" s="801"/>
      <c r="F33" s="793">
        <f>IF('数据-取费表'!B24=0,'数据-取费表'!N16,1)</f>
        <v>0.85</v>
      </c>
      <c r="G33" s="766" t="s">
        <v>1773</v>
      </c>
      <c r="H33" s="809"/>
      <c r="I33" s="809"/>
      <c r="J33" s="809"/>
      <c r="K33" s="810"/>
    </row>
    <row r="34" s="705" customFormat="1" ht="15.75" spans="1:11">
      <c r="A34" s="822">
        <v>4</v>
      </c>
      <c r="B34" s="823" t="s">
        <v>2530</v>
      </c>
      <c r="C34" s="824">
        <f ca="1">C13-C15</f>
        <v>-22647</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1926</v>
      </c>
      <c r="C2" s="416" t="s">
        <v>1267</v>
      </c>
      <c r="D2" s="416"/>
      <c r="E2" s="605"/>
      <c r="F2" s="416"/>
      <c r="G2" s="416"/>
    </row>
    <row r="3" s="405" customFormat="1" ht="15.75" spans="1:7">
      <c r="A3" s="420" t="s">
        <v>1268</v>
      </c>
      <c r="B3" s="606">
        <f ca="1">ROUND(B2*10000/(IF(C1="",'数据-汇总表'!E3,INDIRECT("'数据-取费表'!k"&amp;$G$1))),0)</f>
        <v>483</v>
      </c>
      <c r="C3" s="416" t="s">
        <v>1694</v>
      </c>
      <c r="D3" s="416"/>
      <c r="E3" s="605"/>
      <c r="F3" s="416"/>
      <c r="G3" s="416"/>
    </row>
    <row r="4" s="405" customFormat="1" ht="15.75" spans="1:7">
      <c r="A4" s="607" t="s">
        <v>2176</v>
      </c>
      <c r="B4" s="604">
        <f ca="1">ROUND(B2*10000/'数据-汇总表'!D3,0)</f>
        <v>1497</v>
      </c>
      <c r="C4" s="417" t="s">
        <v>1694</v>
      </c>
      <c r="D4" s="416"/>
      <c r="E4" s="605"/>
      <c r="F4" s="416"/>
      <c r="G4" s="416"/>
    </row>
    <row r="5" s="405" customFormat="1" ht="16.5" spans="1:7">
      <c r="A5" s="416"/>
      <c r="B5" s="608">
        <f ca="1">ROUND(B2/('数据-汇总表'!D3/666.67),0)</f>
        <v>100</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1915</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798</v>
      </c>
      <c r="D23" s="665">
        <f ca="1">IF(C1="",'数据-汇总表'!E6,IF(INDIRECT("'数据-取费表'!c"&amp;$G$1)="住宅",INDIRECT("'数据-取费表'!s"&amp;$G$1),INDIRECT("'数据-取费表'!k"&amp;$G$1)+INDIRECT("'数据-取费表'!s"&amp;$G$1)))</f>
        <v>39905.31</v>
      </c>
      <c r="E23" s="665">
        <f>'数据-取费表'!B28</f>
        <v>200</v>
      </c>
      <c r="F23" s="644"/>
      <c r="G23" s="669"/>
    </row>
    <row r="24" s="407" customFormat="1" ht="13.5" spans="1:9">
      <c r="A24" s="631" t="s">
        <v>1707</v>
      </c>
      <c r="B24" s="670" t="s">
        <v>1808</v>
      </c>
      <c r="C24" s="623">
        <f ca="1">IF(G24="已包含在土地取得成本中","0",ROUND(D24*E24/10000,0))</f>
        <v>718</v>
      </c>
      <c r="D24" s="671">
        <f ca="1">D22+D23</f>
        <v>39905.31</v>
      </c>
      <c r="E24" s="671">
        <f>'数据-取费表'!B31</f>
        <v>180</v>
      </c>
      <c r="F24" s="672"/>
      <c r="G24" s="661"/>
    </row>
    <row r="25" s="407" customFormat="1" ht="13.5" spans="1:9">
      <c r="A25" s="631" t="s">
        <v>2368</v>
      </c>
      <c r="B25" s="670" t="s">
        <v>2550</v>
      </c>
      <c r="C25" s="623">
        <f ca="1">ROUND(E25*D25/10000,0)</f>
        <v>1197</v>
      </c>
      <c r="D25" s="671">
        <f ca="1">D24</f>
        <v>39905.31</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230</v>
      </c>
      <c r="D30" s="681"/>
      <c r="E30" s="682"/>
      <c r="F30" s="686">
        <f ca="1">IF(C1="",'数据-取费表'!Q16,INDIRECT("'数据-取费表'!q"&amp;$G$1))</f>
        <v>0.12</v>
      </c>
      <c r="G30" s="684"/>
    </row>
    <row r="31" s="407" customFormat="1" ht="15.75" spans="1:9">
      <c r="A31" s="687" t="s">
        <v>1539</v>
      </c>
      <c r="B31" s="617" t="s">
        <v>2556</v>
      </c>
      <c r="C31" s="618">
        <f ca="1">C7+C20+C29+C30</f>
        <v>2145</v>
      </c>
      <c r="D31" s="688"/>
      <c r="E31" s="688"/>
      <c r="F31" s="689"/>
      <c r="G31" s="690" t="s">
        <v>2557</v>
      </c>
    </row>
    <row r="32" s="407" customFormat="1" ht="15.75" spans="1:9">
      <c r="A32" s="687" t="s">
        <v>2558</v>
      </c>
      <c r="B32" s="617" t="s">
        <v>2559</v>
      </c>
      <c r="C32" s="691">
        <f ca="1">ROUND(C31*F32,0)</f>
        <v>215</v>
      </c>
      <c r="D32" s="453"/>
      <c r="E32" s="454"/>
      <c r="F32" s="692">
        <v>0.1</v>
      </c>
      <c r="G32" s="693"/>
    </row>
    <row r="33" s="407" customFormat="1" ht="15.75" spans="1:7">
      <c r="A33" s="694">
        <v>8</v>
      </c>
      <c r="B33" s="617" t="s">
        <v>2560</v>
      </c>
      <c r="C33" s="618">
        <f ca="1">C31+C32</f>
        <v>2360</v>
      </c>
      <c r="D33" s="688"/>
      <c r="E33" s="688"/>
      <c r="F33" s="695"/>
      <c r="G33" s="690" t="s">
        <v>2561</v>
      </c>
    </row>
    <row r="34" s="408" customFormat="1" ht="16.5" spans="1:7">
      <c r="A34" s="696">
        <v>9</v>
      </c>
      <c r="B34" s="697" t="s">
        <v>2562</v>
      </c>
      <c r="C34" s="618">
        <f ca="1">ROUND(C33*F34,0)</f>
        <v>1926</v>
      </c>
      <c r="D34" s="698"/>
      <c r="E34" s="698"/>
      <c r="F34" s="699">
        <f>'数据-取费表'!AS16</f>
        <v>0.816</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49555</v>
      </c>
      <c r="C2" s="419" t="s">
        <v>1921</v>
      </c>
      <c r="D2" s="416"/>
      <c r="E2" s="416"/>
      <c r="F2" s="416"/>
      <c r="G2" s="416"/>
    </row>
    <row r="3" s="405" customFormat="1" ht="18" customHeight="1" spans="1:7">
      <c r="A3" s="420" t="s">
        <v>2772</v>
      </c>
      <c r="B3" s="421">
        <f ca="1">ROUND(B2*10000/'数据-汇总表'!E3,0)</f>
        <v>12418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798</v>
      </c>
      <c r="D10" s="443">
        <f>'数据-汇总表'!E6</f>
        <v>39905.31</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718</v>
      </c>
      <c r="D19" s="428">
        <f>'数据-汇总表'!E3</f>
        <v>39905.31</v>
      </c>
      <c r="E19" s="427">
        <f>'数据-取费表'!B31</f>
        <v>180</v>
      </c>
      <c r="F19" s="449"/>
      <c r="G19" s="439" t="s">
        <v>2794</v>
      </c>
    </row>
    <row r="20" s="407" customFormat="1" ht="13.5" customHeight="1" spans="1:7">
      <c r="A20" s="448" t="s">
        <v>2368</v>
      </c>
      <c r="B20" s="426" t="s">
        <v>2795</v>
      </c>
      <c r="C20" s="450">
        <f>ROUND((C5+C19)*F20,0)</f>
        <v>640</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1376</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46</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2636</v>
      </c>
      <c r="D27" s="453">
        <f>C29</f>
        <v>0.0036</v>
      </c>
      <c r="E27" s="454" t="s">
        <v>2798</v>
      </c>
      <c r="F27" s="468">
        <f>'数据-取费表'!Q16</f>
        <v>0.12</v>
      </c>
      <c r="G27" s="469" t="s">
        <v>2809</v>
      </c>
    </row>
    <row r="28" s="407" customFormat="1" ht="13.5" customHeight="1" spans="1:7">
      <c r="A28" s="458" t="s">
        <v>1703</v>
      </c>
      <c r="B28" s="470" t="s">
        <v>2810</v>
      </c>
      <c r="C28" s="471">
        <f>ROUND((C5+C19+C20)*F27*'数据-取费表'!B21/'数据-取费表'!B20,0)</f>
        <v>2636</v>
      </c>
      <c r="D28" s="453"/>
      <c r="E28" s="454"/>
      <c r="F28" s="468"/>
      <c r="G28" s="469"/>
    </row>
    <row r="29" s="407" customFormat="1" ht="13.5" customHeight="1" spans="1:7">
      <c r="A29" s="458" t="s">
        <v>1705</v>
      </c>
      <c r="B29" s="470" t="s">
        <v>2811</v>
      </c>
      <c r="C29" s="460">
        <f>ROUND(C21*F27*'数据-取费表'!B21/'数据-取费表'!B20,4)</f>
        <v>0.0036</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26908</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21693</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19155</v>
      </c>
      <c r="D34" s="433"/>
      <c r="E34" s="436"/>
      <c r="F34" s="479">
        <f>IF('数据-取费表'!B24=0,1,'数据-取费表'!N16)</f>
        <v>1</v>
      </c>
      <c r="G34" s="435" t="s">
        <v>2820</v>
      </c>
    </row>
    <row r="35" ht="13.5" customHeight="1" spans="1:7">
      <c r="A35" s="458" t="s">
        <v>1705</v>
      </c>
      <c r="B35" s="431" t="s">
        <v>2821</v>
      </c>
      <c r="C35" s="436">
        <f>ROUND(C34*F35,0)</f>
        <v>1149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1197</v>
      </c>
      <c r="D37" s="433">
        <f>'数据-汇总表'!E3</f>
        <v>39905.31</v>
      </c>
      <c r="E37" s="471">
        <f>'数据-取费表'!B35</f>
        <v>300</v>
      </c>
      <c r="F37" s="480"/>
      <c r="G37" s="482" t="s">
        <v>2826</v>
      </c>
    </row>
    <row r="38" ht="13.5" customHeight="1" spans="1:7">
      <c r="A38" s="458" t="s">
        <v>1724</v>
      </c>
      <c r="B38" s="431" t="s">
        <v>2785</v>
      </c>
      <c r="C38" s="436">
        <f>ROUND(C34*F38,0)</f>
        <v>192</v>
      </c>
      <c r="D38" s="436"/>
      <c r="E38" s="436"/>
      <c r="F38" s="480">
        <f>'数据-取费表'!B36</f>
        <v>0.01</v>
      </c>
      <c r="G38" s="435" t="s">
        <v>2822</v>
      </c>
    </row>
    <row r="39" s="407" customFormat="1" ht="13.5" customHeight="1" spans="1:7">
      <c r="A39" s="448" t="s">
        <v>1707</v>
      </c>
      <c r="B39" s="426" t="s">
        <v>2795</v>
      </c>
      <c r="C39" s="450">
        <f>ROUND(C33*F20,0)</f>
        <v>651</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699</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679</v>
      </c>
      <c r="D42" s="460"/>
      <c r="E42" s="460"/>
      <c r="F42" s="461"/>
      <c r="G42" s="484" t="s">
        <v>2829</v>
      </c>
    </row>
    <row r="43" ht="13.5" customHeight="1" spans="1:7">
      <c r="A43" s="458" t="s">
        <v>1705</v>
      </c>
      <c r="B43" s="431" t="s">
        <v>2803</v>
      </c>
      <c r="C43" s="460">
        <f ca="1">ROUND(IF('数据-取费表'!B22&lt;=1,C39*F22*'数据-取费表'!B21/2,C39*(POWER((1+F22),'数据-取费表'!B21/2)-1)),0)</f>
        <v>20</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2681</v>
      </c>
      <c r="D45" s="453">
        <f>C47</f>
        <v>0.0036</v>
      </c>
      <c r="E45" s="454" t="s">
        <v>2827</v>
      </c>
      <c r="F45" s="468"/>
      <c r="G45" s="469" t="s">
        <v>2830</v>
      </c>
    </row>
    <row r="46" s="407" customFormat="1" ht="13.5" customHeight="1" spans="1:7">
      <c r="A46" s="458" t="s">
        <v>1703</v>
      </c>
      <c r="B46" s="470" t="s">
        <v>2831</v>
      </c>
      <c r="C46" s="471">
        <f>ROUND((C33+C39)*F27,0)</f>
        <v>2681</v>
      </c>
      <c r="D46" s="487"/>
      <c r="E46" s="454"/>
      <c r="F46" s="468"/>
      <c r="G46" s="469"/>
    </row>
    <row r="47" s="407" customFormat="1" ht="13.5" customHeight="1" spans="1:7">
      <c r="A47" s="458" t="s">
        <v>1705</v>
      </c>
      <c r="B47" s="470" t="s">
        <v>2832</v>
      </c>
      <c r="C47" s="460">
        <f>ROUND(C40*F27,4)</f>
        <v>0.0036</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26643</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22647</v>
      </c>
      <c r="D51" s="450"/>
      <c r="E51" s="450"/>
      <c r="F51" s="488"/>
      <c r="G51" s="455" t="s">
        <v>2840</v>
      </c>
    </row>
    <row r="52" s="406" customFormat="1" ht="16.5" spans="1:7">
      <c r="A52" s="489" t="s">
        <v>2841</v>
      </c>
      <c r="B52" s="490"/>
      <c r="C52" s="491">
        <f ca="1">C31+C51</f>
        <v>49555</v>
      </c>
      <c r="D52" s="490"/>
      <c r="E52" s="490"/>
      <c r="F52" s="490"/>
      <c r="G52" s="492"/>
    </row>
    <row r="55" ht="15" spans="1:7">
      <c r="B55" s="493" t="s">
        <v>2842</v>
      </c>
      <c r="C55" s="494"/>
    </row>
    <row r="56" spans="1:7">
      <c r="B56" s="495" t="s">
        <v>2843</v>
      </c>
      <c r="C56" s="496">
        <f ca="1">ROUND(C51/C52,3)</f>
        <v>0.457</v>
      </c>
    </row>
    <row r="57" spans="1:7">
      <c r="B57" s="495" t="s">
        <v>2844</v>
      </c>
      <c r="C57" s="497">
        <f ca="1">1-C56</f>
        <v>0.543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39905.31</v>
      </c>
      <c r="C4" s="4724">
        <f>项目基本情况!C18</f>
        <v>12867.86</v>
      </c>
      <c r="D4" s="4724">
        <f ca="1">结果表!D118</f>
        <v>70427</v>
      </c>
      <c r="E4" s="4724">
        <f ca="1">结果表!E118</f>
        <v>17649</v>
      </c>
      <c r="F4" s="4724">
        <f ca="1">结果表!F118</f>
        <v>39101</v>
      </c>
      <c r="G4" s="4724">
        <f ca="1">结果表!G118</f>
        <v>9798</v>
      </c>
      <c r="H4" s="4724">
        <f ca="1">结果表!H118</f>
        <v>109528</v>
      </c>
      <c r="I4" s="4724">
        <f ca="1">结果表!I118</f>
        <v>27447</v>
      </c>
    </row>
    <row r="5" ht="30" customHeight="1" spans="1:9">
      <c r="A5" s="4724" t="s">
        <v>112</v>
      </c>
      <c r="B5" s="4724"/>
      <c r="C5" s="4724"/>
      <c r="D5" s="4724" t="str">
        <f ca="1">结果表!D119</f>
        <v>柒亿零肆佰贰拾柒万元整</v>
      </c>
      <c r="E5" s="4724"/>
      <c r="F5" s="4724" t="str">
        <f ca="1">结果表!F119</f>
        <v>叁亿玖仟壹佰零壹万元整</v>
      </c>
      <c r="G5" s="4724"/>
      <c r="H5" s="4724" t="str">
        <f ca="1">结果表!H119</f>
        <v>壹拾亿玖仟伍佰贰拾捌万元整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109528</v>
      </c>
      <c r="E8" s="4726"/>
      <c r="F8" s="4726"/>
      <c r="G8" s="4726"/>
      <c r="H8" s="4726"/>
      <c r="I8" s="4726"/>
    </row>
    <row r="9" ht="15" spans="1:9">
      <c r="A9" s="4724" t="s">
        <v>112</v>
      </c>
      <c r="B9" s="4724"/>
      <c r="C9" s="4724"/>
      <c r="D9" s="4724" t="str">
        <f ca="1">结果表!H123</f>
        <v>壹拾亿玖仟伍佰贰拾捌万元整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3227</v>
      </c>
      <c r="B1" s="360"/>
      <c r="C1" s="360"/>
      <c r="D1" s="360"/>
      <c r="E1" s="360"/>
      <c r="F1" s="361"/>
    </row>
    <row r="2" spans="1:6">
      <c r="A2" s="362" t="s">
        <v>3228</v>
      </c>
      <c r="B2" s="363"/>
      <c r="C2" s="363"/>
      <c r="D2" s="363"/>
      <c r="E2" s="363"/>
      <c r="F2" s="363"/>
    </row>
    <row r="3"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46092</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2026-03-11T14:14:38Z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