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18" i="77" l="1"/>
  <c r="H118" i="77"/>
  <c r="U35" i="31"/>
  <c r="F20" i="6" l="1"/>
  <c r="I14" i="3"/>
  <c r="A3" i="3"/>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L4" i="79"/>
  <c r="K4" i="79"/>
  <c r="A2" i="79"/>
  <c r="H1" i="79"/>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24" i="31"/>
  <c r="I48" i="34"/>
  <c r="G48" i="34"/>
  <c r="E48" i="34"/>
  <c r="I34" i="34"/>
  <c r="G34" i="34"/>
  <c r="E34" i="34"/>
  <c r="C34" i="34"/>
  <c r="I5" i="34"/>
  <c r="G5" i="34"/>
  <c r="E5" i="34"/>
  <c r="D3" i="78"/>
  <c r="D2" i="78"/>
  <c r="D1" i="78"/>
  <c r="C18" i="79" l="1"/>
  <c r="D18" i="79" s="1"/>
  <c r="C74" i="79"/>
  <c r="C92" i="79"/>
  <c r="C94" i="79"/>
  <c r="K120" i="79"/>
  <c r="D121" i="79"/>
  <c r="H109" i="79"/>
  <c r="Y6" i="1"/>
  <c r="N6" i="1"/>
  <c r="F19" i="6"/>
  <c r="E113"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2" i="77"/>
  <c r="I13" i="3"/>
  <c r="D114" i="77"/>
  <c r="D124" i="79" l="1"/>
  <c r="D125" i="79" s="1"/>
  <c r="H110" i="79"/>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N57" i="71" s="1"/>
  <c r="D55" i="71"/>
  <c r="Q54" i="71"/>
  <c r="P54" i="71"/>
  <c r="O54" i="71"/>
  <c r="N54" i="71"/>
  <c r="Q53" i="71"/>
  <c r="P53" i="71"/>
  <c r="O53" i="71"/>
  <c r="N53" i="71"/>
  <c r="Q52" i="71"/>
  <c r="P52" i="71"/>
  <c r="O52" i="71"/>
  <c r="C53" i="71" s="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s="1"/>
  <c r="C45"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C41"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P24" i="71"/>
  <c r="O24" i="71"/>
  <c r="Y24" i="71"/>
  <c r="Z24" i="71" s="1"/>
  <c r="N24" i="71"/>
  <c r="X24" i="71" s="1"/>
  <c r="Q23" i="71"/>
  <c r="F24" i="71" s="1"/>
  <c r="F25" i="71" s="1"/>
  <c r="F26" i="71" s="1"/>
  <c r="V26" i="71" s="1"/>
  <c r="P23" i="71"/>
  <c r="E24" i="71" s="1"/>
  <c r="E25" i="71" s="1"/>
  <c r="E26" i="71" s="1"/>
  <c r="U26" i="71" s="1"/>
  <c r="O23" i="71"/>
  <c r="N23" i="71"/>
  <c r="D23" i="71"/>
  <c r="Q22" i="71"/>
  <c r="AB22" i="71" s="1"/>
  <c r="P22" i="71"/>
  <c r="O22" i="71"/>
  <c r="Y22" i="71"/>
  <c r="Z22" i="71" s="1"/>
  <c r="N22" i="71"/>
  <c r="X19" i="71" s="1"/>
  <c r="Q21" i="71"/>
  <c r="AB21" i="71"/>
  <c r="P21" i="71"/>
  <c r="O21" i="71"/>
  <c r="Y21" i="71" s="1"/>
  <c r="Z21" i="71" s="1"/>
  <c r="N21" i="71"/>
  <c r="Q20" i="71"/>
  <c r="P20" i="71"/>
  <c r="AA20" i="71" s="1"/>
  <c r="O20" i="71"/>
  <c r="Y20" i="71"/>
  <c r="Z20" i="71" s="1"/>
  <c r="N20" i="71"/>
  <c r="Q19" i="71"/>
  <c r="F20" i="71" s="1"/>
  <c r="F21" i="71" s="1"/>
  <c r="F22" i="71" s="1"/>
  <c r="V22" i="71" s="1"/>
  <c r="P19" i="71"/>
  <c r="O19" i="71"/>
  <c r="N19" i="71"/>
  <c r="D19" i="71"/>
  <c r="O18" i="71"/>
  <c r="N18" i="71"/>
  <c r="B20" i="71"/>
  <c r="B21" i="71" s="1"/>
  <c r="B22" i="71"/>
  <c r="S22" i="71" s="1"/>
  <c r="B24" i="71"/>
  <c r="B25" i="71" s="1"/>
  <c r="B26" i="71" s="1"/>
  <c r="S26" i="71" s="1"/>
  <c r="X23" i="71"/>
  <c r="E28" i="71"/>
  <c r="N58" i="71"/>
  <c r="C20" i="71"/>
  <c r="AB19" i="71"/>
  <c r="AA21" i="71"/>
  <c r="C24" i="71"/>
  <c r="C25" i="71"/>
  <c r="X25" i="71"/>
  <c r="X26" i="71"/>
  <c r="C28" i="71"/>
  <c r="D28" i="71" s="1"/>
  <c r="Y27" i="71"/>
  <c r="Z27" i="71"/>
  <c r="AB27" i="71"/>
  <c r="X28" i="71"/>
  <c r="F41" i="71"/>
  <c r="F42" i="71" s="1"/>
  <c r="V42" i="71" s="1"/>
  <c r="C18" i="71"/>
  <c r="Y15" i="71"/>
  <c r="Z15" i="71" s="1"/>
  <c r="Y16" i="71"/>
  <c r="Z16" i="71" s="1"/>
  <c r="Y17" i="71"/>
  <c r="Z17" i="71" s="1"/>
  <c r="Y18" i="71"/>
  <c r="Z18" i="71" s="1"/>
  <c r="B18" i="71"/>
  <c r="B17" i="71" s="1"/>
  <c r="B16" i="71" s="1"/>
  <c r="X16" i="71"/>
  <c r="X18" i="71"/>
  <c r="C21" i="71"/>
  <c r="D20" i="71"/>
  <c r="D24" i="71"/>
  <c r="C29" i="71"/>
  <c r="C30" i="71" s="1"/>
  <c r="C33" i="71"/>
  <c r="C34" i="71" s="1"/>
  <c r="C37" i="71"/>
  <c r="D37" i="71" s="1"/>
  <c r="D36" i="71"/>
  <c r="D40" i="71"/>
  <c r="P18" i="71"/>
  <c r="E45" i="71"/>
  <c r="E46" i="71" s="1"/>
  <c r="U46" i="71" s="1"/>
  <c r="E53" i="71"/>
  <c r="E54" i="71" s="1"/>
  <c r="U54" i="71" s="1"/>
  <c r="U58" i="71"/>
  <c r="E57" i="71"/>
  <c r="Q18" i="71"/>
  <c r="AB15" i="71" s="1"/>
  <c r="D44" i="71"/>
  <c r="D48" i="71"/>
  <c r="D52"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F18" i="71"/>
  <c r="F17" i="71" s="1"/>
  <c r="F16" i="71" s="1"/>
  <c r="AB16" i="71"/>
  <c r="AB18" i="71"/>
  <c r="E18" i="71"/>
  <c r="E17" i="71"/>
  <c r="E16" i="71" s="1"/>
  <c r="AA3" i="71"/>
  <c r="AA16" i="71"/>
  <c r="AA18" i="71"/>
  <c r="D18" i="71"/>
  <c r="U18" i="71"/>
  <c r="C56" i="71"/>
  <c r="O57" i="71"/>
  <c r="D57" i="71"/>
  <c r="D73" i="71"/>
  <c r="C72" i="71"/>
  <c r="D72" i="71"/>
  <c r="D65" i="71"/>
  <c r="C64" i="71"/>
  <c r="D64" i="71" s="1"/>
  <c r="N55" i="71"/>
  <c r="D77" i="71"/>
  <c r="D69" i="71"/>
  <c r="C68" i="71"/>
  <c r="D68" i="71" s="1"/>
  <c r="D61" i="71"/>
  <c r="C60" i="71"/>
  <c r="D60" i="71"/>
  <c r="P57" i="71"/>
  <c r="E56" i="71"/>
  <c r="P55" i="71" s="1"/>
  <c r="D33" i="71"/>
  <c r="D29" i="71"/>
  <c r="C26" i="71"/>
  <c r="D25" i="71"/>
  <c r="D21" i="71"/>
  <c r="V18" i="71"/>
  <c r="P56" i="71"/>
  <c r="O56" i="71"/>
  <c r="D56" i="71"/>
  <c r="O55" i="71"/>
  <c r="T26"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F94" i="40"/>
  <c r="H25" i="40"/>
  <c r="G94" i="40"/>
  <c r="J25" i="40"/>
  <c r="F103" i="39"/>
  <c r="H29" i="39"/>
  <c r="G103" i="39"/>
  <c r="J29" i="39"/>
  <c r="J18" i="36"/>
  <c r="F68" i="35"/>
  <c r="H18" i="35"/>
  <c r="S18" i="35"/>
  <c r="G68" i="35"/>
  <c r="J18" i="35"/>
  <c r="H21" i="37"/>
  <c r="F21" i="37"/>
  <c r="H21" i="34"/>
  <c r="AB21" i="34" s="1"/>
  <c r="H21" i="33"/>
  <c r="U21" i="33" s="1"/>
  <c r="F21" i="33"/>
  <c r="E83" i="21"/>
  <c r="F83" i="21" s="1"/>
  <c r="G83" i="21" s="1"/>
  <c r="S21" i="21"/>
  <c r="H1" i="69"/>
  <c r="AC25" i="40"/>
  <c r="W25" i="40"/>
  <c r="AB25" i="40"/>
  <c r="U25" i="40"/>
  <c r="AB29" i="39"/>
  <c r="U29" i="39"/>
  <c r="AC29" i="39"/>
  <c r="W29" i="39"/>
  <c r="AC18" i="36"/>
  <c r="W18" i="36"/>
  <c r="AB21" i="37"/>
  <c r="U21" i="37"/>
  <c r="AA21" i="37"/>
  <c r="S21" i="37"/>
  <c r="U21" i="34"/>
  <c r="AB21" i="33"/>
  <c r="AA21" i="33"/>
  <c r="S21" i="33"/>
  <c r="AB18" i="35"/>
  <c r="U18" i="35"/>
  <c r="AC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H17" i="34"/>
  <c r="U17" i="34" s="1"/>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13" i="12" s="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U44" i="34"/>
  <c r="U43" i="34"/>
  <c r="W41" i="34"/>
  <c r="AC42" i="34"/>
  <c r="U39" i="34"/>
  <c r="S43" i="34"/>
  <c r="AB41" i="34"/>
  <c r="AA45" i="34"/>
  <c r="W34" i="34"/>
  <c r="AA25" i="34"/>
  <c r="U28" i="34"/>
  <c r="AA29" i="34"/>
  <c r="S23" i="34"/>
  <c r="S10" i="34"/>
  <c r="S13"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E10" i="6"/>
  <c r="BA5" i="3"/>
  <c r="E11" i="6"/>
  <c r="E61" i="39" s="1"/>
  <c r="BL17" i="3"/>
  <c r="AZ17" i="3" s="1"/>
  <c r="BL13" i="3"/>
  <c r="E65" i="39"/>
  <c r="J56" i="9"/>
  <c r="J57" i="9" s="1"/>
  <c r="J59" i="9" s="1"/>
  <c r="A24" i="51"/>
  <c r="B18" i="72" s="1"/>
  <c r="U29" i="34"/>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2" i="43" s="1"/>
  <c r="G22" i="43"/>
  <c r="E32" i="6"/>
  <c r="L19" i="6"/>
  <c r="G1" i="68"/>
  <c r="K1" i="12"/>
  <c r="N103" i="43"/>
  <c r="N106" i="43"/>
  <c r="J107" i="43"/>
  <c r="J103" i="43"/>
  <c r="J102" i="43"/>
  <c r="F107" i="43"/>
  <c r="F106" i="43"/>
  <c r="C105"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F103" i="43"/>
  <c r="F105" i="43"/>
  <c r="J106" i="43"/>
  <c r="N104" i="43"/>
  <c r="N107" i="43"/>
  <c r="AR12" i="1"/>
  <c r="AQ12" i="1"/>
  <c r="T12" i="1"/>
  <c r="AR10" i="1"/>
  <c r="E19" i="69"/>
  <c r="E19" i="68"/>
  <c r="E19" i="11"/>
  <c r="E1" i="73"/>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G17" i="43" s="1"/>
  <c r="C16" i="43" s="1"/>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46" i="34"/>
  <c r="AA46" i="34"/>
  <c r="U32" i="34"/>
  <c r="AB32" i="34"/>
  <c r="U14" i="34"/>
  <c r="AB14" i="34"/>
  <c r="W43"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T11" i="1"/>
  <c r="D9" i="69"/>
  <c r="C9" i="69" s="1"/>
  <c r="D19" i="12"/>
  <c r="C19" i="12" s="1"/>
  <c r="AQ9" i="1"/>
  <c r="AR11" i="1"/>
  <c r="T13" i="1"/>
  <c r="D9" i="68"/>
  <c r="C9" i="68"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J61" i="9"/>
  <c r="M107" i="43"/>
  <c r="I102" i="43"/>
  <c r="I104" i="43"/>
  <c r="I106" i="43"/>
  <c r="I107" i="43"/>
  <c r="I103" i="43"/>
  <c r="I105" i="43"/>
  <c r="D103" i="43"/>
  <c r="D105" i="43"/>
  <c r="D104" i="43"/>
  <c r="D106" i="43"/>
  <c r="D107" i="43"/>
  <c r="D102" i="43"/>
  <c r="L102" i="43"/>
  <c r="L106" i="43"/>
  <c r="L105" i="43"/>
  <c r="L107" i="43"/>
  <c r="L104" i="43"/>
  <c r="L103" i="43"/>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c r="I14" i="74" s="1"/>
  <c r="B8" i="74" s="1"/>
  <c r="D19" i="53"/>
  <c r="D59" i="9"/>
  <c r="M55" i="9" s="1"/>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G52" i="37"/>
  <c r="H52" i="37"/>
  <c r="F48" i="35"/>
  <c r="G48" i="35"/>
  <c r="E46" i="36"/>
  <c r="AB12" i="71"/>
  <c r="X10" i="71"/>
  <c r="X9" i="71"/>
  <c r="AA10" i="71"/>
  <c r="AA9" i="71"/>
  <c r="X13" i="71"/>
  <c r="Y9" i="71"/>
  <c r="Z9" i="71" s="1"/>
  <c r="AB10" i="71"/>
  <c r="AB9" i="71"/>
  <c r="F11" i="71"/>
  <c r="F10" i="71" s="1"/>
  <c r="F9" i="71" s="1"/>
  <c r="F8" i="71" s="1"/>
  <c r="F7" i="71" s="1"/>
  <c r="Y10" i="71"/>
  <c r="Z10" i="71" s="1"/>
  <c r="X3" i="71"/>
  <c r="G20" i="43"/>
  <c r="D70" i="39"/>
  <c r="E68" i="39"/>
  <c r="H59" i="34"/>
  <c r="I59" i="34" s="1"/>
  <c r="J59" i="34" s="1"/>
  <c r="K59" i="34" s="1"/>
  <c r="E41" i="43"/>
  <c r="C41" i="43" s="1"/>
  <c r="C20" i="43"/>
  <c r="F68" i="39"/>
  <c r="E70" i="39"/>
  <c r="G68" i="39"/>
  <c r="F70" i="39"/>
  <c r="C19" i="43"/>
  <c r="H68" i="39"/>
  <c r="H70" i="39" s="1"/>
  <c r="G70" i="39"/>
  <c r="I68" i="39"/>
  <c r="I70" i="39" s="1"/>
  <c r="E9" i="49"/>
  <c r="F7" i="73"/>
  <c r="M8" i="67"/>
  <c r="F13" i="67"/>
  <c r="E2" i="69"/>
  <c r="F43" i="67"/>
  <c r="E13" i="76"/>
  <c r="AO13" i="1"/>
  <c r="D2" i="37"/>
  <c r="F8" i="15"/>
  <c r="M26" i="15"/>
  <c r="M29" i="67"/>
  <c r="F6" i="73"/>
  <c r="B10" i="76"/>
  <c r="F36" i="15"/>
  <c r="D6" i="73"/>
  <c r="D3" i="73"/>
  <c r="F38" i="15"/>
  <c r="D34" i="9"/>
  <c r="B13" i="76"/>
  <c r="F37" i="15"/>
  <c r="AO10" i="1"/>
  <c r="M29" i="15"/>
  <c r="F6" i="15"/>
  <c r="E12" i="76"/>
  <c r="F8" i="67"/>
  <c r="F13" i="15"/>
  <c r="F7" i="15"/>
  <c r="D2" i="34"/>
  <c r="F9" i="67"/>
  <c r="B7" i="76"/>
  <c r="F35" i="15"/>
  <c r="F40" i="67"/>
  <c r="F4" i="73"/>
  <c r="E2" i="68"/>
  <c r="F36" i="67"/>
  <c r="F42" i="67"/>
  <c r="L47" i="67"/>
  <c r="D5" i="73"/>
  <c r="E11" i="76"/>
  <c r="F40" i="15"/>
  <c r="M27" i="15"/>
  <c r="M28" i="15"/>
  <c r="B9" i="76"/>
  <c r="D2" i="36"/>
  <c r="B12" i="76"/>
  <c r="AO11" i="1"/>
  <c r="F5" i="73"/>
  <c r="M9" i="67"/>
  <c r="M22" i="67"/>
  <c r="M23" i="67"/>
  <c r="M24" i="15"/>
  <c r="F16" i="67"/>
  <c r="F38" i="67"/>
  <c r="L48" i="67"/>
  <c r="M24" i="67"/>
  <c r="M28" i="67"/>
  <c r="AO8" i="1"/>
  <c r="F26" i="67"/>
  <c r="D2" i="35"/>
  <c r="M26" i="67"/>
  <c r="M9" i="15"/>
  <c r="D7" i="73"/>
  <c r="D2" i="21"/>
  <c r="E9" i="76"/>
  <c r="M6" i="15"/>
  <c r="M23" i="15"/>
  <c r="E10" i="76"/>
  <c r="AO9" i="1"/>
  <c r="AO7" i="1"/>
  <c r="AO12" i="1"/>
  <c r="D2" i="33"/>
  <c r="F37" i="67"/>
  <c r="E8" i="76"/>
  <c r="F20" i="31"/>
  <c r="F7" i="67"/>
  <c r="F9" i="15"/>
  <c r="F3" i="73"/>
  <c r="J15" i="67"/>
  <c r="F16" i="15"/>
  <c r="M21" i="15"/>
  <c r="L48" i="15"/>
  <c r="F41" i="15"/>
  <c r="C76" i="15"/>
  <c r="F26" i="15"/>
  <c r="E7" i="76"/>
  <c r="M6" i="67"/>
  <c r="C76" i="67"/>
  <c r="D4" i="73"/>
  <c r="D35" i="9"/>
  <c r="J15" i="15"/>
  <c r="L47" i="15"/>
  <c r="F6" i="67"/>
  <c r="B8" i="76"/>
  <c r="B11" i="76"/>
  <c r="M27" i="67"/>
  <c r="F42" i="15"/>
  <c r="M22" i="15"/>
  <c r="F43" i="15"/>
  <c r="M8" i="15"/>
  <c r="B22" i="49" l="1"/>
  <c r="G14" i="3"/>
  <c r="AQ8" i="1"/>
  <c r="F27" i="6"/>
  <c r="E56" i="39"/>
  <c r="E51" i="40"/>
  <c r="E12" i="6"/>
  <c r="E109" i="43"/>
  <c r="AZ14" i="3"/>
  <c r="H105" i="43"/>
  <c r="E104" i="43"/>
  <c r="D5" i="43"/>
  <c r="C5" i="43"/>
  <c r="S9" i="34"/>
  <c r="U34" i="34"/>
  <c r="U27" i="34"/>
  <c r="AC11" i="34"/>
  <c r="AA41" i="34"/>
  <c r="AC39" i="34"/>
  <c r="AC36" i="34"/>
  <c r="AB33" i="34"/>
  <c r="AA33" i="34"/>
  <c r="W37" i="34"/>
  <c r="AB35" i="34"/>
  <c r="S34" i="34"/>
  <c r="AB23" i="34"/>
  <c r="S21" i="34"/>
  <c r="B4" i="49"/>
  <c r="E10" i="49"/>
  <c r="S17" i="34"/>
  <c r="S27" i="34"/>
  <c r="F78" i="34"/>
  <c r="G78" i="34" s="1"/>
  <c r="F15" i="34"/>
  <c r="H15" i="34"/>
  <c r="J15" i="34"/>
  <c r="AB10" i="34"/>
  <c r="AC10" i="34"/>
  <c r="C94" i="9"/>
  <c r="C92" i="9"/>
  <c r="F28" i="15"/>
  <c r="C28" i="15" s="1"/>
  <c r="F31" i="12"/>
  <c r="C31" i="12" s="1"/>
  <c r="D68" i="9"/>
  <c r="M18" i="67"/>
  <c r="F30" i="68"/>
  <c r="C24" i="12"/>
  <c r="C77" i="9"/>
  <c r="C74" i="9" s="1"/>
  <c r="C36" i="11"/>
  <c r="F54" i="9"/>
  <c r="M18" i="15"/>
  <c r="F32" i="15"/>
  <c r="F60" i="15" s="1"/>
  <c r="F30" i="69"/>
  <c r="F32" i="67"/>
  <c r="F60" i="67" s="1"/>
  <c r="F52" i="9"/>
  <c r="F28" i="67"/>
  <c r="C28" i="67" s="1"/>
  <c r="F30" i="11"/>
  <c r="E8" i="49"/>
  <c r="E6" i="49"/>
  <c r="H107" i="43"/>
  <c r="E105" i="43"/>
  <c r="T9" i="1"/>
  <c r="T10" i="1"/>
  <c r="H109" i="43"/>
  <c r="H106" i="43"/>
  <c r="M105" i="43"/>
  <c r="M104" i="43"/>
  <c r="E107" i="43"/>
  <c r="K105" i="43"/>
  <c r="K102" i="43"/>
  <c r="C103" i="43"/>
  <c r="C107" i="43"/>
  <c r="F102" i="43"/>
  <c r="N105" i="43"/>
  <c r="D22" i="43"/>
  <c r="C106" i="43"/>
  <c r="E16" i="6"/>
  <c r="C36" i="69"/>
  <c r="T8" i="1"/>
  <c r="Q16" i="1"/>
  <c r="F28" i="12" s="1"/>
  <c r="C29" i="12" s="1"/>
  <c r="D28" i="12" s="1"/>
  <c r="H104" i="43"/>
  <c r="H103" i="43"/>
  <c r="M103" i="43"/>
  <c r="M106" i="43"/>
  <c r="M102" i="43"/>
  <c r="E103" i="43"/>
  <c r="E106" i="43"/>
  <c r="E59" i="40"/>
  <c r="E56" i="40"/>
  <c r="E27" i="6"/>
  <c r="G30" i="6"/>
  <c r="G31" i="6" s="1"/>
  <c r="E28" i="6"/>
  <c r="O7" i="1"/>
  <c r="H16" i="1"/>
  <c r="F29" i="6"/>
  <c r="C65" i="40"/>
  <c r="D63" i="40"/>
  <c r="D58" i="33"/>
  <c r="E58" i="33" s="1"/>
  <c r="F58" i="33" s="1"/>
  <c r="G58" i="33" s="1"/>
  <c r="H58" i="33" s="1"/>
  <c r="I58" i="33" s="1"/>
  <c r="J58" i="33" s="1"/>
  <c r="K58" i="33" s="1"/>
  <c r="L58" i="33" s="1"/>
  <c r="M58" i="33" s="1"/>
  <c r="N58" i="33" s="1"/>
  <c r="O58" i="33" s="1"/>
  <c r="F7" i="33"/>
  <c r="S7" i="33" s="1"/>
  <c r="J68" i="39"/>
  <c r="T14" i="43"/>
  <c r="V14" i="43" s="1"/>
  <c r="G16" i="1"/>
  <c r="F10" i="39" s="1"/>
  <c r="D17" i="53"/>
  <c r="B36" i="72" s="1"/>
  <c r="T12" i="43"/>
  <c r="V12" i="43" s="1"/>
  <c r="T11" i="43"/>
  <c r="V11" i="43" s="1"/>
  <c r="B4" i="62"/>
  <c r="B71" i="72" s="1"/>
  <c r="H7" i="34"/>
  <c r="L59" i="34"/>
  <c r="M59" i="34" s="1"/>
  <c r="N59" i="34" s="1"/>
  <c r="O59" i="34" s="1"/>
  <c r="J7" i="34"/>
  <c r="P7" i="1"/>
  <c r="H7" i="21"/>
  <c r="H58" i="21"/>
  <c r="I58" i="21" s="1"/>
  <c r="J58" i="21" s="1"/>
  <c r="K58" i="21" s="1"/>
  <c r="L58" i="21" s="1"/>
  <c r="M58" i="21" s="1"/>
  <c r="N58" i="21" s="1"/>
  <c r="O58" i="21" s="1"/>
  <c r="F7" i="21"/>
  <c r="J7" i="21"/>
  <c r="F46" i="36"/>
  <c r="H48" i="35"/>
  <c r="I52" i="37"/>
  <c r="AA7" i="33"/>
  <c r="R48" i="33" s="1"/>
  <c r="D12" i="52"/>
  <c r="D127" i="9"/>
  <c r="D13" i="52" s="1"/>
  <c r="D9" i="53"/>
  <c r="B25" i="72" s="1"/>
  <c r="B24" i="72"/>
  <c r="G5" i="3"/>
  <c r="B3" i="3" s="1"/>
  <c r="F7" i="34"/>
  <c r="K20" i="6"/>
  <c r="K21" i="6"/>
  <c r="M21" i="6" s="1"/>
  <c r="I21" i="6" s="1"/>
  <c r="S21" i="6" s="1"/>
  <c r="K22" i="6"/>
  <c r="M22" i="6" s="1"/>
  <c r="I22" i="6" s="1"/>
  <c r="S22" i="6" s="1"/>
  <c r="K25" i="6"/>
  <c r="M25" i="6" s="1"/>
  <c r="I25" i="6" s="1"/>
  <c r="S25" i="6" s="1"/>
  <c r="K23" i="6"/>
  <c r="M23" i="6" s="1"/>
  <c r="I23" i="6" s="1"/>
  <c r="S23" i="6" s="1"/>
  <c r="O9" i="1"/>
  <c r="P9" i="1" s="1"/>
  <c r="F30" i="6"/>
  <c r="F31" i="6" s="1"/>
  <c r="E29" i="6"/>
  <c r="AZ557" i="3"/>
  <c r="AZ585" i="3"/>
  <c r="AB27" i="36"/>
  <c r="AA39" i="34"/>
  <c r="BL585" i="3"/>
  <c r="J9" i="34"/>
  <c r="H9" i="34"/>
  <c r="AZ431" i="3"/>
  <c r="D113" i="43"/>
  <c r="AA14" i="33"/>
  <c r="AA44" i="33"/>
  <c r="BL586" i="3"/>
  <c r="AZ586" i="3" s="1"/>
  <c r="AZ400" i="3"/>
  <c r="AZ413" i="3"/>
  <c r="AZ424" i="3"/>
  <c r="AZ429" i="3"/>
  <c r="AZ439" i="3"/>
  <c r="AZ444" i="3"/>
  <c r="AZ456" i="3"/>
  <c r="AZ466" i="3"/>
  <c r="AZ472" i="3"/>
  <c r="AZ475" i="3"/>
  <c r="AZ483" i="3"/>
  <c r="AZ489" i="3"/>
  <c r="AZ316" i="3"/>
  <c r="AZ332" i="3"/>
  <c r="AZ397" i="3"/>
  <c r="AZ212" i="3"/>
  <c r="AZ217" i="3"/>
  <c r="AZ220" i="3"/>
  <c r="AZ228" i="3"/>
  <c r="AZ236" i="3"/>
  <c r="AZ252" i="3"/>
  <c r="AZ282" i="3"/>
  <c r="AZ285" i="3"/>
  <c r="AZ290" i="3"/>
  <c r="AZ293" i="3"/>
  <c r="AZ153" i="3"/>
  <c r="AZ169" i="3"/>
  <c r="F34" i="35"/>
  <c r="H34" i="35"/>
  <c r="J36" i="35"/>
  <c r="AZ185" i="3"/>
  <c r="AZ207" i="3"/>
  <c r="AZ25" i="3"/>
  <c r="AZ30" i="3"/>
  <c r="AZ5" i="3" s="1"/>
  <c r="AZ36" i="3"/>
  <c r="AZ40" i="3"/>
  <c r="AZ46" i="3"/>
  <c r="AZ49" i="3"/>
  <c r="AZ62" i="3"/>
  <c r="AZ65" i="3"/>
  <c r="AZ76" i="3"/>
  <c r="AZ81" i="3"/>
  <c r="AZ108" i="3"/>
  <c r="F3" i="35"/>
  <c r="T30" i="71"/>
  <c r="D30" i="71"/>
  <c r="D41" i="71"/>
  <c r="C42" i="71"/>
  <c r="C54" i="71"/>
  <c r="D53" i="71"/>
  <c r="T34" i="71"/>
  <c r="D34" i="71"/>
  <c r="D45" i="71"/>
  <c r="C46" i="71"/>
  <c r="D49" i="71"/>
  <c r="C50" i="71"/>
  <c r="S18" i="36"/>
  <c r="D17" i="71"/>
  <c r="C22" i="71"/>
  <c r="AA17" i="71"/>
  <c r="AA15" i="71"/>
  <c r="AB17" i="71"/>
  <c r="S18" i="71"/>
  <c r="X17" i="71"/>
  <c r="X15" i="71"/>
  <c r="AA28" i="71"/>
  <c r="AA26" i="71"/>
  <c r="AA22" i="71"/>
  <c r="Y19" i="71"/>
  <c r="Z19" i="71" s="1"/>
  <c r="AA23" i="71"/>
  <c r="E29" i="71"/>
  <c r="E30" i="71" s="1"/>
  <c r="U30" i="71" s="1"/>
  <c r="Y14" i="71"/>
  <c r="Z14" i="71" s="1"/>
  <c r="E20" i="71"/>
  <c r="E21" i="71" s="1"/>
  <c r="E22" i="71" s="1"/>
  <c r="U22" i="71" s="1"/>
  <c r="AA19" i="71"/>
  <c r="X20" i="71"/>
  <c r="AB20" i="71"/>
  <c r="AA24" i="71"/>
  <c r="Y25" i="71"/>
  <c r="Z25" i="71" s="1"/>
  <c r="Y23" i="71"/>
  <c r="Z23" i="71" s="1"/>
  <c r="B28" i="71"/>
  <c r="B29" i="71" s="1"/>
  <c r="B30" i="71" s="1"/>
  <c r="S30" i="71" s="1"/>
  <c r="X27" i="71"/>
  <c r="V58" i="71"/>
  <c r="F57" i="71"/>
  <c r="AJ10" i="43"/>
  <c r="C40" i="68"/>
  <c r="X21" i="71"/>
  <c r="X22" i="71"/>
  <c r="AB24" i="71"/>
  <c r="AB23" i="71"/>
  <c r="Z12" i="43"/>
  <c r="Z13" i="43" s="1"/>
  <c r="Z10" i="43"/>
  <c r="AD12" i="43"/>
  <c r="AD13" i="43" s="1"/>
  <c r="AD10" i="43"/>
  <c r="AF12" i="43"/>
  <c r="AF13" i="43" s="1"/>
  <c r="AF10" i="43"/>
  <c r="AH12" i="43"/>
  <c r="AH13" i="43" s="1"/>
  <c r="AH10" i="43"/>
  <c r="AA12" i="71"/>
  <c r="AA13" i="71"/>
  <c r="AA14" i="71"/>
  <c r="X11" i="71"/>
  <c r="X12" i="71"/>
  <c r="B14" i="71"/>
  <c r="AA11" i="71"/>
  <c r="AA8" i="71"/>
  <c r="X7" i="71"/>
  <c r="Y7" i="71"/>
  <c r="Z7" i="71" s="1"/>
  <c r="AA7" i="71"/>
  <c r="AB8" i="71"/>
  <c r="AC12" i="43"/>
  <c r="AC13" i="43" s="1"/>
  <c r="AC10" i="43"/>
  <c r="AG12" i="43"/>
  <c r="AG13" i="43" s="1"/>
  <c r="AG10" i="43"/>
  <c r="K56" i="9"/>
  <c r="X14" i="71"/>
  <c r="E14" i="71"/>
  <c r="Y11" i="71"/>
  <c r="Z11" i="71" s="1"/>
  <c r="Y12" i="71"/>
  <c r="Z12" i="71" s="1"/>
  <c r="Y13" i="71"/>
  <c r="Z13" i="71" s="1"/>
  <c r="C14" i="71"/>
  <c r="AB11" i="71"/>
  <c r="AB13" i="71"/>
  <c r="AB14" i="71"/>
  <c r="X8" i="71"/>
  <c r="Y8" i="71"/>
  <c r="Z8" i="71" s="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Z5" i="71"/>
  <c r="Y3" i="71"/>
  <c r="Z3" i="71" s="1"/>
  <c r="F6" i="71"/>
  <c r="F5" i="71" s="1"/>
  <c r="AF3" i="71"/>
  <c r="P22" i="43" s="1"/>
  <c r="P24" i="43"/>
  <c r="B66" i="40" s="1"/>
  <c r="C34" i="43"/>
  <c r="T10" i="43"/>
  <c r="V10" i="43" s="1"/>
  <c r="C33" i="43"/>
  <c r="T16" i="43"/>
  <c r="V16" i="43" s="1"/>
  <c r="T13" i="43"/>
  <c r="V13" i="43" s="1"/>
  <c r="T8" i="43"/>
  <c r="V8" i="43" s="1"/>
  <c r="C38" i="43"/>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M17" i="15"/>
  <c r="F59" i="15"/>
  <c r="G1" i="73"/>
  <c r="F59" i="67"/>
  <c r="C16" i="67"/>
  <c r="C16" i="15"/>
  <c r="M17" i="67"/>
  <c r="F31" i="15"/>
  <c r="C17" i="15"/>
  <c r="F31" i="67"/>
  <c r="M20" i="6" l="1"/>
  <c r="I20" i="6" s="1"/>
  <c r="S20" i="6" s="1"/>
  <c r="S7" i="1"/>
  <c r="S7" i="43"/>
  <c r="T7" i="43" s="1"/>
  <c r="V7" i="43" s="1"/>
  <c r="E57" i="40"/>
  <c r="E62" i="39"/>
  <c r="E66" i="39" s="1"/>
  <c r="S2" i="43"/>
  <c r="T2" i="43" s="1"/>
  <c r="V2" i="43" s="1"/>
  <c r="C23" i="43"/>
  <c r="C21" i="43" s="1"/>
  <c r="C29" i="43" s="1"/>
  <c r="S4" i="43"/>
  <c r="T4" i="43" s="1"/>
  <c r="V4" i="43" s="1"/>
  <c r="S6" i="43"/>
  <c r="T6" i="43" s="1"/>
  <c r="V6" i="43" s="1"/>
  <c r="S5" i="43"/>
  <c r="T5" i="43" s="1"/>
  <c r="V5" i="43" s="1"/>
  <c r="S3" i="43"/>
  <c r="T3" i="43" s="1"/>
  <c r="V3" i="43" s="1"/>
  <c r="G36" i="43"/>
  <c r="I36" i="43" s="1"/>
  <c r="W15" i="34"/>
  <c r="AC15" i="34"/>
  <c r="S15" i="34"/>
  <c r="AA15" i="34"/>
  <c r="AB15" i="34"/>
  <c r="U15" i="34"/>
  <c r="C30" i="68"/>
  <c r="C48" i="68"/>
  <c r="C48" i="11"/>
  <c r="C30" i="11"/>
  <c r="C48" i="69"/>
  <c r="C30" i="69"/>
  <c r="J10" i="40"/>
  <c r="W10" i="40" s="1"/>
  <c r="G37" i="43"/>
  <c r="I37" i="43" s="1"/>
  <c r="H10" i="39"/>
  <c r="U10" i="39" s="1"/>
  <c r="F10" i="40"/>
  <c r="S10" i="40" s="1"/>
  <c r="J10" i="39"/>
  <c r="W10" i="39" s="1"/>
  <c r="H10" i="40"/>
  <c r="AB10" i="40" s="1"/>
  <c r="F27" i="69"/>
  <c r="F27" i="68"/>
  <c r="F27" i="11"/>
  <c r="C18" i="15"/>
  <c r="C15" i="15"/>
  <c r="K24" i="6"/>
  <c r="M24" i="6" s="1"/>
  <c r="I24" i="6" s="1"/>
  <c r="S24" i="6" s="1"/>
  <c r="K14" i="1"/>
  <c r="K26" i="6"/>
  <c r="M26" i="6" s="1"/>
  <c r="I26" i="6" s="1"/>
  <c r="S26" i="6" s="1"/>
  <c r="K19" i="6"/>
  <c r="S6" i="1" s="1"/>
  <c r="J7" i="33"/>
  <c r="H7" i="33"/>
  <c r="E63" i="40"/>
  <c r="D65" i="40"/>
  <c r="K68" i="39"/>
  <c r="J70" i="39"/>
  <c r="AA10" i="40"/>
  <c r="U10" i="40"/>
  <c r="AA10" i="39"/>
  <c r="S10" i="39"/>
  <c r="K4" i="4"/>
  <c r="B46" i="48" s="1"/>
  <c r="B4" i="72" s="1"/>
  <c r="AY6" i="3"/>
  <c r="E3" i="6"/>
  <c r="C13" i="71"/>
  <c r="T14" i="71"/>
  <c r="D14" i="71"/>
  <c r="U14" i="71" s="1"/>
  <c r="E13" i="71"/>
  <c r="E12" i="71" s="1"/>
  <c r="E11" i="71" s="1"/>
  <c r="E10" i="71" s="1"/>
  <c r="V14" i="71"/>
  <c r="T50" i="71"/>
  <c r="D50" i="71"/>
  <c r="T46" i="71"/>
  <c r="D46" i="71"/>
  <c r="T42" i="71"/>
  <c r="D42" i="71"/>
  <c r="AC36" i="35"/>
  <c r="W36" i="35"/>
  <c r="AA34" i="35"/>
  <c r="S34" i="35"/>
  <c r="W9" i="34"/>
  <c r="AC9" i="34"/>
  <c r="K15" i="1"/>
  <c r="K16" i="1" s="1"/>
  <c r="E30" i="6"/>
  <c r="E31" i="6" s="1"/>
  <c r="AA7" i="34"/>
  <c r="R49" i="34" s="1"/>
  <c r="S7" i="34"/>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49" i="33"/>
  <c r="E48" i="33"/>
  <c r="AC7" i="21"/>
  <c r="V48" i="21" s="1"/>
  <c r="I48" i="21" s="1"/>
  <c r="W7" i="21"/>
  <c r="P21" i="43"/>
  <c r="B13" i="71"/>
  <c r="B12" i="71" s="1"/>
  <c r="B11" i="71" s="1"/>
  <c r="B10" i="71" s="1"/>
  <c r="S14" i="71"/>
  <c r="F56" i="71"/>
  <c r="Q57" i="71"/>
  <c r="T22" i="71"/>
  <c r="D22" i="71"/>
  <c r="T54" i="71"/>
  <c r="D54" i="71"/>
  <c r="AB34" i="35"/>
  <c r="U34" i="35"/>
  <c r="AB9" i="34"/>
  <c r="U9" i="34"/>
  <c r="BL5" i="3"/>
  <c r="E557" i="3"/>
  <c r="J52" i="37"/>
  <c r="I48" i="35"/>
  <c r="J48" i="35" s="1"/>
  <c r="K48" i="35" s="1"/>
  <c r="L48" i="35" s="1"/>
  <c r="M48" i="35" s="1"/>
  <c r="N48" i="35" s="1"/>
  <c r="O48" i="35" s="1"/>
  <c r="G46" i="36"/>
  <c r="H46" i="36" s="1"/>
  <c r="I46" i="36" s="1"/>
  <c r="J46" i="36" s="1"/>
  <c r="K46" i="36" s="1"/>
  <c r="L46" i="36" s="1"/>
  <c r="M46" i="36" s="1"/>
  <c r="N46" i="36" s="1"/>
  <c r="O46" i="36" s="1"/>
  <c r="J7" i="36"/>
  <c r="AA7" i="21"/>
  <c r="R48" i="21" s="1"/>
  <c r="S7" i="21"/>
  <c r="U7" i="21"/>
  <c r="AB7" i="21"/>
  <c r="T48" i="21" s="1"/>
  <c r="G48" i="21" s="1"/>
  <c r="AC7" i="34"/>
  <c r="W7" i="34"/>
  <c r="U7" i="34"/>
  <c r="AB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C17" i="67"/>
  <c r="AE6" i="1"/>
  <c r="F41" i="67" s="1"/>
  <c r="T49" i="34" l="1"/>
  <c r="G49" i="34" s="1"/>
  <c r="G53" i="34" s="1"/>
  <c r="H53" i="34" s="1"/>
  <c r="AR7" i="1"/>
  <c r="AQ7" i="1"/>
  <c r="T7" i="1"/>
  <c r="C18" i="67"/>
  <c r="C15" i="67"/>
  <c r="M18" i="79"/>
  <c r="B118" i="79" s="1"/>
  <c r="L18" i="79"/>
  <c r="AC10" i="40"/>
  <c r="E6" i="70"/>
  <c r="E2" i="70" s="1"/>
  <c r="V49" i="34"/>
  <c r="I49" i="34" s="1"/>
  <c r="I53" i="34" s="1"/>
  <c r="J53" i="34" s="1"/>
  <c r="F69" i="67"/>
  <c r="C19" i="15"/>
  <c r="C20" i="15" s="1"/>
  <c r="C26" i="15" s="1"/>
  <c r="AC10" i="39"/>
  <c r="AB10" i="39"/>
  <c r="AQ6" i="1"/>
  <c r="AR6" i="1"/>
  <c r="S16" i="1"/>
  <c r="T6" i="1"/>
  <c r="C29" i="68"/>
  <c r="D27" i="68" s="1"/>
  <c r="C47" i="68"/>
  <c r="D45" i="68" s="1"/>
  <c r="AC6" i="3"/>
  <c r="H6" i="3"/>
  <c r="E6" i="3" s="1"/>
  <c r="C29" i="11"/>
  <c r="D27" i="11" s="1"/>
  <c r="C47" i="11"/>
  <c r="D45" i="11" s="1"/>
  <c r="C47" i="69"/>
  <c r="D45" i="69" s="1"/>
  <c r="C29" i="69"/>
  <c r="D27" i="69" s="1"/>
  <c r="M19" i="6"/>
  <c r="K27" i="6"/>
  <c r="M14" i="1"/>
  <c r="C34" i="69"/>
  <c r="H7" i="36"/>
  <c r="F7" i="35"/>
  <c r="AB7" i="33"/>
  <c r="T48" i="33" s="1"/>
  <c r="G48" i="33" s="1"/>
  <c r="U7" i="33"/>
  <c r="L68" i="39"/>
  <c r="K70" i="39"/>
  <c r="E65" i="40"/>
  <c r="F63" i="40"/>
  <c r="W7" i="33"/>
  <c r="AC7" i="33"/>
  <c r="V48" i="33" s="1"/>
  <c r="I48" i="33" s="1"/>
  <c r="I52" i="33" s="1"/>
  <c r="J52" i="33" s="1"/>
  <c r="G54" i="34"/>
  <c r="H54" i="34" s="1"/>
  <c r="R49" i="21"/>
  <c r="E48" i="21"/>
  <c r="AB7" i="36"/>
  <c r="T36" i="36" s="1"/>
  <c r="G36" i="36" s="1"/>
  <c r="U7" i="36"/>
  <c r="AA7" i="35"/>
  <c r="R38" i="35" s="1"/>
  <c r="S7" i="35"/>
  <c r="Q56" i="71"/>
  <c r="Q55" i="71"/>
  <c r="B9" i="71"/>
  <c r="B8" i="71" s="1"/>
  <c r="B7" i="71" s="1"/>
  <c r="B6" i="71" s="1"/>
  <c r="S10" i="71"/>
  <c r="I52" i="21"/>
  <c r="J52" i="21" s="1"/>
  <c r="I53" i="21"/>
  <c r="J53" i="21" s="1"/>
  <c r="E53" i="33"/>
  <c r="F53" i="33" s="1"/>
  <c r="E52" i="33"/>
  <c r="F52" i="33" s="1"/>
  <c r="E49" i="34"/>
  <c r="E9" i="71"/>
  <c r="E8" i="71" s="1"/>
  <c r="E7" i="71" s="1"/>
  <c r="E6" i="71" s="1"/>
  <c r="V10" i="71"/>
  <c r="F7"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52" i="21"/>
  <c r="H52" i="21" s="1"/>
  <c r="G53" i="21"/>
  <c r="H53" i="21" s="1"/>
  <c r="AC7" i="36"/>
  <c r="V36" i="36" s="1"/>
  <c r="I36" i="36" s="1"/>
  <c r="W7" i="36"/>
  <c r="K52" i="37"/>
  <c r="H7" i="35"/>
  <c r="C48" i="33"/>
  <c r="C49" i="33"/>
  <c r="C12" i="71"/>
  <c r="D13" i="71"/>
  <c r="D3" i="34"/>
  <c r="D3" i="33"/>
  <c r="E6" i="6"/>
  <c r="D37" i="11"/>
  <c r="C37" i="11" s="1"/>
  <c r="D14" i="12"/>
  <c r="M18" i="9"/>
  <c r="B118" i="9" s="1"/>
  <c r="B14" i="74" s="1"/>
  <c r="B1" i="74" s="1"/>
  <c r="D3" i="21"/>
  <c r="D19" i="11"/>
  <c r="C19" i="11" s="1"/>
  <c r="C17" i="4"/>
  <c r="B4" i="52" s="1"/>
  <c r="B43" i="72" s="1"/>
  <c r="L18" i="9"/>
  <c r="D3" i="37"/>
  <c r="J7" i="35"/>
  <c r="C26" i="43"/>
  <c r="C27" i="43"/>
  <c r="J26" i="67"/>
  <c r="J29" i="67" s="1"/>
  <c r="J24" i="67"/>
  <c r="J24" i="15"/>
  <c r="J26" i="15"/>
  <c r="J29" i="15" s="1"/>
  <c r="C53" i="67"/>
  <c r="C48" i="67" s="1"/>
  <c r="C10" i="67"/>
  <c r="C5" i="67" s="1"/>
  <c r="C53" i="15"/>
  <c r="C48" i="15" s="1"/>
  <c r="C10" i="15"/>
  <c r="C5" i="15" s="1"/>
  <c r="F25" i="12"/>
  <c r="F22" i="69"/>
  <c r="F24" i="67"/>
  <c r="C24" i="67" s="1"/>
  <c r="F22" i="11"/>
  <c r="F22" i="68"/>
  <c r="F24" i="15"/>
  <c r="C24" i="15" s="1"/>
  <c r="E6" i="76"/>
  <c r="R50" i="34" l="1"/>
  <c r="C50" i="34" s="1"/>
  <c r="B2" i="34" s="1"/>
  <c r="C19" i="67"/>
  <c r="C20" i="67" s="1"/>
  <c r="C26" i="67" s="1"/>
  <c r="L19" i="79"/>
  <c r="M19" i="79"/>
  <c r="C118" i="79" s="1"/>
  <c r="I54" i="34"/>
  <c r="J54" i="34" s="1"/>
  <c r="C35" i="69"/>
  <c r="C38" i="69"/>
  <c r="O14" i="1"/>
  <c r="O16" i="1" s="1"/>
  <c r="M16" i="1"/>
  <c r="P14" i="1"/>
  <c r="P16" i="1" s="1"/>
  <c r="C11" i="12" s="1"/>
  <c r="T16" i="1"/>
  <c r="M27" i="6"/>
  <c r="I19" i="6"/>
  <c r="H19" i="6" s="1"/>
  <c r="I53" i="33"/>
  <c r="J53" i="33" s="1"/>
  <c r="M68" i="39"/>
  <c r="L70" i="39"/>
  <c r="G52" i="33"/>
  <c r="H52" i="33" s="1"/>
  <c r="G53" i="33"/>
  <c r="H53" i="33" s="1"/>
  <c r="G63" i="40"/>
  <c r="F65" i="40"/>
  <c r="C20" i="11"/>
  <c r="C28" i="11" s="1"/>
  <c r="C27" i="11" s="1"/>
  <c r="C7" i="74"/>
  <c r="C8" i="74"/>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S7" i="36"/>
  <c r="AA7" i="36"/>
  <c r="R36" i="36" s="1"/>
  <c r="E5" i="71"/>
  <c r="V6" i="71"/>
  <c r="C49" i="34"/>
  <c r="E52" i="21"/>
  <c r="F52" i="21" s="1"/>
  <c r="E53" i="21"/>
  <c r="F53" i="21" s="1"/>
  <c r="W7" i="35"/>
  <c r="AC7" i="35"/>
  <c r="V38" i="35" s="1"/>
  <c r="I38" i="35" s="1"/>
  <c r="D17" i="12"/>
  <c r="C17" i="12" s="1"/>
  <c r="C14" i="12"/>
  <c r="D10" i="11"/>
  <c r="C10" i="11" s="1"/>
  <c r="D20" i="12"/>
  <c r="C20" i="12" s="1"/>
  <c r="C18" i="12" s="1"/>
  <c r="D10" i="69"/>
  <c r="D10" i="68"/>
  <c r="D12" i="71"/>
  <c r="C11" i="71"/>
  <c r="B2" i="33"/>
  <c r="B3" i="33" s="1"/>
  <c r="U7" i="35"/>
  <c r="AB7" i="35"/>
  <c r="T38" i="35" s="1"/>
  <c r="G38" i="35" s="1"/>
  <c r="L52" i="37"/>
  <c r="I40" i="36"/>
  <c r="J40" i="36" s="1"/>
  <c r="E54" i="34"/>
  <c r="F54" i="34" s="1"/>
  <c r="E53" i="34"/>
  <c r="F53" i="34" s="1"/>
  <c r="B5" i="71"/>
  <c r="S6" i="71"/>
  <c r="R39" i="35"/>
  <c r="E38" i="35"/>
  <c r="G40" i="36"/>
  <c r="H40" i="36" s="1"/>
  <c r="G41" i="36"/>
  <c r="H41" i="36" s="1"/>
  <c r="C48" i="21"/>
  <c r="C49" i="21"/>
  <c r="B2" i="21" s="1"/>
  <c r="B3" i="21" s="1"/>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79"/>
  <c r="B6" i="76"/>
  <c r="C102" i="79" l="1"/>
  <c r="H27" i="6"/>
  <c r="B3" i="34"/>
  <c r="C21" i="79"/>
  <c r="C25" i="11"/>
  <c r="C22" i="11" s="1"/>
  <c r="C31" i="11" s="1"/>
  <c r="D16" i="6"/>
  <c r="S19" i="6"/>
  <c r="S27" i="6" s="1"/>
  <c r="I27" i="6"/>
  <c r="L16" i="1"/>
  <c r="C34" i="11"/>
  <c r="C34" i="68"/>
  <c r="C15" i="12"/>
  <c r="C12" i="12"/>
  <c r="N16" i="1"/>
  <c r="G65" i="40"/>
  <c r="H63" i="40"/>
  <c r="N68" i="39"/>
  <c r="M70" i="39"/>
  <c r="C39" i="35"/>
  <c r="B2" i="35" s="1"/>
  <c r="B3" i="35" s="1"/>
  <c r="C38" i="35"/>
  <c r="G42" i="35"/>
  <c r="H42" i="35" s="1"/>
  <c r="G43" i="35"/>
  <c r="H43" i="35" s="1"/>
  <c r="C10" i="69"/>
  <c r="C8" i="69" s="1"/>
  <c r="C5" i="69" s="1"/>
  <c r="D19" i="69"/>
  <c r="R23" i="6"/>
  <c r="A7" i="51"/>
  <c r="B7" i="72" s="1"/>
  <c r="C4" i="52"/>
  <c r="B45" i="72" s="1"/>
  <c r="A10" i="51"/>
  <c r="B9" i="72" s="1"/>
  <c r="D27" i="6"/>
  <c r="D31" i="6" s="1"/>
  <c r="R19" i="6"/>
  <c r="R24" i="6"/>
  <c r="R22" i="6"/>
  <c r="R25" i="6"/>
  <c r="E43" i="35"/>
  <c r="F43" i="35" s="1"/>
  <c r="E42" i="35"/>
  <c r="F42" i="35" s="1"/>
  <c r="M52" i="37"/>
  <c r="D11" i="71"/>
  <c r="C10" i="71"/>
  <c r="C10" i="68"/>
  <c r="D19" i="68"/>
  <c r="I42" i="35"/>
  <c r="J42" i="35" s="1"/>
  <c r="I43" i="35"/>
  <c r="J43" i="35" s="1"/>
  <c r="E36" i="36"/>
  <c r="R37" i="36"/>
  <c r="R26" i="6"/>
  <c r="D7" i="74"/>
  <c r="D8" i="74"/>
  <c r="R21" i="6"/>
  <c r="B2" i="76"/>
  <c r="B3" i="76" s="1"/>
  <c r="B3" i="43"/>
  <c r="J14" i="15"/>
  <c r="C57" i="15"/>
  <c r="C36" i="15"/>
  <c r="C33" i="15"/>
  <c r="C31" i="15" s="1"/>
  <c r="C13" i="15"/>
  <c r="Q49" i="15"/>
  <c r="J19" i="15"/>
  <c r="J17" i="15" s="1"/>
  <c r="J59" i="15"/>
  <c r="J60" i="15" s="1"/>
  <c r="C36" i="67"/>
  <c r="C33" i="67"/>
  <c r="J14" i="67"/>
  <c r="C13" i="67"/>
  <c r="J19" i="67"/>
  <c r="C57" i="67"/>
  <c r="Q49" i="67"/>
  <c r="J59" i="67"/>
  <c r="J60" i="67" s="1"/>
  <c r="C20" i="79"/>
  <c r="C103" i="79" l="1"/>
  <c r="R27" i="6"/>
  <c r="R6" i="1"/>
  <c r="C16" i="12"/>
  <c r="C21" i="12" s="1"/>
  <c r="C22" i="12" s="1"/>
  <c r="C30" i="12" s="1"/>
  <c r="C28" i="12" s="1"/>
  <c r="C38" i="11"/>
  <c r="C35" i="11"/>
  <c r="F50" i="11"/>
  <c r="F50" i="69"/>
  <c r="F50" i="68"/>
  <c r="C35" i="68"/>
  <c r="C38" i="68"/>
  <c r="N70" i="39"/>
  <c r="O68" i="39"/>
  <c r="O70" i="39" s="1"/>
  <c r="H65" i="40"/>
  <c r="I63" i="40"/>
  <c r="E40" i="36"/>
  <c r="F40" i="36" s="1"/>
  <c r="E41" i="36"/>
  <c r="F41" i="36" s="1"/>
  <c r="I41" i="36"/>
  <c r="J41" i="36" s="1"/>
  <c r="N52" i="37"/>
  <c r="O52" i="37" s="1"/>
  <c r="F7" i="37"/>
  <c r="C19" i="69"/>
  <c r="C24" i="69" s="1"/>
  <c r="D37" i="69"/>
  <c r="C37" i="69" s="1"/>
  <c r="C33" i="69" s="1"/>
  <c r="C36" i="36"/>
  <c r="C37" i="36"/>
  <c r="B2" i="36" s="1"/>
  <c r="B3" i="36" s="1"/>
  <c r="C19" i="68"/>
  <c r="D37" i="68"/>
  <c r="C37" i="68" s="1"/>
  <c r="C9" i="71"/>
  <c r="T10" i="71"/>
  <c r="D10" i="71"/>
  <c r="U10" i="71" s="1"/>
  <c r="J7" i="37"/>
  <c r="I6" i="6"/>
  <c r="I5" i="6"/>
  <c r="C23" i="69"/>
  <c r="H7" i="37"/>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M21" i="67"/>
  <c r="F35" i="67"/>
  <c r="L51" i="15"/>
  <c r="F63" i="67" l="1"/>
  <c r="C62" i="67" s="1"/>
  <c r="C59" i="67" s="1"/>
  <c r="C58" i="67" s="1"/>
  <c r="C67" i="67" s="1"/>
  <c r="C68" i="67" s="1"/>
  <c r="C34" i="67"/>
  <c r="C31" i="67" s="1"/>
  <c r="C30" i="67" s="1"/>
  <c r="C39" i="67" s="1"/>
  <c r="J20" i="67"/>
  <c r="J17" i="67" s="1"/>
  <c r="J16" i="67" s="1"/>
  <c r="J25" i="67" s="1"/>
  <c r="R16" i="1"/>
  <c r="C33" i="11"/>
  <c r="C42" i="11" s="1"/>
  <c r="C33" i="68"/>
  <c r="C42" i="68" s="1"/>
  <c r="C27" i="12"/>
  <c r="C25" i="12" s="1"/>
  <c r="C32" i="12" s="1"/>
  <c r="B2" i="12" s="1"/>
  <c r="B3" i="12" s="1"/>
  <c r="J63" i="40"/>
  <c r="I65" i="40"/>
  <c r="F7" i="39"/>
  <c r="H7" i="39"/>
  <c r="J7" i="39"/>
  <c r="C20" i="69"/>
  <c r="C25" i="69" s="1"/>
  <c r="C22" i="69" s="1"/>
  <c r="AC7" i="37"/>
  <c r="V42" i="37" s="1"/>
  <c r="I42" i="37" s="1"/>
  <c r="W7" i="37"/>
  <c r="C39" i="68"/>
  <c r="C39" i="69"/>
  <c r="C43" i="69" s="1"/>
  <c r="C42" i="69"/>
  <c r="C8" i="71"/>
  <c r="D9" i="71"/>
  <c r="C20" i="68"/>
  <c r="C25" i="68" s="1"/>
  <c r="C24" i="68"/>
  <c r="AB7" i="37"/>
  <c r="T42" i="37" s="1"/>
  <c r="G42" i="37" s="1"/>
  <c r="U7" i="37"/>
  <c r="AA7" i="37"/>
  <c r="R42" i="37" s="1"/>
  <c r="S7" i="37"/>
  <c r="C58" i="15"/>
  <c r="C67" i="15" s="1"/>
  <c r="C68" i="15" s="1"/>
  <c r="C71" i="15" s="1"/>
  <c r="J16" i="15"/>
  <c r="J25" i="15" s="1"/>
  <c r="C80" i="15"/>
  <c r="C79" i="15" s="1"/>
  <c r="Q69" i="15"/>
  <c r="Q68" i="15" s="1"/>
  <c r="C40" i="15"/>
  <c r="L51" i="67"/>
  <c r="Q69" i="67" l="1"/>
  <c r="Q68" i="67" s="1"/>
  <c r="C80" i="67"/>
  <c r="C79" i="67" s="1"/>
  <c r="C40" i="67"/>
  <c r="C45" i="67" s="1"/>
  <c r="C46" i="67" s="1"/>
  <c r="C39" i="11"/>
  <c r="C46" i="11" s="1"/>
  <c r="C45" i="11" s="1"/>
  <c r="U7" i="39"/>
  <c r="AB7" i="39"/>
  <c r="T47" i="39" s="1"/>
  <c r="G47" i="39" s="1"/>
  <c r="W7" i="39"/>
  <c r="AC7" i="39"/>
  <c r="V47" i="39" s="1"/>
  <c r="I47" i="39" s="1"/>
  <c r="S7" i="39"/>
  <c r="AA7" i="39"/>
  <c r="R47" i="39" s="1"/>
  <c r="J65" i="40"/>
  <c r="K63" i="40"/>
  <c r="C28" i="69"/>
  <c r="C27" i="69" s="1"/>
  <c r="C31" i="69" s="1"/>
  <c r="C41" i="69"/>
  <c r="C22" i="68"/>
  <c r="G46" i="37"/>
  <c r="H46" i="37" s="1"/>
  <c r="G47" i="37"/>
  <c r="H47" i="37" s="1"/>
  <c r="C7" i="71"/>
  <c r="D8" i="71"/>
  <c r="C46" i="68"/>
  <c r="C45" i="68" s="1"/>
  <c r="C43" i="68"/>
  <c r="C41" i="68" s="1"/>
  <c r="I46" i="37"/>
  <c r="J46" i="37" s="1"/>
  <c r="C28" i="68"/>
  <c r="C27" i="68" s="1"/>
  <c r="C46" i="69"/>
  <c r="C45" i="69" s="1"/>
  <c r="E42" i="37"/>
  <c r="I47" i="37" s="1"/>
  <c r="J47" i="37" s="1"/>
  <c r="R43" i="37"/>
  <c r="Q67" i="15"/>
  <c r="L57" i="15"/>
  <c r="L60" i="15" s="1"/>
  <c r="Q67" i="67"/>
  <c r="L57" i="67"/>
  <c r="L60" i="67" s="1"/>
  <c r="L46" i="67" s="1"/>
  <c r="C71" i="67"/>
  <c r="B2" i="15"/>
  <c r="B3" i="15" s="1"/>
  <c r="Q56" i="15"/>
  <c r="Q65" i="15"/>
  <c r="C43" i="15"/>
  <c r="Q47" i="15"/>
  <c r="Q53" i="15" s="1"/>
  <c r="C83" i="15"/>
  <c r="C82" i="15" s="1"/>
  <c r="C46" i="15"/>
  <c r="C43" i="67" l="1"/>
  <c r="D2" i="67"/>
  <c r="B2" i="67" s="1"/>
  <c r="Q65" i="67"/>
  <c r="Q47" i="67"/>
  <c r="Q53" i="67" s="1"/>
  <c r="C83" i="67"/>
  <c r="C82" i="67" s="1"/>
  <c r="Q56" i="67"/>
  <c r="C43" i="11"/>
  <c r="C41" i="11" s="1"/>
  <c r="C49" i="11" s="1"/>
  <c r="C51" i="11" s="1"/>
  <c r="C52" i="11" s="1"/>
  <c r="B2" i="11" s="1"/>
  <c r="B3" i="11" s="1"/>
  <c r="G52" i="39"/>
  <c r="H52" i="39" s="1"/>
  <c r="G51" i="39"/>
  <c r="H51" i="39" s="1"/>
  <c r="K65" i="40"/>
  <c r="L63" i="40"/>
  <c r="R48" i="39"/>
  <c r="E47" i="39"/>
  <c r="I52" i="39" s="1"/>
  <c r="J52" i="39" s="1"/>
  <c r="I51" i="39"/>
  <c r="J51" i="39" s="1"/>
  <c r="C49" i="69"/>
  <c r="C51" i="69" s="1"/>
  <c r="C52" i="69" s="1"/>
  <c r="B2" i="69" s="1"/>
  <c r="B3" i="69" s="1"/>
  <c r="C49" i="68"/>
  <c r="C51" i="68" s="1"/>
  <c r="C31" i="68"/>
  <c r="C42" i="37"/>
  <c r="C43" i="37"/>
  <c r="B2" i="37" s="1"/>
  <c r="B3" i="37" s="1"/>
  <c r="E47" i="37"/>
  <c r="F47" i="37" s="1"/>
  <c r="E46" i="37"/>
  <c r="F46" i="37" s="1"/>
  <c r="C6" i="71"/>
  <c r="D7" i="71"/>
  <c r="Q66" i="15"/>
  <c r="Q75" i="15" s="1"/>
  <c r="Q57" i="15"/>
  <c r="Q62" i="15" s="1"/>
  <c r="Q66" i="67"/>
  <c r="Q57" i="67"/>
  <c r="D19" i="79"/>
  <c r="AO6" i="1"/>
  <c r="D102" i="79" l="1"/>
  <c r="D21" i="79"/>
  <c r="D22" i="79"/>
  <c r="G19" i="79"/>
  <c r="Q62" i="67"/>
  <c r="Q75" i="67"/>
  <c r="B3" i="67"/>
  <c r="B6" i="70"/>
  <c r="B2" i="70" s="1"/>
  <c r="B3" i="70" s="1"/>
  <c r="C56" i="11"/>
  <c r="C57" i="11" s="1"/>
  <c r="E51" i="39"/>
  <c r="F51" i="39" s="1"/>
  <c r="E52" i="39"/>
  <c r="F52" i="39" s="1"/>
  <c r="L65" i="40"/>
  <c r="M63" i="40"/>
  <c r="C47" i="39"/>
  <c r="C48" i="39"/>
  <c r="C52" i="68"/>
  <c r="B2" i="68" s="1"/>
  <c r="B3" i="68" s="1"/>
  <c r="C57" i="69"/>
  <c r="C56" i="69" s="1"/>
  <c r="C57" i="68"/>
  <c r="C56" i="68" s="1"/>
  <c r="C5" i="71"/>
  <c r="T6" i="71"/>
  <c r="D6" i="71"/>
  <c r="U6" i="71" s="1"/>
  <c r="D35" i="79"/>
  <c r="D34" i="79"/>
  <c r="D20" i="79"/>
  <c r="D103" i="79" l="1"/>
  <c r="G20" i="79"/>
  <c r="R24" i="31" s="1"/>
  <c r="C32" i="79"/>
  <c r="G21" i="79"/>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M65" i="40"/>
  <c r="N63" i="40"/>
  <c r="D5" i="71"/>
  <c r="M20" i="43"/>
  <c r="C35" i="79" l="1"/>
  <c r="S24" i="3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O63" i="40"/>
  <c r="O65" i="40" s="1"/>
  <c r="N65" i="40"/>
  <c r="C34" i="79" l="1"/>
  <c r="S22" i="31"/>
  <c r="U34" i="31" s="1"/>
  <c r="U36" i="31" s="1"/>
  <c r="J7" i="40"/>
  <c r="F7" i="40"/>
  <c r="H7" i="40"/>
  <c r="F118" i="79" l="1"/>
  <c r="R22" i="31"/>
  <c r="B20" i="31"/>
  <c r="U7" i="40"/>
  <c r="AB7" i="40"/>
  <c r="T42" i="40" s="1"/>
  <c r="G42" i="40" s="1"/>
  <c r="AA7" i="40"/>
  <c r="R42" i="40" s="1"/>
  <c r="S7" i="40"/>
  <c r="AC7" i="40"/>
  <c r="V42" i="40" s="1"/>
  <c r="I42" i="40" s="1"/>
  <c r="W7" i="40"/>
  <c r="D19" i="9"/>
  <c r="C19" i="9"/>
  <c r="F119" i="79" l="1"/>
  <c r="G118" i="79"/>
  <c r="M118" i="77" s="1"/>
  <c r="L118" i="77" s="1"/>
  <c r="D102" i="9"/>
  <c r="D21" i="9"/>
  <c r="C102" i="9"/>
  <c r="C21" i="9"/>
  <c r="G19" i="9"/>
  <c r="D22" i="9"/>
  <c r="B21" i="31"/>
  <c r="G47" i="40"/>
  <c r="H47" i="40" s="1"/>
  <c r="G46" i="40"/>
  <c r="H46" i="40" s="1"/>
  <c r="I46" i="40"/>
  <c r="J46" i="40" s="1"/>
  <c r="R43" i="40"/>
  <c r="E42" i="40"/>
  <c r="D20" i="9"/>
  <c r="C20" i="9"/>
  <c r="D103" i="9" l="1"/>
  <c r="C103" i="9"/>
  <c r="G20" i="9"/>
  <c r="C32" i="9"/>
  <c r="G21" i="9"/>
  <c r="E47" i="40"/>
  <c r="F47" i="40" s="1"/>
  <c r="E46" i="40"/>
  <c r="F46" i="40" s="1"/>
  <c r="I47" i="40"/>
  <c r="J47" i="40" s="1"/>
  <c r="C42" i="40"/>
  <c r="C43" i="40"/>
  <c r="H118" i="9" l="1"/>
  <c r="C35" i="9"/>
  <c r="F118" i="9" s="1"/>
  <c r="B55" i="40"/>
  <c r="F55" i="40" s="1"/>
  <c r="B58" i="40"/>
  <c r="F58" i="40" s="1"/>
  <c r="B54" i="40"/>
  <c r="F54" i="40" s="1"/>
  <c r="B53" i="40"/>
  <c r="F53" i="40" s="1"/>
  <c r="B59" i="40"/>
  <c r="F59" i="40" s="1"/>
  <c r="B56" i="40"/>
  <c r="F56" i="40" s="1"/>
  <c r="B60" i="40"/>
  <c r="F60" i="40" s="1"/>
  <c r="B57" i="40"/>
  <c r="F57" i="40" s="1"/>
  <c r="B51" i="40"/>
  <c r="F51" i="40" s="1"/>
  <c r="B52" i="40"/>
  <c r="F52" i="40" s="1"/>
  <c r="F61" i="40"/>
  <c r="B2" i="40" s="1"/>
  <c r="B3" i="40" s="1"/>
  <c r="C34" i="9" l="1"/>
  <c r="D118" i="9" s="1"/>
  <c r="D119" i="9" s="1"/>
  <c r="D5" i="52" s="1"/>
  <c r="B49" i="72" s="1"/>
  <c r="I118" i="9"/>
  <c r="H4" i="52"/>
  <c r="C104" i="9"/>
  <c r="D14" i="74"/>
  <c r="H119" i="9"/>
  <c r="H5" i="52" s="1"/>
  <c r="H101" i="9"/>
  <c r="G118" i="9"/>
  <c r="G4" i="52" s="1"/>
  <c r="B52" i="72" s="1"/>
  <c r="F119" i="9"/>
  <c r="F5" i="52" s="1"/>
  <c r="B53" i="72" s="1"/>
  <c r="F4" i="52"/>
  <c r="B51" i="72" s="1"/>
  <c r="D4" i="52" l="1"/>
  <c r="B47" i="72" s="1"/>
  <c r="E118" i="9"/>
  <c r="E4" i="52" s="1"/>
  <c r="B48" i="72" s="1"/>
  <c r="I4" i="52"/>
  <c r="H102" i="9"/>
  <c r="D7" i="53" s="1"/>
  <c r="B21" i="72" s="1"/>
  <c r="C105" i="9"/>
  <c r="D45" i="9"/>
  <c r="H107" i="9"/>
  <c r="D5" i="53"/>
  <c r="M48" i="9"/>
  <c r="F14" i="74"/>
  <c r="B5" i="74"/>
  <c r="N118" i="77" s="1"/>
  <c r="J118" i="77" s="1"/>
  <c r="E14" i="74"/>
  <c r="B20" i="72" l="1"/>
  <c r="D6" i="53"/>
  <c r="B22" i="72" s="1"/>
  <c r="C78" i="9"/>
  <c r="C73" i="9" s="1"/>
  <c r="D52" i="9"/>
  <c r="D53" i="9"/>
  <c r="D55" i="9"/>
  <c r="M53" i="9" s="1"/>
  <c r="C64" i="9"/>
  <c r="C63" i="9" s="1"/>
  <c r="C67" i="9" s="1"/>
  <c r="C68" i="9" s="1"/>
  <c r="D54" i="9" s="1"/>
  <c r="C72" i="9"/>
  <c r="C85" i="9"/>
  <c r="C93" i="9"/>
  <c r="C86" i="9" s="1"/>
  <c r="D5" i="74"/>
  <c r="C5" i="74"/>
  <c r="O118" i="77" s="1"/>
  <c r="K118" i="77" s="1"/>
  <c r="M49" i="9"/>
  <c r="D122" i="9"/>
  <c r="H108" i="9"/>
  <c r="D15" i="53" s="1"/>
  <c r="B31" i="72" s="1"/>
  <c r="D13" i="53"/>
  <c r="C79" i="9" l="1"/>
  <c r="B30" i="72"/>
  <c r="D14" i="53"/>
  <c r="B32" i="72" s="1"/>
  <c r="G14" i="74"/>
  <c r="B6" i="74" s="1"/>
  <c r="D8" i="52"/>
  <c r="D123" i="9"/>
  <c r="D9" i="52" s="1"/>
  <c r="C80" i="9"/>
  <c r="E80" i="9" s="1"/>
  <c r="E81" i="9" s="1"/>
  <c r="L64" i="9"/>
  <c r="M64" i="9" s="1"/>
  <c r="L66" i="9"/>
  <c r="M66" i="9" s="1"/>
  <c r="L63" i="9"/>
  <c r="M63" i="9" s="1"/>
  <c r="L65" i="9"/>
  <c r="M65" i="9" s="1"/>
  <c r="L68" i="9"/>
  <c r="M68" i="9" s="1"/>
  <c r="L67" i="9"/>
  <c r="M67" i="9" s="1"/>
  <c r="C95" i="9"/>
  <c r="M69" i="9" l="1"/>
  <c r="N69" i="9" s="1"/>
  <c r="C96" i="9"/>
  <c r="E96" i="9" s="1"/>
  <c r="E97" i="9" s="1"/>
  <c r="C81" i="9"/>
  <c r="C6" i="74"/>
  <c r="D6" i="74"/>
  <c r="C97" i="9" l="1"/>
  <c r="D58" i="9" s="1"/>
  <c r="D56" i="9" s="1"/>
  <c r="M54" i="9" s="1"/>
  <c r="N57" i="9" s="1"/>
  <c r="P57" i="9" s="1"/>
  <c r="N58" i="9" l="1"/>
  <c r="N59" i="9"/>
  <c r="N60" i="9" s="1"/>
  <c r="N61" i="9" l="1"/>
  <c r="H118" i="79"/>
  <c r="H101" i="79" s="1"/>
  <c r="D118" i="79"/>
  <c r="D119" i="79" s="1"/>
  <c r="H119" i="79"/>
  <c r="C104" i="79" l="1"/>
  <c r="I118" i="79"/>
  <c r="H107" i="79"/>
  <c r="D45" i="79"/>
  <c r="M48" i="79"/>
  <c r="E118" i="79" l="1"/>
  <c r="C105" i="79"/>
  <c r="H102" i="79"/>
  <c r="M49" i="79"/>
  <c r="D122" i="79"/>
  <c r="D123" i="79" s="1"/>
  <c r="H108" i="79"/>
  <c r="D55" i="79"/>
  <c r="M53" i="79" s="1"/>
  <c r="C85" i="79"/>
  <c r="C78" i="79"/>
  <c r="C73" i="79" s="1"/>
  <c r="D52" i="79"/>
  <c r="D53" i="79"/>
  <c r="C93" i="79"/>
  <c r="C86" i="79" s="1"/>
  <c r="C72" i="79"/>
  <c r="C79" i="79" s="1"/>
  <c r="C64" i="79"/>
  <c r="C63" i="79" s="1"/>
  <c r="C67" i="79" s="1"/>
  <c r="C68" i="79" s="1"/>
  <c r="D54" i="79" s="1"/>
  <c r="C95" i="79" l="1"/>
  <c r="C80" i="79"/>
  <c r="E80" i="79" s="1"/>
  <c r="E81" i="79" s="1"/>
  <c r="L63" i="79"/>
  <c r="M63" i="79" s="1"/>
  <c r="L64" i="79"/>
  <c r="M64" i="79" s="1"/>
  <c r="L65" i="79"/>
  <c r="M65" i="79" s="1"/>
  <c r="L66" i="79"/>
  <c r="M66" i="79" s="1"/>
  <c r="L67" i="79"/>
  <c r="M67" i="79" s="1"/>
  <c r="L68" i="79"/>
  <c r="M68" i="79" s="1"/>
  <c r="C81" i="79" l="1"/>
  <c r="M69" i="79"/>
  <c r="N69" i="79" s="1"/>
  <c r="C96" i="79"/>
  <c r="E96" i="79" s="1"/>
  <c r="E97" i="79" s="1"/>
  <c r="C97" i="79" l="1"/>
  <c r="D58" i="79" s="1"/>
  <c r="D56" i="79" s="1"/>
  <c r="M54" i="79" s="1"/>
  <c r="N57" i="79" s="1"/>
  <c r="P57" i="79" s="1"/>
  <c r="N58" i="79"/>
  <c r="N59" i="79" l="1"/>
  <c r="N61" i="79"/>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<sst xmlns="http://schemas.openxmlformats.org/spreadsheetml/2006/main" count="8015" uniqueCount="3347">
  <si>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</si>
  <si>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</si>
  <si>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</si>
  <si>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</si>
  <si>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</si>
  <si>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</si>
  <si>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</si>
  <si>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</si>
  <si>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</si>
  <si>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</si>
  <si>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</si>
  <si>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</si>
  <si>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</si>
  <si>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</si>
  <si>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</si>
  <si>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</si>
  <si>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</si>
  <si>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</si>
  <si>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</si>
  <si>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</si>
  <si>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</si>
  <si>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</si>
  <si>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</si>
  <si>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</si>
  <si>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</si>
  <si>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</si>
  <si>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</si>
  <si>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</si>
  <si>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</si>
  <si>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</si>
  <si>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</si>
  <si>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</si>
  <si>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</si>
  <si>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</si>
  <si>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</si>
  <si>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</si>
  <si>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</si>
  <si>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</si>
  <si>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</si>
  <si>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</si>
  <si>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</si>
  <si>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</si>
  <si>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</si>
  <si>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</si>
  <si>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</si>
  <si>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</si>
  <si>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</si>
  <si>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</si>
  <si>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</si>
  <si>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</si>
  <si>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</si>
  <si>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</si>
  <si>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</si>
  <si>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</si>
  <si>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</si>
  <si>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</si>
  <si>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</si>
  <si>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</si>
  <si>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</si>
  <si>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</si>
  <si>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</si>
  <si>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</si>
  <si>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</si>
  <si>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</si>
  <si>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</si>
  <si>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</si>
  <si>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</si>
  <si>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</si>
  <si>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</si>
  <si>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</si>
  <si>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</si>
  <si>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</si>
  <si>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</si>
  <si>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</si>
  <si>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</si>
  <si>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</si>
  <si>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</si>
  <si>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</si>
  <si>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</si>
  <si>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</si>
  <si>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</si>
  <si>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</si>
  <si>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</si>
  <si>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</si>
  <si>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</si>
  <si>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</si>
  <si>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</si>
  <si>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</si>
  <si>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</si>
  <si>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</si>
  <si>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</si>
  <si>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</si>
  <si>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</si>
  <si>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</si>
  <si>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</si>
  <si>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</si>
  <si>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</si>
  <si>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</si>
  <si>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</si>
  <si>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</si>
  <si>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</si>
  <si>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</si>
  <si>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</si>
  <si>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</si>
  <si>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</si>
  <si>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</si>
  <si>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</si>
  <si>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</si>
  <si>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</si>
  <si>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</si>
  <si>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</si>
  <si>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</si>
  <si>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</si>
  <si>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</si>
  <si>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</si>
  <si>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</si>
  <si>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</si>
  <si>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</si>
  <si>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</si>
  <si>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</si>
  <si>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</si>
  <si>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</si>
  <si>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</si>
  <si>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</si>
  <si>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</si>
  <si>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</si>
  <si>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</si>
  <si>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</si>
  <si>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</si>
  <si>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</si>
  <si>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</si>
  <si>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</si>
  <si>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</si>
  <si>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</si>
  <si>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</si>
  <si>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</si>
  <si>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</si>
  <si>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</si>
  <si>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</si>
  <si>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</si>
  <si>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</si>
  <si>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</si>
  <si>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</si>
  <si>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</si>
  <si>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</si>
  <si>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</si>
  <si>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</si>
  <si>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</si>
  <si>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</si>
  <si>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</si>
  <si>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</si>
  <si>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</si>
  <si>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</si>
  <si>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</si>
  <si>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</si>
  <si>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</si>
  <si>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</si>
  <si>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</si>
  <si>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</si>
  <si>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</si>
  <si>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</si>
  <si>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</si>
  <si>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</si>
  <si>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</si>
  <si>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</si>
  <si>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</si>
  <si>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</si>
  <si>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</si>
  <si>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</si>
  <si>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</si>
  <si>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</si>
  <si>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</si>
  <si>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</si>
  <si>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</si>
  <si>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</si>
  <si>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</si>
  <si>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</si>
  <si>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</si>
  <si>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</si>
  <si>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</si>
  <si>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</si>
  <si>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</si>
  <si>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</si>
  <si>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</si>
  <si>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</si>
  <si>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</si>
  <si>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</si>
  <si>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</si>
  <si>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</si>
  <si>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</si>
  <si>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</si>
  <si>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</si>
  <si>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</si>
  <si>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</si>
  <si>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</si>
  <si>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</si>
  <si>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</si>
  <si>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</si>
  <si>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</si>
  <si>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</si>
  <si>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</si>
  <si>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</si>
  <si>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</si>
  <si>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</si>
  <si>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</si>
  <si>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</si>
  <si>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</si>
  <si>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</si>
  <si>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</si>
  <si>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</si>
  <si>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</si>
  <si>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</si>
  <si>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</si>
  <si>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</si>
  <si>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</si>
  <si>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</si>
  <si>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</si>
  <si>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</si>
  <si>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</si>
  <si>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</si>
  <si>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</si>
  <si>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</si>
  <si>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</si>
  <si>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</si>
  <si>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</si>
  <si>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</si>
  <si>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</si>
  <si>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</si>
  <si>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</si>
  <si>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</si>
  <si>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</si>
  <si>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</si>
  <si>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</si>
  <si>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</si>
  <si>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</si>
  <si>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</si>
  <si>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</si>
  <si>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</si>
  <si>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</si>
  <si>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</si>
  <si>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</si>
  <si>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</si>
  <si>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</si>
  <si>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</si>
  <si>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</si>
  <si>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</si>
  <si>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</si>
  <si>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</si>
  <si>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</si>
  <si>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</si>
  <si>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</si>
  <si>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</si>
  <si>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</si>
  <si>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</si>
  <si>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</si>
  <si>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</si>
  <si>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</si>
  <si>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</si>
  <si>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</si>
  <si>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</si>
  <si>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</si>
  <si>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</si>
  <si>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</si>
  <si>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</si>
  <si>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</si>
  <si>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</si>
  <si>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</si>
  <si>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</si>
  <si>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</si>
  <si>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</si>
  <si>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</si>
  <si>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</si>
  <si>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</si>
  <si>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</si>
  <si>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</si>
  <si>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</si>
  <si>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</si>
  <si>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</si>
  <si>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</si>
  <si>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</si>
  <si>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</si>
  <si>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</si>
  <si>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</si>
  <si>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</si>
  <si>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</si>
  <si>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</si>
  <si>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</si>
  <si>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</si>
  <si>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</si>
  <si>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</si>
  <si>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</si>
  <si>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</si>
  <si>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</si>
  <si>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</si>
  <si>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</si>
  <si>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</si>
  <si>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</si>
  <si>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</si>
  <si>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</si>
  <si>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</si>
  <si>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</si>
  <si>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</si>
  <si>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</si>
  <si>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</si>
  <si>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</si>
  <si>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</si>
  <si>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</si>
  <si>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</si>
  <si>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</si>
  <si>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</si>
  <si>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</si>
  <si>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</si>
  <si>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</si>
  <si>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</si>
  <si>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</si>
  <si>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</si>
  <si>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</si>
  <si>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</si>
  <si>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</si>
  <si>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</si>
  <si>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</si>
  <si>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</si>
  <si>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</si>
  <si>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</si>
  <si>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</si>
  <si>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</si>
  <si>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</si>
  <si>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</si>
  <si>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</si>
  <si>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</si>
  <si>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</si>
  <si>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</si>
  <si>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</si>
  <si>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</si>
  <si>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</si>
  <si>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</si>
  <si>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</si>
  <si>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</si>
  <si>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</si>
  <si>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</si>
  <si>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</si>
  <si>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</si>
  <si>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</si>
  <si>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</si>
  <si>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</si>
  <si>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</si>
  <si>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</si>
  <si>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</si>
  <si>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</si>
  <si>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</si>
  <si>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</si>
  <si>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</si>
  <si>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</si>
  <si>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</si>
  <si>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</si>
  <si>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</si>
  <si>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</si>
  <si>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</si>
  <si>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</si>
  <si>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</si>
  <si>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</si>
  <si>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</si>
  <si>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</si>
  <si>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</si>
  <si>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</si>
  <si>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</si>
  <si>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</si>
  <si>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</si>
  <si>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</si>
  <si>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</si>
  <si>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</si>
  <si>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</si>
  <si>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</si>
  <si>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</si>
  <si>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</si>
  <si>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</si>
  <si>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</si>
  <si>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</si>
  <si>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</si>
  <si>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</si>
  <si>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</si>
  <si>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</si>
  <si>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</si>
  <si>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</si>
  <si>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</si>
  <si>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</si>
  <si>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</si>
  <si>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</si>
  <si>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</si>
  <si>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</si>
  <si>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</si>
  <si>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</si>
  <si>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</si>
  <si>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</si>
  <si>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</si>
  <si>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</si>
  <si>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</si>
  <si>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</si>
  <si>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</si>
  <si>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</si>
  <si>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</si>
  <si>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</si>
  <si>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</si>
  <si>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</si>
  <si>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</si>
  <si>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</si>
  <si>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</si>
  <si>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</si>
  <si>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</si>
  <si>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</si>
  <si>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</si>
  <si>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</si>
  <si>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</si>
  <si>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</si>
  <si>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</si>
  <si>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</si>
  <si>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</si>
  <si>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</si>
  <si>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</si>
  <si>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</si>
  <si>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</si>
  <si>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</si>
  <si>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</si>
  <si>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</si>
  <si>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</si>
  <si>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</si>
  <si>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</si>
  <si>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</si>
  <si>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</si>
  <si>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</si>
  <si>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</si>
  <si>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</si>
  <si>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</si>
  <si>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</si>
  <si>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</si>
  <si>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</si>
  <si>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</si>
  <si>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</si>
  <si>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</si>
  <si>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</si>
  <si>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</si>
  <si>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</si>
  <si>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</si>
  <si>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</si>
  <si>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</si>
  <si>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</si>
  <si>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</si>
  <si>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</si>
  <si>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</si>
  <si>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</si>
  <si>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</si>
  <si>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</si>
  <si>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</si>
  <si>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</si>
  <si>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</si>
  <si>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</si>
  <si>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</si>
  <si>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</si>
  <si>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</si>
  <si>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</si>
  <si>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</si>
  <si>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</si>
  <si>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</si>
  <si>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</si>
  <si>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</si>
  <si>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</si>
  <si>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</si>
  <si>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</si>
  <si>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</si>
  <si>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</si>
  <si>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</si>
  <si>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</si>
  <si>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</si>
  <si>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</si>
  <si>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</si>
  <si>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</si>
  <si>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</si>
  <si>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</si>
  <si>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</si>
  <si>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</si>
  <si>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</si>
  <si>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</si>
  <si>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</si>
  <si>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</si>
  <si>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</si>
  <si>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</si>
  <si>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</si>
  <si>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</si>
  <si>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</si>
  <si>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</si>
  <si>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</si>
  <si>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</si>
  <si>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</si>
  <si>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</si>
  <si>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</si>
  <si>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</si>
  <si>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</si>
  <si>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</si>
  <si>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</si>
  <si>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</si>
  <si>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</si>
  <si>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</si>
  <si>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</si>
  <si>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</si>
  <si>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</si>
  <si>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</si>
  <si>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</si>
  <si>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</si>
  <si>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</si>
  <si>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</si>
  <si>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</si>
  <si>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</si>
  <si>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</si>
  <si>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</si>
  <si>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</si>
  <si>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</si>
  <si>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</si>
  <si>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</si>
  <si>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</si>
  <si>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</si>
  <si>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</si>
  <si>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</si>
  <si>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</si>
  <si>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</si>
  <si>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</si>
  <si>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</si>
  <si>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</si>
  <si>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</si>
  <si>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</si>
  <si>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</si>
  <si>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</si>
  <si>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</si>
  <si>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</si>
  <si>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</si>
  <si>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</si>
  <si>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</si>
  <si>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</si>
  <si>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</si>
  <si>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</si>
  <si>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</si>
  <si>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</si>
  <si>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</si>
  <si>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</si>
  <si>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</si>
  <si>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</si>
  <si>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</si>
  <si>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</si>
  <si>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</si>
  <si>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</si>
  <si>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</si>
  <si>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</si>
  <si>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</si>
  <si>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</si>
  <si>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</si>
  <si>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</si>
  <si>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</si>
  <si>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</si>
  <si>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</si>
  <si>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</si>
  <si>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</si>
  <si>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</si>
  <si>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</si>
  <si>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</si>
  <si>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</si>
  <si>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</si>
  <si>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</si>
  <si>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</si>
  <si>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</si>
  <si>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</si>
  <si>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</si>
  <si>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</si>
  <si>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</si>
  <si>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</si>
  <si>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</si>
  <si>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</si>
  <si>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</si>
  <si>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</si>
  <si>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</si>
  <si>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</si>
  <si>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</si>
  <si>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</si>
  <si>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</si>
  <si>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</si>
  <si>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</si>
  <si>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</si>
  <si>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</si>
  <si>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</si>
  <si>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</si>
  <si>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</si>
  <si>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</si>
  <si>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</si>
  <si>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</si>
  <si>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</si>
  <si>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</si>
  <si>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</si>
  <si>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</si>
  <si>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</si>
  <si>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</si>
  <si>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</si>
  <si>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</si>
  <si>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</si>
  <si>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</si>
  <si>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</si>
  <si>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</si>
  <si>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</si>
  <si>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</si>
  <si>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</si>
  <si>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</si>
  <si>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</si>
  <si>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</si>
  <si>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</si>
  <si>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</si>
  <si>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</si>
  <si>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</si>
  <si>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</si>
  <si>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</si>
  <si>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</si>
  <si>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</si>
  <si>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</si>
  <si>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</si>
  <si>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</si>
  <si>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</si>
  <si>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</si>
  <si>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</si>
  <si>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</si>
  <si>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</si>
  <si>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</si>
  <si>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</si>
  <si>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</si>
  <si>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</si>
  <si>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</si>
  <si>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</si>
  <si>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</si>
  <si>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</si>
  <si>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</si>
  <si>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</si>
  <si>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</si>
  <si>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</si>
  <si>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</si>
  <si>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</si>
  <si>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</si>
  <si>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</si>
  <si>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</si>
  <si>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</si>
  <si>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</si>
  <si>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</si>
  <si>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</si>
  <si>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</si>
  <si>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</si>
  <si>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</si>
  <si>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</si>
  <si>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</si>
  <si>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</si>
  <si>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</si>
  <si>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</si>
  <si>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</si>
  <si>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</si>
  <si>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</si>
  <si>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</si>
  <si>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</si>
  <si>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</si>
  <si>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</si>
  <si>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</si>
  <si>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</si>
  <si>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</si>
  <si>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</si>
  <si>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</si>
  <si>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</si>
  <si>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</si>
  <si>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</si>
  <si>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</si>
  <si>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</si>
  <si>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</si>
  <si>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</si>
  <si>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</si>
  <si>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</si>
  <si>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</si>
  <si>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</si>
  <si>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</si>
  <si>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</si>
  <si>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</si>
  <si>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</si>
  <si>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</si>
  <si>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</si>
  <si>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</si>
  <si>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</si>
  <si>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</si>
  <si>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</si>
  <si>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</si>
  <si>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</si>
  <si>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</si>
  <si>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</si>
  <si>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</si>
  <si>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</si>
  <si>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</si>
  <si>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</si>
  <si>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</si>
  <si>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</si>
  <si>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</si>
  <si>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</si>
  <si>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</si>
  <si>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</si>
  <si>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</si>
  <si>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</si>
  <si>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</si>
  <si>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</si>
  <si>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</si>
  <si>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</si>
  <si>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</si>
  <si>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</si>
  <si>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</si>
  <si>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</si>
  <si>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</si>
  <si>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</si>
  <si>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</si>
  <si>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</si>
  <si>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</si>
  <si>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</si>
  <si>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</si>
  <si>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</si>
  <si>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</si>
  <si>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</si>
  <si>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</si>
  <si>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</si>
  <si>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</si>
  <si>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</si>
  <si>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</si>
  <si>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</si>
  <si>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</si>
  <si>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</si>
  <si>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</si>
  <si>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</si>
  <si>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</si>
  <si>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</si>
  <si>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</si>
  <si>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</si>
  <si>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</si>
  <si>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</si>
  <si>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</si>
  <si>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</si>
  <si>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</si>
  <si>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</si>
  <si>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</si>
  <si>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</si>
  <si>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</si>
  <si>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</si>
  <si>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</si>
  <si>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</si>
  <si>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</si>
  <si>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</si>
  <si>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</si>
  <si>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</si>
  <si>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</si>
  <si>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</si>
  <si>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</si>
  <si>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</si>
  <si>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</si>
  <si>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</si>
  <si>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</si>
  <si>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</si>
  <si>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</si>
  <si>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</si>
  <si>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</si>
  <si>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</si>
  <si>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</si>
  <si>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</si>
  <si>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</si>
  <si>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</si>
  <si>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</si>
  <si>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</si>
  <si>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</si>
  <si>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</si>
  <si>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</si>
  <si>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</si>
  <si>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</si>
  <si>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</si>
  <si>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</si>
  <si>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</si>
  <si>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</si>
  <si>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</si>
  <si>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</si>
  <si>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</si>
  <si>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</si>
  <si>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</si>
  <si>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</si>
  <si>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</si>
  <si>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</si>
  <si>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</si>
  <si>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</si>
  <si>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</si>
  <si>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</si>
  <si>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</si>
  <si>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</si>
  <si>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</si>
  <si>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</si>
  <si>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</si>
  <si>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</si>
  <si>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</si>
  <si>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</si>
  <si>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</si>
  <si>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</si>
  <si>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</si>
  <si>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</si>
  <si>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</si>
  <si>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</si>
  <si>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</si>
  <si>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</si>
  <si>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</si>
  <si>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</si>
  <si>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</si>
  <si>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</si>
  <si>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</si>
  <si>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</si>
  <si>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</si>
  <si>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</si>
  <si>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</si>
  <si>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</si>
  <si>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</si>
  <si>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</si>
  <si>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</si>
  <si>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</si>
  <si>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</si>
  <si>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</si>
  <si>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</si>
  <si>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</si>
  <si>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</si>
  <si>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</si>
  <si>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</si>
  <si>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</si>
  <si>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</si>
  <si>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</si>
  <si>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</si>
  <si>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</si>
  <si>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</si>
  <si>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</si>
  <si>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</si>
  <si>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</si>
  <si>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</si>
  <si>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</si>
  <si>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</si>
  <si>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</si>
  <si>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</si>
  <si>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</si>
  <si>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</si>
  <si>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</si>
  <si>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</si>
  <si>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</si>
  <si>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</si>
  <si>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</si>
  <si>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</si>
  <si>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</si>
  <si>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</si>
  <si>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</si>
  <si>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</si>
  <si>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</si>
  <si>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</si>
  <si>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</si>
  <si>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</si>
  <si>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</si>
  <si>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</si>
  <si>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</si>
  <si>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</si>
  <si>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</si>
  <si>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</si>
  <si>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</si>
  <si>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</si>
  <si>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</si>
  <si>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</si>
  <si>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</si>
  <si>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</si>
  <si>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</si>
  <si>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</si>
  <si>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</si>
  <si>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</si>
  <si>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</si>
  <si>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</si>
  <si>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</si>
  <si>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</si>
  <si>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</si>
  <si>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</si>
  <si>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</si>
  <si>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</si>
  <si>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</si>
  <si>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</si>
  <si>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</si>
  <si>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</si>
  <si>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</si>
  <si>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</si>
  <si>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</si>
  <si>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</si>
  <si>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</si>
  <si>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</si>
  <si>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</si>
  <si>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</si>
  <si>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</si>
  <si>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</si>
  <si>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</si>
  <si>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</si>
  <si>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</si>
  <si>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</si>
  <si>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</si>
  <si>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</si>
  <si>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</si>
  <si>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</si>
  <si>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</si>
  <si>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</si>
  <si>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</si>
  <si>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</si>
  <si>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</si>
  <si>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</si>
  <si>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</si>
  <si>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</si>
  <si>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</si>
  <si>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</si>
  <si>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</si>
  <si>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</si>
  <si>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</si>
  <si>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</si>
  <si>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</si>
  <si>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</si>
  <si>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</si>
  <si>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</si>
  <si>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</si>
  <si>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</si>
  <si>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</si>
  <si>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</si>
  <si>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</si>
  <si>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</si>
  <si>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</si>
  <si>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</si>
  <si>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</si>
  <si>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</si>
  <si>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</si>
  <si>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</si>
  <si>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</si>
  <si>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</si>
  <si>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</si>
  <si>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</si>
  <si>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</si>
  <si>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</si>
  <si>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</si>
  <si>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</si>
  <si>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</si>
  <si>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</si>
  <si>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</si>
  <si>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</si>
  <si>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</si>
  <si>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</si>
  <si>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</si>
  <si>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</si>
  <si>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</si>
  <si>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</si>
  <si>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</si>
  <si>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</si>
  <si>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</si>
  <si>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</si>
  <si>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</si>
  <si>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</si>
  <si>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</si>
  <si>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</si>
  <si>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</si>
  <si>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</si>
  <si>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</si>
  <si>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</si>
  <si>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</si>
  <si>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</si>
  <si>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</si>
  <si>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</si>
  <si>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</si>
  <si>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</si>
  <si>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</si>
  <si>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</si>
  <si>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</si>
  <si>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</si>
  <si>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</si>
  <si>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</si>
  <si>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</si>
  <si>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</si>
  <si>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</si>
  <si>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</si>
  <si>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</si>
  <si>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</si>
  <si>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</si>
  <si>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</si>
  <si>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</si>
  <si>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</si>
  <si>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</si>
  <si>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</si>
  <si>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</si>
  <si>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</si>
  <si>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</si>
  <si>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</si>
  <si>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</si>
  <si>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</si>
  <si>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</si>
  <si>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</si>
  <si>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</si>
  <si>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</si>
  <si>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</si>
  <si>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</si>
  <si>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</si>
  <si>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</si>
  <si>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</si>
  <si>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</si>
  <si>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</si>
  <si>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</si>
  <si>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</si>
  <si>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</si>
  <si>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</si>
  <si>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</si>
  <si>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</si>
  <si>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</si>
  <si>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</si>
  <si>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</si>
  <si>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</si>
  <si>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</si>
  <si>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</si>
  <si>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</si>
  <si>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</si>
  <si>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</si>
  <si>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</si>
  <si>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</si>
  <si>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</si>
  <si>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</si>
  <si>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</si>
  <si>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</si>
  <si>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</si>
  <si>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</si>
  <si>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</si>
  <si>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</si>
  <si>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</si>
  <si>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</si>
  <si>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</si>
  <si>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</si>
  <si>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</si>
  <si>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</si>
  <si>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</si>
  <si>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</si>
  <si>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</si>
  <si>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</si>
  <si>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</si>
  <si>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</si>
  <si>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</si>
  <si>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</si>
  <si>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</si>
  <si>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</si>
  <si>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</si>
  <si>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</si>
  <si>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</si>
  <si>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</si>
  <si>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</si>
  <si>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</si>
  <si>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</si>
  <si>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</si>
  <si>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</si>
  <si>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</si>
  <si>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</si>
  <si>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</si>
  <si>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</si>
  <si>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</si>
  <si>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</si>
  <si>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</si>
  <si>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</si>
  <si>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</si>
  <si>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</si>
  <si>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</si>
  <si>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</si>
  <si>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</si>
  <si>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</si>
  <si>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</si>
  <si>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</si>
  <si>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</si>
  <si>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</si>
  <si>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</si>
  <si>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</si>
  <si>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</si>
  <si>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</si>
  <si>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</si>
  <si>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</si>
  <si>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</si>
  <si>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</si>
  <si>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</si>
  <si>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</si>
  <si>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</si>
  <si>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</si>
  <si>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</si>
  <si>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</si>
  <si>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</si>
  <si>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</si>
  <si>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</si>
  <si>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</si>
  <si>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</si>
  <si>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</si>
  <si>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</si>
  <si>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</si>
  <si>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</si>
  <si>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</si>
  <si>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</si>
  <si>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</si>
  <si>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</si>
  <si>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</si>
  <si>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</si>
  <si>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</si>
  <si>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</si>
  <si>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</si>
  <si>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</si>
  <si>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</si>
  <si>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</si>
  <si>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</si>
  <si>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</si>
  <si>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</si>
  <si>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</si>
  <si>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</si>
  <si>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</si>
  <si>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</si>
  <si>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</si>
  <si>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</si>
  <si>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</si>
  <si>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</si>
  <si>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</si>
  <si>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</si>
  <si>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</si>
  <si>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</si>
  <si>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</si>
  <si>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</si>
  <si>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</si>
  <si>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</si>
  <si>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</si>
  <si>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</si>
  <si>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</si>
  <si>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</si>
  <si>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</si>
  <si>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</si>
  <si>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</si>
  <si>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</si>
  <si>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</si>
  <si>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</si>
  <si>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</si>
  <si>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</si>
  <si>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</si>
  <si>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</si>
  <si>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</si>
  <si>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</si>
  <si>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</si>
  <si>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</si>
  <si>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</si>
  <si>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</si>
  <si>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</si>
  <si>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</si>
  <si>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</si>
  <si>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</si>
  <si>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</si>
  <si>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</si>
  <si>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</si>
  <si>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</si>
  <si>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</si>
  <si>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</si>
  <si>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</si>
  <si>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</si>
  <si>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</si>
  <si>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</si>
  <si>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</si>
  <si>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</si>
  <si>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</si>
  <si>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</si>
  <si>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</si>
  <si>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</si>
  <si>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</si>
  <si>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</si>
  <si>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</si>
  <si>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</si>
  <si>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</si>
  <si>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</si>
  <si>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</si>
  <si>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</si>
  <si>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</si>
  <si>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</si>
  <si>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</si>
  <si>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</si>
  <si>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</si>
  <si>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</si>
  <si>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</si>
  <si>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</si>
  <si>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</si>
  <si>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</si>
  <si>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</si>
  <si>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</si>
  <si>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</si>
  <si>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</si>
  <si>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</si>
  <si>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</si>
  <si>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</si>
  <si>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</si>
  <si>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</si>
  <si>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</si>
  <si>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</si>
  <si>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</si>
  <si>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</si>
  <si>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</si>
  <si>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</si>
  <si>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</si>
  <si>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</si>
  <si>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</si>
  <si>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</si>
  <si>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</si>
  <si>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</si>
  <si>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</si>
  <si>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</si>
  <si>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</si>
  <si>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</si>
  <si>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</si>
  <si>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</si>
  <si>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</si>
  <si>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</si>
  <si>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</si>
  <si>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</si>
  <si>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</si>
  <si>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</si>
  <si>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</si>
  <si>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</si>
  <si>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</si>
  <si>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</si>
  <si>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</si>
  <si>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</si>
  <si>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</si>
  <si>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</si>
  <si>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</si>
  <si>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</si>
  <si>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</si>
  <si>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</si>
  <si>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</si>
  <si>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</si>
  <si>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</si>
  <si>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</si>
  <si>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</si>
  <si>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</si>
  <si>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</si>
  <si>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</si>
  <si>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</si>
  <si>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</si>
  <si>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</si>
  <si>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</si>
  <si>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</si>
  <si>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</si>
  <si>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</si>
  <si>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</si>
  <si>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</si>
  <si>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</si>
  <si>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</si>
  <si>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</si>
  <si>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</si>
  <si>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</si>
  <si>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</si>
  <si>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</si>
  <si>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</si>
  <si>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</si>
  <si>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</si>
  <si>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</si>
  <si>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</si>
  <si>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</si>
  <si>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</si>
  <si>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</si>
  <si>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</si>
  <si>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</si>
  <si>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</si>
  <si>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</si>
  <si>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</si>
  <si>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</si>
  <si>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</si>
  <si>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</si>
  <si>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</si>
  <si>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</si>
  <si>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</si>
  <si>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</si>
  <si>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</si>
  <si>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</si>
  <si>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</si>
  <si>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</si>
  <si>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</si>
  <si>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</si>
  <si>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</si>
  <si>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</si>
  <si>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</si>
  <si>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</si>
  <si>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</si>
  <si>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</si>
  <si>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</si>
  <si>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</si>
  <si>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</si>
  <si>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</si>
  <si>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</si>
  <si>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</si>
  <si>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</si>
  <si>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</si>
  <si>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</si>
  <si>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</si>
  <si>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</si>
  <si>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</si>
  <si>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</si>
  <si>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</si>
  <si>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</si>
  <si>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</si>
  <si>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</si>
  <si>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</si>
  <si>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</si>
  <si>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</si>
  <si>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</si>
  <si>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</si>
  <si>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</si>
  <si>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</si>
  <si>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</si>
  <si>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</si>
  <si>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</si>
  <si>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</si>
  <si>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</si>
  <si>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</si>
  <si>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</si>
  <si>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</si>
  <si>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</si>
  <si>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</si>
  <si>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</si>
  <si>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</si>
  <si>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</si>
  <si>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</si>
  <si>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</si>
  <si>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</si>
  <si>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</si>
  <si>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</si>
  <si>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</si>
  <si>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</si>
  <si>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</si>
  <si>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</si>
  <si>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</si>
  <si>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</si>
  <si>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</si>
  <si>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</si>
  <si>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</si>
  <si>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</si>
  <si>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</si>
  <si>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</si>
  <si>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</si>
  <si>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</si>
  <si>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</si>
  <si>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</si>
  <si>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</si>
  <si>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</si>
  <si>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</si>
  <si>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</si>
  <si>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</si>
  <si>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</si>
  <si>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</si>
  <si>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</si>
  <si>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</si>
  <si>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</si>
  <si>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</si>
  <si>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</si>
  <si>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</si>
  <si>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</si>
  <si>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</si>
  <si>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</si>
  <si>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</si>
  <si>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</si>
  <si>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</si>
  <si>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</si>
  <si>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</si>
  <si>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</si>
  <si>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</si>
  <si>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</si>
  <si>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</si>
  <si>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</si>
  <si>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</si>
  <si>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</si>
  <si>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</si>
  <si>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</si>
  <si>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</si>
  <si>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</si>
  <si>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</si>
  <si>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</si>
  <si>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</si>
  <si>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</si>
  <si>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</si>
  <si>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</si>
  <si>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</si>
  <si>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</si>
  <si>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</si>
  <si>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</si>
  <si>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</si>
  <si>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</si>
  <si>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</si>
  <si>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</si>
  <si>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</si>
  <si>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</si>
  <si>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</si>
  <si>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</si>
  <si>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</si>
  <si>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</si>
  <si>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</si>
  <si>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</si>
  <si>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</si>
  <si>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</si>
  <si>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</si>
  <si>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</si>
  <si>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</si>
  <si>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</si>
  <si>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</si>
  <si>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</si>
  <si>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</si>
  <si>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</si>
  <si>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</si>
  <si>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</si>
  <si>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</si>
  <si>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</si>
  <si>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</si>
  <si>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</si>
  <si>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</si>
  <si>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</si>
  <si>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</si>
  <si>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</si>
  <si>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</si>
  <si>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</si>
  <si>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</si>
  <si>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</si>
  <si>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</si>
  <si>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</si>
  <si>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</si>
  <si>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</si>
  <si>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</si>
  <si>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</si>
  <si>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</si>
  <si>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</si>
  <si>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</si>
  <si>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</si>
  <si>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</si>
  <si>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</si>
  <si>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</si>
  <si>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</si>
  <si>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</si>
  <si>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</si>
  <si>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</si>
  <si>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</si>
  <si>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</si>
  <si>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</si>
  <si>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</si>
  <si>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</si>
  <si>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</si>
  <si>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</si>
  <si>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</si>
  <si>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</si>
  <si>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</si>
  <si>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</si>
  <si>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</si>
  <si>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</si>
  <si>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</si>
  <si>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</si>
  <si>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</si>
  <si>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</si>
  <si>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</si>
  <si>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</si>
  <si>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</si>
  <si>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</si>
  <si>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</si>
  <si>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</si>
  <si>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</si>
  <si>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</si>
  <si>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</si>
  <si>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</si>
  <si>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</si>
  <si>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</si>
  <si>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</si>
  <si>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</si>
  <si>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</si>
  <si>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</si>
  <si>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</si>
  <si>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</si>
  <si>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</si>
  <si>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</si>
  <si>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</si>
  <si>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</si>
  <si>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</si>
  <si>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</si>
  <si>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</si>
  <si>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</si>
  <si>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</si>
  <si>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</si>
  <si>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</si>
  <si>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</si>
  <si>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</si>
  <si>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</si>
  <si>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</si>
  <si>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</si>
  <si>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</si>
  <si>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</si>
  <si>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</si>
  <si>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</si>
  <si>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</si>
  <si>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</si>
  <si>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</si>
  <si>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</si>
  <si>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</si>
  <si>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</si>
  <si>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</si>
  <si>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</si>
  <si>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</si>
  <si>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</si>
  <si>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</si>
  <si>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</si>
  <si>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</si>
  <si>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</si>
  <si>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</si>
  <si>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</si>
  <si>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</si>
  <si>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</si>
  <si>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</si>
  <si>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</si>
  <si>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</si>
  <si>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</si>
  <si>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</si>
  <si>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</si>
  <si>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</si>
  <si>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</si>
  <si>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</si>
  <si>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</si>
  <si>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</si>
  <si>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</si>
  <si>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</si>
  <si>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</si>
  <si>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</si>
  <si>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</si>
  <si>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</si>
  <si>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</si>
  <si>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</si>
  <si>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</si>
  <si>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</si>
  <si>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</si>
  <si>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</si>
  <si>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</si>
  <si>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</si>
  <si>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</si>
  <si>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</si>
  <si>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</si>
  <si>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</si>
  <si>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</si>
  <si>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</si>
  <si>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</si>
  <si>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</si>
  <si>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</si>
  <si>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</si>
  <si>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</si>
  <si>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</si>
  <si>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</si>
  <si>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</si>
  <si>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</si>
  <si>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</si>
  <si>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</si>
  <si>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</si>
  <si>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</si>
  <si>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</si>
  <si>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</si>
  <si>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</si>
  <si>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</si>
  <si>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</si>
  <si>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</si>
  <si>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</si>
  <si>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</si>
  <si>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</si>
  <si>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</si>
  <si>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</si>
  <si>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</si>
  <si>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</si>
  <si>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</si>
  <si>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</si>
  <si>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</si>
  <si>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</si>
  <si>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</si>
  <si>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</si>
  <si>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</si>
  <si>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</si>
  <si>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</si>
  <si>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</si>
  <si>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</si>
  <si>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</si>
  <si>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</si>
  <si>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</si>
  <si>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</si>
  <si>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</si>
  <si>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</si>
  <si>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</si>
  <si>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</si>
  <si>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</si>
  <si>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</si>
  <si>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</si>
  <si>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</si>
  <si>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</si>
  <si>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</si>
  <si>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</si>
  <si>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</si>
  <si>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</si>
  <si>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</si>
  <si>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</si>
  <si>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</si>
  <si>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</si>
  <si>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</si>
  <si>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</si>
  <si>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</si>
  <si>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</si>
  <si>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</si>
  <si>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</si>
  <si>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</si>
  <si>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</si>
  <si>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</si>
  <si>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</si>
  <si>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</si>
  <si>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</si>
  <si>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</si>
  <si>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</si>
  <si>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</si>
  <si>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</si>
  <si>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</si>
  <si>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</si>
  <si>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</si>
  <si>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</si>
  <si>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</si>
  <si>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</si>
  <si>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</si>
  <si>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</si>
  <si>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</si>
  <si>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</si>
  <si>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</si>
  <si>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</si>
  <si>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</si>
  <si>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</si>
  <si>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</si>
  <si>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</si>
  <si>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</si>
  <si>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</si>
  <si>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</si>
  <si>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</si>
  <si>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</si>
  <si>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</si>
  <si>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</si>
  <si>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</si>
  <si>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</si>
  <si>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</si>
  <si>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</si>
  <si>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</si>
  <si>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</si>
  <si>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</si>
  <si>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</si>
  <si>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</si>
  <si>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</si>
  <si>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</si>
  <si>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</si>
  <si>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</si>
  <si>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</si>
  <si>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</si>
  <si>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</si>
  <si>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</si>
  <si>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</si>
  <si>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</si>
  <si>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</si>
  <si>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</si>
  <si>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</si>
  <si>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</si>
  <si>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</si>
  <si>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</si>
  <si>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</si>
  <si>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</si>
  <si>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</si>
  <si>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</si>
  <si>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</si>
  <si>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</si>
  <si>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</si>
  <si>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</si>
  <si>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</si>
  <si>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</si>
  <si>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</si>
  <si>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</si>
  <si>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</si>
  <si>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</si>
  <si>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</si>
  <si>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</si>
  <si>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</si>
  <si>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</si>
  <si>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</si>
  <si>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</si>
  <si>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</si>
  <si>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</si>
  <si>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</si>
  <si>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</si>
  <si>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</si>
  <si>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</si>
  <si>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</si>
  <si>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</si>
  <si>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</si>
  <si>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</si>
  <si>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</si>
  <si>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</si>
  <si>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</si>
  <si>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</si>
  <si>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</si>
  <si>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</si>
  <si>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</si>
  <si>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</si>
  <si>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</si>
  <si>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</si>
  <si>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</si>
  <si>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</si>
  <si>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</si>
  <si>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</si>
  <si>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</si>
  <si>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</si>
  <si>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</si>
  <si>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</si>
  <si>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</si>
  <si>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</si>
  <si>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</si>
  <si>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</si>
  <si>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</si>
  <si>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</si>
  <si>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</si>
  <si>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</si>
  <si>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</si>
  <si>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</si>
  <si>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</si>
  <si>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</si>
  <si>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</si>
  <si>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</si>
  <si>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</si>
  <si>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</si>
  <si>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</si>
  <si>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</si>
  <si>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</si>
  <si>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</si>
  <si>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</si>
  <si>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</si>
  <si>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</si>
  <si>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</si>
  <si>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</si>
  <si>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</si>
  <si>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</si>
  <si>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</si>
  <si>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</si>
  <si>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</si>
  <si>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</si>
  <si>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</si>
  <si>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</si>
  <si>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</si>
  <si>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</si>
  <si>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</si>
  <si>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</si>
  <si>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</si>
  <si>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</si>
  <si>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</si>
  <si>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</si>
  <si>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</si>
  <si>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</si>
  <si>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</si>
  <si>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</si>
  <si>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</si>
  <si>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</si>
  <si>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</si>
  <si>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</si>
  <si>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</si>
  <si>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</si>
  <si>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</si>
  <si>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</si>
  <si>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</si>
  <si>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</si>
  <si>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</si>
  <si>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</si>
  <si>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</si>
  <si>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</si>
  <si>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</si>
  <si>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</si>
  <si>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</si>
  <si>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</si>
  <si>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</si>
  <si>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</si>
  <si>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</si>
  <si>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</si>
  <si>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</si>
  <si>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</si>
  <si>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</si>
  <si>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</si>
  <si>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</si>
  <si>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</si>
  <si>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</si>
  <si>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</si>
  <si>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</si>
  <si>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</si>
  <si>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</si>
  <si>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</si>
  <si>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</si>
  <si>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</si>
  <si>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</si>
  <si>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</si>
  <si>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</si>
  <si>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</si>
  <si>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</si>
  <si>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</si>
  <si>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</si>
  <si>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</si>
  <si>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</si>
  <si>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</si>
  <si>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</si>
  <si>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</si>
  <si>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</si>
  <si>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</si>
  <si>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</si>
  <si>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</si>
  <si>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</si>
  <si>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</si>
  <si>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</si>
  <si>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</si>
  <si>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</si>
  <si>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</si>
  <si>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</si>
  <si>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</si>
  <si>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</si>
  <si>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</si>
  <si>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</si>
  <si>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</si>
  <si>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</si>
  <si>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</si>
  <si>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</si>
  <si>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</si>
  <si>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</si>
  <si>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</si>
  <si>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</si>
  <si>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</si>
  <si>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</si>
  <si>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</si>
  <si>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</si>
  <si>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</si>
  <si>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</si>
  <si>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</si>
  <si>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</si>
  <si>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</si>
  <si>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</si>
  <si>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</si>
  <si>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</si>
  <si>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</si>
  <si>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</si>
  <si>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</si>
  <si>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</si>
  <si>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</si>
  <si>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</si>
  <si>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</si>
  <si>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</si>
  <si>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</si>
  <si>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</si>
  <si>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</si>
  <si>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</si>
  <si>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</si>
  <si>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</si>
  <si>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</si>
  <si>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</si>
  <si>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</si>
  <si>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</si>
  <si>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</si>
  <si>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</si>
  <si>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</si>
  <si>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</si>
  <si>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</si>
  <si>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</si>
  <si>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</si>
  <si>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</si>
  <si>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</si>
  <si>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</si>
  <si>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</si>
  <si>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</si>
  <si>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</si>
  <si>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</si>
  <si>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</si>
  <si>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</si>
  <si>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</si>
  <si>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</si>
  <si>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</si>
  <si>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</si>
  <si>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</si>
  <si>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</si>
  <si>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</si>
  <si>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</si>
  <si>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</si>
  <si>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</si>
  <si>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</si>
  <si>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</si>
  <si>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</si>
  <si>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</si>
  <si>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</si>
  <si>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</si>
  <si>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</si>
  <si>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</si>
  <si>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</si>
  <si>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</si>
  <si>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</si>
  <si>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</si>
  <si>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</si>
  <si>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</si>
  <si>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</si>
  <si>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</si>
  <si>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</si>
  <si>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</si>
  <si>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</si>
  <si>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</si>
  <si>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</si>
  <si>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</si>
  <si>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</si>
  <si>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</si>
  <si>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</si>
  <si>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</si>
  <si>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</si>
  <si>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</si>
  <si>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</si>
  <si>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</si>
  <si>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</si>
  <si>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</si>
  <si>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</si>
  <si>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</si>
  <si>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</si>
  <si>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</si>
  <si>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</si>
  <si>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</si>
  <si>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</si>
  <si>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</si>
  <si>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</si>
  <si>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</si>
  <si>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</si>
  <si>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</si>
  <si>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</si>
  <si>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</si>
  <si>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</si>
  <si>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</si>
  <si>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</si>
  <si>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</si>
  <si>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</si>
  <si>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</si>
  <si>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</si>
  <si>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</si>
  <si>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</si>
  <si>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</si>
  <si>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</si>
  <si>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</si>
  <si>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</si>
  <si>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</si>
  <si>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</si>
  <si>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</si>
  <si>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</si>
  <si>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</si>
  <si>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</si>
  <si>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</si>
  <si>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</si>
  <si>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</si>
  <si>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</si>
  <si>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</si>
  <si>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</si>
  <si>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</si>
  <si>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</si>
  <si>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</si>
  <si>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</si>
  <si>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</si>
  <si>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</si>
  <si>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</si>
  <si>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</si>
  <si>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</si>
  <si>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</si>
  <si>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</si>
  <si>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</si>
  <si>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</si>
  <si>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</si>
  <si>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</si>
  <si>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</si>
  <si>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</si>
  <si>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</si>
  <si>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</si>
  <si>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</si>
  <si>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</si>
  <si>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</si>
  <si>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</si>
  <si>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</si>
  <si>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</si>
  <si>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</si>
  <si>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</si>
  <si>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</si>
  <si>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</si>
  <si>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</si>
  <si>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</si>
  <si>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</si>
  <si>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</si>
  <si>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</si>
  <si>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</si>
  <si>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</si>
  <si>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</si>
  <si>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</si>
  <si>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</si>
  <si>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</si>
  <si>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</si>
  <si>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</si>
  <si>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</si>
  <si>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</si>
  <si>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</si>
  <si>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</si>
  <si>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</si>
  <si>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</si>
  <si>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</si>
  <si>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</si>
  <si>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</si>
  <si>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</si>
  <si>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</si>
  <si>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</si>
  <si>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</si>
  <si>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</si>
  <si>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</si>
  <si>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</si>
  <si>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</si>
  <si>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</si>
  <si>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</si>
  <si>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</si>
  <si>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</si>
  <si>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</si>
  <si>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</si>
  <si>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</si>
  <si>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</si>
  <si>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</si>
  <si>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</si>
  <si>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</si>
  <si>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</si>
  <si>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</si>
  <si>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</si>
  <si>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</si>
  <si>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</si>
  <si>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</si>
  <si>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</si>
  <si>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</si>
  <si>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</si>
  <si>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</si>
  <si>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</si>
  <si>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</si>
  <si>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</si>
  <si>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</si>
  <si>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</si>
  <si>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</si>
  <si>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</si>
  <si>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</si>
  <si>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</si>
  <si>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</si>
  <si>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</si>
  <si>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</si>
  <si>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</si>
  <si>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</si>
  <si>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</si>
  <si>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</si>
  <si>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</si>
  <si>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</si>
  <si>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</si>
  <si>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</si>
  <si>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</si>
  <si>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</si>
  <si>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</si>
  <si>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</si>
  <si>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</si>
  <si>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</si>
  <si>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</si>
  <si>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</si>
  <si>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</si>
  <si>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</si>
  <si>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</si>
  <si>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</si>
  <si>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</si>
  <si>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</si>
  <si>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</si>
  <si>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</si>
  <si>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</si>
  <si>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</si>
  <si>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</si>
  <si>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</si>
  <si>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</si>
  <si>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</si>
  <si>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</si>
  <si>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</si>
  <si>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</si>
  <si>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</si>
  <si>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</si>
  <si>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</si>
  <si>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</si>
  <si>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</si>
  <si>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</si>
  <si>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</si>
  <si>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</si>
  <si>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</si>
  <si>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</si>
  <si>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</si>
  <si>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</si>
  <si>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</si>
  <si>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</si>
  <si>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</si>
  <si>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</si>
  <si>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</si>
  <si>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</si>
  <si>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</si>
  <si>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</si>
  <si>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</si>
  <si>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</si>
  <si>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</si>
  <si>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</si>
  <si>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</si>
  <si>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</si>
  <si>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</si>
  <si>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</si>
  <si>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</si>
  <si>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</si>
  <si>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</si>
  <si>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</si>
  <si>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</si>
  <si>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</si>
  <si>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</si>
  <si>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</si>
  <si>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</si>
  <si>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</si>
  <si>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</si>
  <si>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</si>
  <si>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</si>
  <si>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</si>
  <si>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</si>
  <si>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</si>
  <si>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</si>
  <si>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</si>
  <si>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</si>
  <si>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</si>
  <si>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</si>
  <si>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</si>
  <si>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</si>
  <si>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</si>
  <si>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</si>
  <si>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</si>
  <si>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</si>
  <si>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</si>
  <si>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</si>
  <si>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</si>
  <si>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</si>
  <si>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</si>
  <si>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</si>
  <si>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</si>
  <si>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</si>
  <si>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</si>
  <si>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</si>
  <si>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</si>
  <si>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</si>
  <si>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</si>
  <si>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</si>
  <si>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</si>
  <si>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</si>
  <si>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</si>
  <si>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</si>
  <si>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</si>
  <si>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</si>
  <si>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</si>
  <si>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</si>
  <si>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</si>
  <si>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</si>
  <si>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</si>
  <si>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</si>
  <si>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</si>
  <si>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</si>
  <si>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</si>
  <si>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</si>
  <si>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</si>
  <si>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</si>
  <si>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</si>
  <si>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</si>
  <si>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</si>
  <si>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</si>
  <si>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</si>
  <si>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</si>
  <si>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</si>
  <si>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</si>
  <si>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</si>
  <si>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</si>
  <si>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</si>
  <si>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</si>
  <si>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</si>
  <si>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</si>
  <si>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</si>
  <si>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</si>
  <si>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</si>
  <si>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</si>
  <si>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</si>
  <si>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</si>
  <si>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</si>
  <si>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</si>
  <si>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</si>
  <si>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</si>
  <si>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</si>
  <si>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</si>
  <si>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</si>
  <si>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</si>
  <si>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</si>
  <si>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</si>
  <si>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</si>
  <si>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</si>
  <si>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</si>
  <si>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</si>
  <si>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</si>
  <si>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</si>
  <si>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</si>
  <si>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</si>
  <si>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</si>
  <si>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</si>
  <si>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</si>
  <si>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</si>
  <si>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</si>
  <si>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</si>
  <si>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</si>
  <si>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</si>
  <si>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</si>
  <si>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</si>
  <si>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</si>
  <si>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</si>
  <si>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</si>
  <si>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</si>
  <si>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</si>
  <si>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</si>
  <si>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</si>
  <si>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</si>
  <si>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</si>
  <si>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</si>
  <si>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</si>
  <si>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</si>
  <si>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</si>
  <si>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</si>
  <si>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</si>
  <si>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</si>
  <si>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</si>
  <si>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</si>
  <si>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</si>
  <si>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</si>
  <si>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</si>
  <si>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</si>
  <si>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</si>
  <si>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</si>
  <si>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</si>
  <si>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</si>
  <si>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</si>
  <si>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</si>
  <si>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</si>
  <si>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</si>
  <si>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</si>
  <si>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</si>
  <si>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</si>
  <si>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</si>
  <si>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</si>
  <si>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</si>
  <si>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</si>
  <si>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</si>
  <si>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</si>
  <si>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</si>
  <si>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</si>
  <si>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</si>
  <si>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</si>
  <si>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</si>
  <si>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</si>
  <si>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</si>
  <si>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</si>
  <si>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</si>
  <si>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</si>
  <si>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</si>
  <si>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</si>
  <si>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</si>
  <si>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</si>
  <si>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</si>
  <si>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</si>
  <si>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</si>
  <si>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</si>
  <si>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</si>
  <si>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</si>
  <si>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</si>
  <si>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</si>
  <si>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</si>
  <si>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</si>
  <si>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</si>
  <si>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</si>
  <si>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</si>
  <si>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</si>
  <si>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</si>
  <si>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</si>
  <si>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</si>
  <si>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</si>
  <si>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</si>
  <si>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</si>
  <si>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</si>
  <si>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</si>
  <si>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</si>
  <si>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</si>
  <si>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</si>
  <si>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</si>
  <si>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</si>
  <si>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</si>
  <si>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</si>
  <si>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</si>
  <si>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</si>
  <si>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</si>
  <si>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</si>
  <si>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</si>
  <si>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</si>
  <si>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</si>
  <si>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</si>
  <si>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</si>
  <si>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</si>
  <si>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</si>
  <si>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</si>
  <si>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</si>
  <si>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</si>
  <si>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</si>
  <si>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</si>
  <si>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</si>
  <si>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</si>
  <si>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</si>
  <si>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</si>
  <si>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</si>
  <si>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</si>
  <si>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</si>
  <si>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</si>
  <si>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</si>
  <si>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</si>
  <si>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</si>
  <si>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</si>
  <si>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</si>
  <si>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</si>
  <si>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</si>
  <si>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</si>
  <si>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</si>
  <si>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</si>
  <si>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</si>
  <si>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</si>
  <si>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</si>
  <si>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</si>
  <si>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</si>
  <si>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</si>
  <si>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</si>
  <si>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</si>
  <si>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</si>
  <si>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</si>
  <si>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</si>
  <si>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</si>
  <si>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</si>
  <si>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</si>
  <si>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</si>
  <si>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</si>
  <si>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</si>
  <si>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</si>
  <si>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</si>
  <si>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</si>
  <si>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</si>
  <si>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</si>
  <si>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</si>
  <si>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</si>
  <si>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</si>
  <si>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</si>
  <si>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</si>
  <si>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</si>
  <si>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</si>
  <si>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</si>
  <si>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</si>
  <si>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</si>
  <si>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</si>
  <si>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</si>
  <si>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</si>
  <si>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</si>
  <si>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</si>
  <si>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</si>
  <si>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</si>
  <si>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</si>
  <si>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</si>
  <si>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</si>
  <si>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</si>
  <si>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</si>
  <si>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</si>
  <si>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</si>
  <si>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</si>
  <si>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</si>
  <si>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</si>
  <si>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</si>
  <si>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</si>
  <si>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</si>
  <si>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</si>
  <si>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</si>
  <si>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</si>
  <si>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</si>
  <si>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</si>
  <si>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</si>
  <si>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</si>
  <si>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</si>
  <si>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</si>
  <si>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</si>
  <si>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</si>
  <si>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</si>
  <si>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</si>
  <si>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</si>
  <si>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</si>
  <si>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</si>
  <si>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</si>
  <si>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</si>
  <si>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</si>
  <si>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</si>
  <si>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</si>
  <si>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</si>
  <si>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</si>
  <si>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</si>
  <si>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</si>
  <si>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</si>
  <si>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</si>
  <si>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</si>
  <si>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</si>
  <si>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</si>
  <si>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</si>
  <si>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</si>
  <si>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</si>
  <si>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</si>
  <si>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</si>
  <si>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</si>
  <si>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</si>
  <si>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</si>
  <si>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</si>
  <si>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</si>
  <si>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</si>
  <si>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</si>
  <si>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</si>
  <si>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</si>
  <si>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</si>
  <si>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</si>
  <si>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</si>
  <si>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</si>
  <si>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</si>
  <si>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</si>
  <si>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</si>
  <si>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</si>
  <si>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</si>
  <si>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</si>
  <si>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</si>
  <si>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</si>
  <si>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</si>
  <si>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</si>
  <si>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</si>
  <si>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</si>
  <si>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</si>
  <si>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</si>
  <si>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</si>
  <si>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</si>
  <si>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</si>
  <si>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</si>
  <si>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</si>
  <si>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</si>
  <si>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</si>
  <si>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</si>
  <si>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</si>
  <si>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</si>
  <si>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</si>
  <si>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</si>
  <si>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</si>
  <si>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</si>
  <si>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</si>
  <si>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</si>
  <si>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</si>
  <si>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</si>
  <si>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</si>
  <si>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</si>
  <si>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</si>
  <si>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</si>
  <si>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</si>
  <si>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</si>
  <si>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</si>
  <si>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</si>
  <si>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</si>
  <si>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</si>
  <si>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</si>
  <si>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</si>
  <si>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</si>
  <si>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</si>
  <si>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</si>
  <si>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</si>
  <si>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</si>
  <si>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</si>
  <si>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</si>
  <si>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</si>
  <si>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</si>
  <si>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</si>
  <si>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</si>
  <si>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</si>
  <si>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</si>
  <si>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</si>
  <si>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</si>
  <si>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</si>
  <si>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</si>
  <si>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</si>
  <si>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</si>
  <si>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</si>
  <si>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</si>
  <si>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</si>
  <si>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</si>
  <si>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</si>
  <si>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</si>
  <si>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</si>
  <si>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</si>
  <si>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</si>
  <si>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</si>
  <si>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</si>
  <si>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</si>
  <si>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</si>
  <si>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</si>
  <si>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</si>
  <si>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</si>
  <si>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</si>
  <si>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</si>
  <si>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</si>
  <si>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</si>
  <si>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</si>
  <si>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</si>
  <si>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</si>
  <si>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</si>
  <si>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</si>
  <si>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</si>
  <si>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</si>
  <si>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</si>
  <si>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</si>
  <si>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</si>
  <si>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</si>
  <si>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</si>
  <si>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</si>
  <si>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</si>
  <si>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</si>
  <si>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</si>
  <si>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</si>
  <si>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</si>
  <si>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</si>
  <si>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</si>
  <si>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</si>
  <si>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</si>
  <si>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</si>
  <si>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</si>
  <si>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</si>
  <si>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</si>
  <si>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</si>
  <si>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</si>
  <si>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</si>
  <si>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</si>
  <si>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</si>
  <si>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</si>
  <si>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</si>
  <si>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</si>
  <si>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</si>
  <si>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</si>
  <si>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</si>
  <si>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</si>
  <si>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</si>
  <si>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</si>
  <si>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</si>
  <si>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</si>
  <si>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</si>
  <si>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</si>
  <si>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</si>
  <si>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</si>
  <si>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</si>
  <si>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</si>
  <si>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</si>
  <si>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</si>
  <si>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</si>
  <si>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</si>
  <si>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</si>
  <si>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</si>
  <si>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</si>
  <si>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</si>
  <si>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</si>
  <si>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</si>
  <si>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</si>
  <si>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</si>
  <si>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</si>
  <si>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</si>
  <si>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</si>
  <si>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</si>
  <si>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</si>
  <si>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</si>
  <si>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</si>
  <si>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</si>
  <si>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</si>
  <si>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</si>
  <si>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</si>
  <si>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</si>
  <si>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</si>
  <si>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</si>
  <si>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</si>
  <si>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</si>
  <si>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</si>
  <si>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</si>
  <si>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</si>
  <si>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</si>
  <si>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</si>
  <si>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</si>
  <si>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</si>
  <si>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</si>
  <si>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</si>
  <si>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</si>
  <si>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</si>
  <si>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</si>
  <si>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</si>
  <si>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</si>
  <si>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</si>
  <si>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</si>
  <si>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</si>
  <si>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</si>
  <si>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</si>
  <si>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</si>
  <si>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</si>
  <si>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</si>
  <si>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</si>
  <si>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</si>
  <si>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</si>
  <si>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</si>
  <si>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</si>
  <si>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</si>
  <si>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</si>
  <si>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</si>
  <si>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</si>
  <si>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</si>
  <si>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</si>
  <si>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</si>
  <si>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</si>
  <si>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</si>
  <si>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</si>
  <si>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</si>
  <si>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</si>
  <si>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</si>
  <si>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</si>
  <si>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</si>
  <si>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</si>
  <si>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</si>
  <si>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</si>
  <si>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</si>
  <si>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</si>
  <si>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</si>
  <si>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</si>
  <si>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</si>
  <si>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</si>
  <si>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</si>
  <si>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</si>
  <si>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</si>
  <si>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</si>
  <si>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</si>
  <si>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</si>
  <si>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</si>
  <si>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</si>
  <si>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</si>
  <si>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</si>
  <si>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</si>
  <si>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</si>
  <si>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</si>
  <si>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</si>
  <si>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</si>
  <si>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</si>
  <si>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</si>
  <si>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</si>
  <si>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</si>
  <si>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</si>
  <si>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</si>
  <si>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</si>
  <si>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</si>
  <si>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</si>
  <si>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</si>
  <si>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</si>
  <si>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</si>
  <si>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</si>
  <si>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</si>
  <si>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</si>
  <si>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</si>
  <si>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</si>
  <si>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</si>
  <si>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</si>
  <si>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</si>
  <si>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</si>
  <si>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</si>
  <si>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</si>
  <si>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</si>
  <si>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</si>
  <si>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</si>
  <si>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</si>
  <si>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</si>
  <si>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</si>
  <si>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</si>
  <si>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</si>
  <si>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</si>
  <si>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</si>
  <si>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</si>
  <si>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</si>
  <si>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</si>
  <si>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</si>
  <si>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</si>
  <si>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</si>
  <si>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</si>
  <si>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</si>
  <si>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</si>
  <si>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</si>
  <si>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</si>
  <si>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</si>
  <si>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</si>
  <si>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</si>
  <si>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</si>
  <si>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</si>
  <si>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</si>
  <si>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</si>
  <si>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</si>
  <si>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</si>
  <si>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</si>
  <si>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</si>
  <si>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</si>
  <si>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</si>
  <si>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</si>
  <si>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</si>
  <si>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</si>
  <si>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</si>
  <si>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</si>
  <si>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</si>
  <si>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</si>
  <si>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</si>
  <si>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</si>
  <si>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</si>
  <si>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</si>
  <si>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</si>
  <si>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</si>
  <si>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</si>
  <si>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</si>
  <si>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</si>
  <si>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</si>
  <si>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</si>
  <si>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</si>
  <si>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</si>
  <si>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</si>
  <si>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</si>
  <si>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</si>
  <si>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</si>
  <si>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</si>
  <si>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</si>
  <si>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</si>
  <si>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</si>
  <si>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</si>
  <si>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</si>
  <si>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</si>
  <si>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</si>
  <si>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</si>
  <si>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</si>
  <si>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</si>
  <si>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</si>
  <si>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</si>
  <si>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</si>
  <si>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</si>
  <si>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</si>
  <si>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</si>
  <si>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</si>
  <si>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</si>
  <si>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</si>
  <si>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</si>
  <si>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</si>
  <si>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</si>
  <si>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</si>
  <si>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</si>
  <si>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</si>
  <si>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</si>
  <si>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</si>
  <si>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</si>
  <si>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</si>
  <si>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</si>
  <si>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</si>
  <si>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</si>
  <si>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</si>
  <si>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</si>
  <si>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</si>
  <si>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</si>
  <si>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</si>
  <si>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</si>
  <si>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</si>
  <si>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</si>
  <si>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</si>
  <si>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</si>
  <si>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</si>
  <si>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</si>
  <si>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</si>
  <si>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</si>
  <si>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</si>
  <si>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</si>
  <si>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</si>
  <si>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</si>
  <si>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</si>
  <si>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</si>
  <si>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</si>
  <si>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</si>
  <si>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</si>
  <si>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</si>
  <si>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</si>
  <si>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</si>
  <si>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</si>
  <si>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</si>
  <si>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</si>
  <si>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</si>
  <si>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</si>
  <si>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</si>
  <si>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</si>
  <si>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</si>
  <si>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</si>
  <si>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</si>
  <si>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</si>
  <si>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</si>
  <si>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</si>
  <si>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</si>
  <si>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</si>
  <si>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</si>
  <si>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</si>
  <si>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</si>
  <si>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</si>
  <si>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</si>
  <si>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</si>
  <si>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</si>
  <si>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</si>
  <si>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</si>
  <si>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</si>
  <si>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</si>
  <si>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</si>
  <si>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</si>
  <si>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</si>
  <si>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</si>
  <si>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</si>
  <si>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</si>
  <si>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</si>
  <si>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</si>
  <si>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</si>
  <si>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</si>
  <si>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</si>
  <si>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</si>
  <si>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</si>
  <si>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</si>
  <si>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</si>
  <si>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</si>
  <si>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</si>
  <si>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</si>
  <si>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</si>
  <si>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</si>
  <si>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</si>
  <si>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</si>
  <si>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</si>
  <si>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</si>
  <si>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</si>
  <si>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</si>
  <si>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</si>
  <si>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</si>
  <si>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</si>
  <si>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</si>
  <si>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</si>
  <si>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</si>
  <si>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</si>
  <si>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</si>
  <si>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</si>
  <si>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</si>
  <si>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</si>
  <si>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</si>
  <si>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</si>
  <si>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</si>
  <si>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</si>
  <si>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</si>
  <si>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</si>
  <si>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</si>
  <si>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</si>
  <si>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</si>
  <si>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</si>
  <si>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</si>
  <si>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</si>
  <si>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</si>
  <si>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</si>
  <si>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</si>
  <si>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</si>
  <si>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</si>
  <si>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</si>
  <si>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</si>
  <si>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</si>
  <si>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</si>
  <si>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</si>
  <si>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</si>
  <si>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</si>
  <si>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</si>
  <si>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</si>
  <si>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</si>
  <si>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</si>
  <si>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</si>
  <si>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</si>
  <si>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</si>
  <si>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</si>
  <si>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</si>
  <si>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</si>
  <si>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</si>
  <si>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</si>
  <si>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</si>
  <si>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</si>
  <si>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</si>
  <si>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</si>
  <si>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</si>
  <si>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</si>
  <si>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</si>
  <si>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</si>
  <si>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</si>
  <si>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</si>
  <si>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</si>
  <si>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</si>
  <si>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</si>
  <si>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</si>
  <si>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</si>
  <si>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</si>
  <si>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</si>
  <si>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</si>
  <si>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</si>
  <si>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</si>
  <si>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</si>
  <si>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</si>
  <si>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</si>
  <si>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</si>
  <si>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</si>
  <si>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</si>
  <si>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</si>
  <si>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</si>
  <si>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</si>
  <si>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</si>
  <si>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</si>
  <si>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</si>
  <si>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</si>
  <si>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</si>
  <si>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</si>
  <si>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</si>
  <si>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</si>
  <si>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</si>
  <si>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</si>
  <si>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</si>
  <si>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</si>
  <si>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</si>
  <si>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</si>
  <si>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</si>
  <si>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</si>
  <si>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</si>
  <si>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</si>
  <si>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</si>
  <si>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</si>
  <si>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</si>
  <si>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</si>
  <si>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</si>
  <si>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</si>
  <si>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</si>
  <si>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</si>
  <si>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</si>
  <si>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</si>
  <si>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</si>
  <si>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</si>
  <si>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</si>
  <si>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</si>
  <si>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</si>
  <si>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</si>
  <si>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</si>
  <si>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</si>
  <si>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</si>
  <si>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</si>
  <si>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</si>
  <si>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</si>
  <si>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</si>
  <si>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</si>
  <si>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</si>
  <si>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</si>
  <si>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</si>
  <si>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</si>
  <si>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</si>
  <si>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</si>
  <si>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</si>
  <si>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</si>
  <si>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</si>
  <si>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</si>
  <si>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</si>
  <si>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</si>
  <si>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</si>
  <si>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</si>
  <si>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</si>
  <si>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</si>
  <si>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</si>
  <si>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</si>
  <si>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</si>
  <si>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</si>
  <si>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</si>
  <si>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</si>
  <si>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</si>
  <si>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</si>
  <si>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</si>
  <si>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</si>
  <si>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</si>
  <si>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</si>
  <si>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</si>
  <si>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</si>
  <si>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</si>
  <si>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</si>
  <si>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</si>
  <si>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</si>
  <si>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</si>
  <si>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</si>
  <si>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</si>
  <si>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</si>
  <si>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</si>
  <si>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</si>
  <si>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</si>
  <si>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</si>
  <si>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</si>
  <si>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</si>
  <si>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</si>
  <si>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</si>
  <si>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</si>
  <si>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</si>
  <si>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</si>
  <si>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</si>
  <si>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</si>
  <si>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</si>
  <si>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</si>
  <si>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</si>
  <si>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</si>
  <si>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</si>
  <si>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</si>
  <si>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</si>
  <si>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</si>
  <si>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</si>
  <si>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</si>
  <si>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</si>
  <si>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</si>
  <si>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</si>
  <si>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</si>
  <si>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</si>
  <si>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</si>
  <si>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</si>
  <si>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</si>
  <si>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</si>
  <si>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</si>
  <si>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</si>
  <si>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</si>
  <si>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</si>
  <si>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</si>
  <si>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</si>
  <si>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</si>
  <si>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</si>
  <si>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</si>
  <si>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</si>
  <si>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</si>
  <si>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</si>
  <si>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</si>
  <si>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</si>
  <si>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</si>
  <si>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</si>
  <si>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</si>
  <si>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</si>
  <si>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</si>
  <si>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</si>
  <si>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</si>
  <si>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</si>
  <si>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</si>
  <si>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</si>
  <si>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</si>
  <si>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</si>
  <si>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</si>
  <si>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北京市</t>
  </si>
  <si>
    <t>企业</t>
  </si>
  <si>
    <t>出让</t>
  </si>
  <si>
    <t>序号</t>
    <phoneticPr fontId="255" type="noConversion"/>
  </si>
  <si>
    <t>不动产权证号</t>
    <phoneticPr fontId="255" type="noConversion"/>
  </si>
  <si>
    <t>坐落</t>
    <phoneticPr fontId="255" type="noConversion"/>
  </si>
  <si>
    <t>建筑面积</t>
    <phoneticPr fontId="255" type="noConversion"/>
  </si>
  <si>
    <t>京（2020）昌不动产权第0009061号</t>
    <phoneticPr fontId="255" type="noConversion"/>
  </si>
  <si>
    <t>京（2020）昌不动产权第0009070号</t>
    <phoneticPr fontId="255" type="noConversion"/>
  </si>
  <si>
    <t>昌平区能源东路1号院1号楼4层3单元402</t>
  </si>
  <si>
    <t>京（2020）昌不动产权第0009062号</t>
    <phoneticPr fontId="255" type="noConversion"/>
  </si>
  <si>
    <t>昌平区能源东路1号院1号楼4层3单元403</t>
  </si>
  <si>
    <t>京（2020）昌不动产权第0009249号</t>
    <phoneticPr fontId="255" type="noConversion"/>
  </si>
  <si>
    <t>昌平区能源东路1号院1号楼4层3单元404</t>
  </si>
  <si>
    <t>京（2020）昌不动产权第0009253号</t>
    <phoneticPr fontId="255" type="noConversion"/>
  </si>
  <si>
    <t>昌平区能源东路1号院1号楼4层3单元405</t>
  </si>
  <si>
    <t>京（2020）昌不动产权第0009254号</t>
    <phoneticPr fontId="255" type="noConversion"/>
  </si>
  <si>
    <t>昌平区能源东路1号院1号楼4层3单元406</t>
  </si>
  <si>
    <t>京（2020）昌不动产权第0009431号</t>
    <phoneticPr fontId="255" type="noConversion"/>
  </si>
  <si>
    <t>昌平区能源东路1号院1号楼4层3单元407</t>
  </si>
  <si>
    <t>京（2020）昌不动产权第0009441号</t>
    <phoneticPr fontId="255" type="noConversion"/>
  </si>
  <si>
    <t>昌平区能源东路1号院1号楼4层3单元408</t>
  </si>
  <si>
    <t>京（2020）昌不动产权第0009432号</t>
    <phoneticPr fontId="255" type="noConversion"/>
  </si>
  <si>
    <t>昌平区能源东路1号院1号楼4层3单元409</t>
  </si>
  <si>
    <t>京（2020）昌不动产权第0009615号</t>
    <phoneticPr fontId="255" type="noConversion"/>
  </si>
  <si>
    <t>昌平区能源东路1号院1号楼4层3单元410</t>
  </si>
  <si>
    <t>京（2020）昌不动产权第0009612号</t>
    <phoneticPr fontId="255" type="noConversion"/>
  </si>
  <si>
    <t>昌平区能源东路1号院1号楼4层3单元411</t>
  </si>
  <si>
    <t>京（2020）昌不动产权第0009610号</t>
    <phoneticPr fontId="255" type="noConversion"/>
  </si>
  <si>
    <t>昌平区能源东路1号院1号楼4层3单元412</t>
  </si>
  <si>
    <t>京（2020）昌不动产权第0009779号</t>
    <phoneticPr fontId="255" type="noConversion"/>
  </si>
  <si>
    <t>昌平区能源东路1号院1号楼4层3单元413</t>
  </si>
  <si>
    <t>京（2020）昌不动产权第0009774号</t>
    <phoneticPr fontId="255" type="noConversion"/>
  </si>
  <si>
    <t>昌平区能源东路1号院1号楼4层3单元414</t>
  </si>
  <si>
    <t>京（2020）昌不动产权第0009776号</t>
    <phoneticPr fontId="255" type="noConversion"/>
  </si>
  <si>
    <t>昌平区能源东路1号院1号楼5层3单元501</t>
    <phoneticPr fontId="255" type="noConversion"/>
  </si>
  <si>
    <t>京（2020）昌不动产权第0009994号</t>
    <phoneticPr fontId="255" type="noConversion"/>
  </si>
  <si>
    <t>昌平区能源东路1号院1号楼5层3单元502</t>
    <phoneticPr fontId="255" type="noConversion"/>
  </si>
  <si>
    <t>京（2020）昌不动产权第0010013号</t>
    <phoneticPr fontId="255" type="noConversion"/>
  </si>
  <si>
    <t>昌平区能源东路1号院1号楼5层3单元503</t>
  </si>
  <si>
    <t>京（2020）昌不动产权第0010009号</t>
    <phoneticPr fontId="255" type="noConversion"/>
  </si>
  <si>
    <t>昌平区能源东路1号院1号楼5层3单元504</t>
  </si>
  <si>
    <t>京（2020）昌不动产权第0010224号</t>
    <phoneticPr fontId="255" type="noConversion"/>
  </si>
  <si>
    <t>昌平区能源东路1号院1号楼5层3单元505</t>
  </si>
  <si>
    <t>京（2020）昌不动产权第0010240号</t>
    <phoneticPr fontId="255" type="noConversion"/>
  </si>
  <si>
    <t>昌平区能源东路1号院1号楼5层3单元506</t>
  </si>
  <si>
    <t>京（2020）昌不动产权第0010232号</t>
    <phoneticPr fontId="255" type="noConversion"/>
  </si>
  <si>
    <t>昌平区能源东路1号院1号楼5层3单元507</t>
  </si>
  <si>
    <t>京（2020）昌不动产权第0010412号</t>
    <phoneticPr fontId="255" type="noConversion"/>
  </si>
  <si>
    <t>昌平区能源东路1号院1号楼5层3单元508</t>
  </si>
  <si>
    <t>京（2020）昌不动产权第0010409号</t>
    <phoneticPr fontId="255" type="noConversion"/>
  </si>
  <si>
    <t>昌平区能源东路1号院1号楼5层3单元509</t>
  </si>
  <si>
    <t>京（2020）昌不动产权第0010407号</t>
    <phoneticPr fontId="255" type="noConversion"/>
  </si>
  <si>
    <t>昌平区能源东路1号院1号楼5层3单元510</t>
  </si>
  <si>
    <t>京（2020）昌不动产权第0010827号</t>
    <phoneticPr fontId="255" type="noConversion"/>
  </si>
  <si>
    <t>昌平区能源东路1号院1号楼5层3单元511</t>
  </si>
  <si>
    <t>京（2020）昌不动产权第0010824号</t>
    <phoneticPr fontId="255" type="noConversion"/>
  </si>
  <si>
    <t>昌平区能源东路1号院1号楼5层3单元512</t>
  </si>
  <si>
    <t>京（2020）昌不动产权第0010826号</t>
    <phoneticPr fontId="255" type="noConversion"/>
  </si>
  <si>
    <t>昌平区能源东路1号院1号楼5层3单元513</t>
  </si>
  <si>
    <t>京（2020）昌不动产权第0010654号</t>
    <phoneticPr fontId="255" type="noConversion"/>
  </si>
  <si>
    <t>昌平区能源东路1号院1号楼5层3单元514</t>
  </si>
  <si>
    <t>京（2020）昌不动产权第0010646号</t>
    <phoneticPr fontId="255" type="noConversion"/>
  </si>
  <si>
    <t>昌平区能源东路1号院1号楼6层3单元601</t>
    <phoneticPr fontId="255" type="noConversion"/>
  </si>
  <si>
    <t>京（2020）昌不动产权第0010643号</t>
    <phoneticPr fontId="255" type="noConversion"/>
  </si>
  <si>
    <t>昌平区能源东路1号院1号楼6层3单元602</t>
  </si>
  <si>
    <t>京（2020）昌不动产权第0011008号</t>
    <phoneticPr fontId="255" type="noConversion"/>
  </si>
  <si>
    <t>昌平区能源东路1号院1号楼6层3单元603</t>
  </si>
  <si>
    <t>京（2020）昌不动产权第0011005号</t>
    <phoneticPr fontId="255" type="noConversion"/>
  </si>
  <si>
    <t>昌平区能源东路1号院1号楼6层3单元604</t>
  </si>
  <si>
    <t>京（2020）昌不动产权第0011019号</t>
    <phoneticPr fontId="255" type="noConversion"/>
  </si>
  <si>
    <t>昌平区能源东路1号院1号楼6层3单元605</t>
  </si>
  <si>
    <t>京（2020）昌不动产权第0011014号</t>
    <phoneticPr fontId="255" type="noConversion"/>
  </si>
  <si>
    <t>昌平区能源东路1号院1号楼6层3单元606</t>
  </si>
  <si>
    <t>京（2020）昌不动产权第0011016号</t>
    <phoneticPr fontId="255" type="noConversion"/>
  </si>
  <si>
    <t>昌平区能源东路1号院1号楼6层3单元607</t>
  </si>
  <si>
    <t>京（2020）昌不动产权第0011015号</t>
    <phoneticPr fontId="255" type="noConversion"/>
  </si>
  <si>
    <t>昌平区能源东路1号院1号楼6层3单元608</t>
  </si>
  <si>
    <t>京（2020）昌不动产权第0011220号</t>
    <phoneticPr fontId="255" type="noConversion"/>
  </si>
  <si>
    <t>昌平区能源东路1号院1号楼6层3单元609</t>
  </si>
  <si>
    <t>京（2020）昌不动产权第0011215号</t>
    <phoneticPr fontId="255" type="noConversion"/>
  </si>
  <si>
    <t>昌平区能源东路1号院1号楼6层3单元610</t>
  </si>
  <si>
    <t>京（2020）昌不动产权第0011231号</t>
    <phoneticPr fontId="255" type="noConversion"/>
  </si>
  <si>
    <t>昌平区能源东路1号院1号楼6层3单元611</t>
  </si>
  <si>
    <t>京（2020）昌不动产权第0011218号</t>
    <phoneticPr fontId="255" type="noConversion"/>
  </si>
  <si>
    <t>昌平区能源东路1号院1号楼6层3单元612</t>
  </si>
  <si>
    <t>京（2020）昌不动产权第0011214号</t>
    <phoneticPr fontId="255" type="noConversion"/>
  </si>
  <si>
    <t>昌平区能源东路1号院1号楼6层3单元613</t>
  </si>
  <si>
    <t>京（2020）昌不动产权第0011428号</t>
    <phoneticPr fontId="255" type="noConversion"/>
  </si>
  <si>
    <t>昌平区能源东路1号院1号楼6层3单元614</t>
  </si>
  <si>
    <t>京（2020）昌不动产权第0012735号</t>
    <phoneticPr fontId="255" type="noConversion"/>
  </si>
  <si>
    <t>昌平区能源东路1号院1号楼7层3单元701</t>
    <phoneticPr fontId="255" type="noConversion"/>
  </si>
  <si>
    <t>京（2020）昌不动产权第0011567号</t>
    <phoneticPr fontId="255" type="noConversion"/>
  </si>
  <si>
    <t>昌平区能源东路1号院1号楼7层3单元702</t>
  </si>
  <si>
    <t>京（2020）昌不动产权第0011572号</t>
    <phoneticPr fontId="255" type="noConversion"/>
  </si>
  <si>
    <t>昌平区能源东路1号院1号楼7层3单元703</t>
  </si>
  <si>
    <t>京（2020）昌不动产权第0011576号</t>
    <phoneticPr fontId="255" type="noConversion"/>
  </si>
  <si>
    <t>昌平区能源东路1号院1号楼7层3单元704</t>
  </si>
  <si>
    <t>京（2020）昌不动产权第0011597号</t>
    <phoneticPr fontId="255" type="noConversion"/>
  </si>
  <si>
    <t>昌平区能源东路1号院1号楼7层3单元705</t>
  </si>
  <si>
    <t>京（2020）昌不动产权第0011429号</t>
    <phoneticPr fontId="255" type="noConversion"/>
  </si>
  <si>
    <t>昌平区能源东路1号院1号楼7层3单元706</t>
  </si>
  <si>
    <t>京（2020）昌不动产权第0011426号</t>
    <phoneticPr fontId="255" type="noConversion"/>
  </si>
  <si>
    <t>昌平区能源东路1号院1号楼7层3单元707</t>
  </si>
  <si>
    <t>京（2020）昌不动产权第0011427号</t>
    <phoneticPr fontId="255" type="noConversion"/>
  </si>
  <si>
    <t>昌平区能源东路1号院1号楼7层3单元708</t>
  </si>
  <si>
    <t>京（2020）昌不动产权第0011430号</t>
    <phoneticPr fontId="255" type="noConversion"/>
  </si>
  <si>
    <t>昌平区能源东路1号院1号楼7层3单元709</t>
  </si>
  <si>
    <t>京（2020）昌不动产权第0011866号</t>
    <phoneticPr fontId="255" type="noConversion"/>
  </si>
  <si>
    <t>昌平区能源东路1号院1号楼7层3单元710</t>
  </si>
  <si>
    <t>京（2020）昌不动产权第0011867号</t>
    <phoneticPr fontId="255" type="noConversion"/>
  </si>
  <si>
    <t>昌平区能源东路1号院1号楼7层3单元711</t>
  </si>
  <si>
    <t>京（2020）昌不动产权第0011872号</t>
    <phoneticPr fontId="255" type="noConversion"/>
  </si>
  <si>
    <t>昌平区能源东路1号院1号楼7层3单元712</t>
  </si>
  <si>
    <t>京（2020）昌不动产权第0012082号</t>
    <phoneticPr fontId="255" type="noConversion"/>
  </si>
  <si>
    <t>昌平区能源东路1号院1号楼7层3单元713</t>
  </si>
  <si>
    <t>京（2020）昌不动产权第0012091号</t>
    <phoneticPr fontId="255" type="noConversion"/>
  </si>
  <si>
    <t>昌平区能源东路1号院1号楼7层3单元714</t>
  </si>
  <si>
    <t>京（2020）昌不动产权第0012085号</t>
    <phoneticPr fontId="255" type="noConversion"/>
  </si>
  <si>
    <t>昌平区能源东路1号院1号楼8层3单元801</t>
    <phoneticPr fontId="255" type="noConversion"/>
  </si>
  <si>
    <t>京（2020）昌不动产权第0012086号</t>
  </si>
  <si>
    <t>昌平区能源东路1号院1号楼8层3单元802</t>
  </si>
  <si>
    <t>京（2020）昌不动产权第0011868号</t>
    <phoneticPr fontId="255" type="noConversion"/>
  </si>
  <si>
    <t>昌平区能源东路1号院1号楼8层3单元803</t>
  </si>
  <si>
    <t>京（2020）昌不动产权第0012090号</t>
    <phoneticPr fontId="255" type="noConversion"/>
  </si>
  <si>
    <t>昌平区能源东路1号院1号楼8层3单元804</t>
  </si>
  <si>
    <t>京（2020）昌不动产权第0011871号</t>
    <phoneticPr fontId="255" type="noConversion"/>
  </si>
  <si>
    <t>昌平区能源东路1号院1号楼8层3单元805</t>
  </si>
  <si>
    <t>京（2020）昌不动产权第0011638号</t>
    <phoneticPr fontId="255" type="noConversion"/>
  </si>
  <si>
    <t>昌平区能源东路1号院1号楼8层3单元806</t>
  </si>
  <si>
    <t>京（2020）昌不动产权第0012290号</t>
    <phoneticPr fontId="255" type="noConversion"/>
  </si>
  <si>
    <t>昌平区能源东路1号院1号楼8层3单元807</t>
  </si>
  <si>
    <t>京（2020）昌不动产权第0012300号</t>
    <phoneticPr fontId="255" type="noConversion"/>
  </si>
  <si>
    <t>昌平区能源东路1号院1号楼8层3单元808</t>
  </si>
  <si>
    <t>京（2020）昌不动产权第0012288号</t>
    <phoneticPr fontId="255" type="noConversion"/>
  </si>
  <si>
    <t>昌平区能源东路1号院1号楼8层3单元809</t>
  </si>
  <si>
    <t>京（2020）昌不动产权第0012279号</t>
    <phoneticPr fontId="255" type="noConversion"/>
  </si>
  <si>
    <t>昌平区能源东路1号院1号楼8层3单元810</t>
  </si>
  <si>
    <t>京（2020）昌不动产权第0012287号</t>
    <phoneticPr fontId="255" type="noConversion"/>
  </si>
  <si>
    <t>昌平区能源东路1号院1号楼8层3单元811</t>
  </si>
  <si>
    <t>京（2020）昌不动产权第0012559号</t>
    <phoneticPr fontId="255" type="noConversion"/>
  </si>
  <si>
    <t>昌平区能源东路1号院1号楼8层3单元812</t>
  </si>
  <si>
    <t>京（2020）昌不动产权第0012557号</t>
    <phoneticPr fontId="255" type="noConversion"/>
  </si>
  <si>
    <t>昌平区能源东路1号院1号楼8层3单元813</t>
  </si>
  <si>
    <t>京（2020）昌不动产权第0012565号</t>
    <phoneticPr fontId="255" type="noConversion"/>
  </si>
  <si>
    <t>昌平区能源东路1号院1号楼8层3单元814</t>
  </si>
  <si>
    <t>京（2020）昌不动产权第0012572号</t>
    <phoneticPr fontId="255" type="noConversion"/>
  </si>
  <si>
    <t>昌平区能源东路1号院1号楼9层3单元901</t>
    <phoneticPr fontId="255" type="noConversion"/>
  </si>
  <si>
    <t>京（2020）昌不动产权第0012556号</t>
    <phoneticPr fontId="255" type="noConversion"/>
  </si>
  <si>
    <t>昌平区能源东路1号院1号楼9层3单元902</t>
  </si>
  <si>
    <t>京（2020）昌不动产权第0012728号</t>
    <phoneticPr fontId="255" type="noConversion"/>
  </si>
  <si>
    <t>昌平区能源东路1号院1号楼9层3单元903</t>
  </si>
  <si>
    <t>京（2020）昌不动产权第0012782号</t>
    <phoneticPr fontId="255" type="noConversion"/>
  </si>
  <si>
    <t>昌平区能源东路1号院1号楼9层3单元904</t>
  </si>
  <si>
    <t>京（2020）昌不动产权第0012783号</t>
    <phoneticPr fontId="255" type="noConversion"/>
  </si>
  <si>
    <t>昌平区能源东路1号院1号楼9层3单元905</t>
  </si>
  <si>
    <t>京（2020）昌不动产权第0012733号</t>
    <phoneticPr fontId="255" type="noConversion"/>
  </si>
  <si>
    <t>昌平区能源东路1号院1号楼9层3单元906</t>
  </si>
  <si>
    <t>京（2020）昌不动产权第0012726号</t>
    <phoneticPr fontId="255" type="noConversion"/>
  </si>
  <si>
    <t>昌平区能源东路1号院1号楼9层3单元907</t>
  </si>
  <si>
    <t>京（2020）昌不动产权第0013903号</t>
    <phoneticPr fontId="255" type="noConversion"/>
  </si>
  <si>
    <t>昌平区能源东路1号院1号楼9层3单元908</t>
  </si>
  <si>
    <t>京（2020）昌不动产权第0012966号</t>
    <phoneticPr fontId="255" type="noConversion"/>
  </si>
  <si>
    <t>昌平区能源东路1号院1号楼9层3单元909</t>
  </si>
  <si>
    <t>京（2020）昌不动产权第0012987号</t>
    <phoneticPr fontId="255" type="noConversion"/>
  </si>
  <si>
    <t>昌平区能源东路1号院1号楼9层3单元910</t>
  </si>
  <si>
    <t>京（2020）昌不动产权第0012957号</t>
    <phoneticPr fontId="255" type="noConversion"/>
  </si>
  <si>
    <t>昌平区能源东路1号院1号楼9层3单元911</t>
  </si>
  <si>
    <t>京（2020）昌不动产权第0012970号</t>
    <phoneticPr fontId="255" type="noConversion"/>
  </si>
  <si>
    <t>昌平区能源东路1号院1号楼9层3单元912</t>
  </si>
  <si>
    <t>京（2020）昌不动产权第0012988号</t>
    <phoneticPr fontId="255" type="noConversion"/>
  </si>
  <si>
    <t>昌平区能源东路1号院1号楼9层3单元913</t>
  </si>
  <si>
    <t>京（2020）昌不动产权第0012960号</t>
    <phoneticPr fontId="255" type="noConversion"/>
  </si>
  <si>
    <t>昌平区能源东路1号院1号楼9层3单元914</t>
  </si>
  <si>
    <t>京（2020）昌不动产权第0012969号</t>
    <phoneticPr fontId="255" type="noConversion"/>
  </si>
  <si>
    <t>昌平区能源东路1号院1号楼10层3单元1001</t>
    <phoneticPr fontId="255" type="noConversion"/>
  </si>
  <si>
    <t>京（2020）昌不动产权第0013905号</t>
    <phoneticPr fontId="255" type="noConversion"/>
  </si>
  <si>
    <t>昌平区能源东路1号院1号楼10层3单元1002</t>
  </si>
  <si>
    <t>京（2020）昌不动产权第0013924号</t>
    <phoneticPr fontId="255" type="noConversion"/>
  </si>
  <si>
    <t>昌平区能源东路1号院1号楼10层3单元1003</t>
  </si>
  <si>
    <t>京（2020）昌不动产权第0013910号</t>
    <phoneticPr fontId="255" type="noConversion"/>
  </si>
  <si>
    <t>昌平区能源东路1号院1号楼10层3单元1004</t>
  </si>
  <si>
    <t>京（2020）昌不动产权第0013902号</t>
    <phoneticPr fontId="255" type="noConversion"/>
  </si>
  <si>
    <t>昌平区能源东路1号院1号楼10层3单元1005</t>
  </si>
  <si>
    <t>京（2020）昌不动产权第0008948号</t>
    <phoneticPr fontId="255" type="noConversion"/>
  </si>
  <si>
    <t>昌平区能源东路1号院1号楼10层3单元1006</t>
  </si>
  <si>
    <t>京（2020）昌不动产权第0008950号</t>
    <phoneticPr fontId="255" type="noConversion"/>
  </si>
  <si>
    <t>昌平区能源东路1号院1号楼10层3单元1007</t>
  </si>
  <si>
    <t>京（2020）昌不动产权第0008947号</t>
    <phoneticPr fontId="255" type="noConversion"/>
  </si>
  <si>
    <t>昌平区能源东路1号院1号楼10层3单元1008</t>
  </si>
  <si>
    <t>京（2020）昌不动产权第0013906号</t>
    <phoneticPr fontId="255" type="noConversion"/>
  </si>
  <si>
    <t>昌平区能源东路1号院1号楼10层3单元1009</t>
  </si>
  <si>
    <t>京（2020）昌不动产权第0013908号</t>
    <phoneticPr fontId="255" type="noConversion"/>
  </si>
  <si>
    <t>昌平区能源东路1号院1号楼10层3单元1010</t>
  </si>
  <si>
    <t>京（2020）昌不动产权第0014199号</t>
    <phoneticPr fontId="255" type="noConversion"/>
  </si>
  <si>
    <t>昌平区能源东路1号院1号楼10层3单元1011</t>
  </si>
  <si>
    <t>京（2020）昌不动产权第0014196号</t>
    <phoneticPr fontId="255" type="noConversion"/>
  </si>
  <si>
    <t>昌平区能源东路1号院1号楼10层3单元1012</t>
  </si>
  <si>
    <t>京（2020）昌不动产权第0014195号</t>
    <phoneticPr fontId="255" type="noConversion"/>
  </si>
  <si>
    <t>昌平区能源东路1号院1号楼10层3单元1013</t>
  </si>
  <si>
    <t>京（2020）昌不动产权第0014201号</t>
    <phoneticPr fontId="255" type="noConversion"/>
  </si>
  <si>
    <t>昌平区能源东路1号院1号楼10层3单元1014</t>
  </si>
  <si>
    <t>京（2020）昌不动产权第0014205号</t>
    <phoneticPr fontId="255" type="noConversion"/>
  </si>
  <si>
    <t>昌平区能源东路1号院1号楼11层3单元1101</t>
    <phoneticPr fontId="255" type="noConversion"/>
  </si>
  <si>
    <t>京（2020）昌不动产权第0014378号</t>
    <phoneticPr fontId="255" type="noConversion"/>
  </si>
  <si>
    <t>昌平区能源东路1号院1号楼11层3单元1102</t>
  </si>
  <si>
    <t>京（2020）昌不动产权第0014401号</t>
    <phoneticPr fontId="255" type="noConversion"/>
  </si>
  <si>
    <t>昌平区能源东路1号院1号楼11层3单元1103</t>
  </si>
  <si>
    <t>京（2020）昌不动产权第0014662号</t>
    <phoneticPr fontId="255" type="noConversion"/>
  </si>
  <si>
    <t>昌平区能源东路1号院1号楼11层3单元1104</t>
  </si>
  <si>
    <t>京（2020）昌不动产权第0014673号</t>
    <phoneticPr fontId="255" type="noConversion"/>
  </si>
  <si>
    <t>昌平区能源东路1号院1号楼11层3单元1105</t>
  </si>
  <si>
    <t>京（2020）昌不动产权第0014661号</t>
    <phoneticPr fontId="255" type="noConversion"/>
  </si>
  <si>
    <t>昌平区能源东路1号院1号楼11层3单元1106</t>
  </si>
  <si>
    <t>京（2020）昌不动产权第0014663号</t>
    <phoneticPr fontId="255" type="noConversion"/>
  </si>
  <si>
    <t>昌平区能源东路1号院1号楼11层3单元1107</t>
  </si>
  <si>
    <t>京（2020）昌不动产权第0014385号</t>
    <phoneticPr fontId="255" type="noConversion"/>
  </si>
  <si>
    <t>昌平区能源东路1号院1号楼11层3单元1108</t>
  </si>
  <si>
    <t>京（2020）昌不动产权第0014394号</t>
    <phoneticPr fontId="255" type="noConversion"/>
  </si>
  <si>
    <t>昌平区能源东路1号院1号楼11层3单元1109</t>
  </si>
  <si>
    <t>京（2020）昌不动产权第0014428号</t>
    <phoneticPr fontId="255" type="noConversion"/>
  </si>
  <si>
    <t>昌平区能源东路1号院1号楼11层3单元1110</t>
  </si>
  <si>
    <t>京（2020）昌不动产权第0014384号</t>
    <phoneticPr fontId="255" type="noConversion"/>
  </si>
  <si>
    <t>昌平区能源东路1号院1号楼11层3单元1111</t>
  </si>
  <si>
    <t>京（2020）昌不动产权第0014386号</t>
    <phoneticPr fontId="255" type="noConversion"/>
  </si>
  <si>
    <t>昌平区能源东路1号院1号楼11层3单元1112</t>
  </si>
  <si>
    <t>京（2020）昌不动产权第0014391号</t>
    <phoneticPr fontId="255" type="noConversion"/>
  </si>
  <si>
    <t>昌平区能源东路1号院1号楼11层3单元1113</t>
  </si>
  <si>
    <t>京（2020）昌不动产权第0014665号</t>
    <phoneticPr fontId="255" type="noConversion"/>
  </si>
  <si>
    <t>昌平区能源东路1号院1号楼11层3单元1114</t>
  </si>
  <si>
    <t>是</t>
  </si>
  <si>
    <t>地上</t>
  </si>
  <si>
    <t>成新度</t>
  </si>
  <si>
    <t>收益法 (元)</t>
  </si>
  <si>
    <t>押一</t>
  </si>
  <si>
    <t>按租金收入计税</t>
  </si>
  <si>
    <t>钢混</t>
  </si>
  <si>
    <t>非生产用房</t>
  </si>
  <si>
    <t>否</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</si>
  <si>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</si>
  <si>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</si>
  <si>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</si>
  <si>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售价</t>
  </si>
  <si>
    <t>正常</t>
    <phoneticPr fontId="32" type="noConversion"/>
  </si>
  <si>
    <t>公寓</t>
    <phoneticPr fontId="32" type="noConversion"/>
  </si>
  <si>
    <t>办公</t>
    <phoneticPr fontId="32" type="noConversion"/>
  </si>
  <si>
    <t>40-50（含）</t>
  </si>
  <si>
    <t>一般</t>
    <phoneticPr fontId="32" type="noConversion"/>
  </si>
  <si>
    <t>较好</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</si>
  <si>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</si>
  <si>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</si>
  <si>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</si>
  <si>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</si>
  <si>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</si>
  <si>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</si>
  <si>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</si>
  <si>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</si>
  <si>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</si>
  <si>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</si>
  <si>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</si>
  <si>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高速路</t>
    <phoneticPr fontId="32" type="noConversion"/>
  </si>
  <si>
    <t>主干道</t>
    <phoneticPr fontId="32" type="noConversion"/>
  </si>
  <si>
    <t>低区</t>
    <phoneticPr fontId="32" type="noConversion"/>
  </si>
  <si>
    <t>简装</t>
    <phoneticPr fontId="32" type="noConversion"/>
  </si>
  <si>
    <t>比较法-办公</t>
  </si>
  <si>
    <t>高区</t>
    <phoneticPr fontId="25" type="noConversion"/>
  </si>
  <si>
    <t>中区</t>
    <phoneticPr fontId="25" type="noConversion"/>
  </si>
  <si>
    <t>低区</t>
    <phoneticPr fontId="25" type="noConversion"/>
  </si>
  <si>
    <t>中区</t>
    <phoneticPr fontId="25" type="noConversion"/>
  </si>
  <si>
    <t>典型户型修正</t>
  </si>
  <si>
    <t>典型户型修正</t>
    <phoneticPr fontId="16" type="noConversion"/>
  </si>
  <si>
    <t>其他</t>
    <phoneticPr fontId="7" type="noConversion"/>
  </si>
  <si>
    <t>昌平区能源东路1号院1号楼4层3单元401</t>
    <phoneticPr fontId="255" type="noConversion"/>
  </si>
  <si>
    <t>收益比率</t>
  </si>
  <si>
    <t>抵押物名称</t>
  </si>
  <si>
    <t>(规划)建筑面积</t>
  </si>
  <si>
    <t>(分摊)土地面积</t>
  </si>
  <si>
    <t>出让国有建设用地使用权价值</t>
  </si>
  <si>
    <t>在建建筑物价值</t>
  </si>
  <si>
    <t>房地产价值</t>
  </si>
  <si>
    <t>总 价</t>
  </si>
  <si>
    <t>楼面单价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</si>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</sst>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37007</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009432" cy="3904762"/>
        </a:xfrm>
        <a:prstGeom prst="rect">
          <a:avLst/>
        </a:prstGeom>
      </xdr:spPr>
    </xdr:pic>
    <xdr:clientData/>
  </xdr:twoCellAnchor>
  <xdr:twoCellAnchor editAs="oneCell">
    <xdr:from>
      <xdr:col>0</xdr:col>
      <xdr:colOff>0</xdr:colOff>
      <xdr:row>4</xdr:row>
      <xdr:rowOff>0</xdr:rowOff>
    </xdr:from>
    <xdr:to>
      <xdr:col>13</xdr:col>
      <xdr:colOff>189309</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15</xdr:col>
      <xdr:colOff>541519</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 ca="1">'预评函-封皮'!B46</f>
        <v>王鹏（注册号：1120050019)、郑燚（注册号：1120070131)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估价对象为北京市出让国有建设用地使用权及在建建筑物房地产，为所有。根据《国有土地使用证》[]，估价对象（分摊）出让国有建设用地使用权面积为5264.7平方米，建筑面积为16206.23平方米。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36141</v>
      </c>
    </row>
    <row r="21" spans="1:2" s="1592" customFormat="1">
      <c r="A21" s="1590" t="s">
        <v>1230</v>
      </c>
      <c r="B21" s="1591">
        <f ca="1">'预评函-2'!D7</f>
        <v>22301</v>
      </c>
    </row>
    <row r="22" spans="1:2" s="1592" customFormat="1">
      <c r="A22" s="1590" t="s">
        <v>1231</v>
      </c>
      <c r="B22" s="1591" t="str">
        <f ca="1">'预评函-2'!D6</f>
        <v>叁亿陆仟壹佰肆拾壹万元整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36141</v>
      </c>
    </row>
    <row r="31" spans="1:2" s="1592" customFormat="1">
      <c r="A31" s="1590" t="s">
        <v>1269</v>
      </c>
      <c r="B31" s="1591">
        <f ca="1">'预评函-2'!D15</f>
        <v>22301</v>
      </c>
    </row>
    <row r="32" spans="1:2" s="1592" customFormat="1">
      <c r="A32" s="1590" t="s">
        <v>1236</v>
      </c>
      <c r="B32" s="1591" t="str">
        <f ca="1">'预评函-2'!D14</f>
        <v>叁亿陆仟壹佰肆拾壹万元整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16206.229999999998</v>
      </c>
    </row>
    <row r="44" spans="1:2" s="1592" customFormat="1">
      <c r="A44" s="1590" t="s">
        <v>1268</v>
      </c>
      <c r="B44" s="1591" t="str">
        <f>'预评函-3'!C2</f>
        <v>(分摊)土地面积</v>
      </c>
    </row>
    <row r="45" spans="1:2" s="1592" customFormat="1">
      <c r="A45" s="1590" t="s">
        <v>1240</v>
      </c>
      <c r="B45" s="1591">
        <f>'预评函-3'!C4</f>
        <v>5264.7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3334</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6"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12" t="s">
        <v>860</v>
      </c>
      <c r="C54" s="2009" t="s">
        <v>1276</v>
      </c>
    </row>
    <row r="55" spans="1:4">
      <c r="A55" s="3016"/>
      <c r="B55" s="2012" t="s">
        <v>861</v>
      </c>
      <c r="C55" s="2009" t="s">
        <v>1277</v>
      </c>
    </row>
    <row r="56" spans="1:4">
      <c r="A56" s="3016"/>
      <c r="B56" s="2012" t="s">
        <v>862</v>
      </c>
      <c r="C56" s="2009" t="s">
        <v>1281</v>
      </c>
    </row>
    <row r="57" spans="1:4">
      <c r="A57" s="3016"/>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2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6"/>
      <c r="D1" s="3026"/>
      <c r="E1" s="3026"/>
      <c r="F1" s="3026"/>
      <c r="G1" s="3026"/>
      <c r="H1" s="3026"/>
      <c r="I1" s="302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1772</v>
      </c>
      <c r="B3" s="2026"/>
      <c r="C3" s="2027" t="s">
        <v>1773</v>
      </c>
      <c r="D3" s="2026">
        <v>43570</v>
      </c>
      <c r="E3" s="2016"/>
      <c r="F3" s="2016"/>
      <c r="G3" s="2016"/>
      <c r="H3" s="2016"/>
      <c r="I3" s="2016"/>
      <c r="J3" s="2016"/>
      <c r="K3" s="2017"/>
      <c r="L3" s="2018"/>
      <c r="M3" s="2018"/>
      <c r="N3" s="2019"/>
      <c r="O3" s="2020"/>
      <c r="P3" s="2019"/>
      <c r="Q3" s="2019"/>
      <c r="R3" s="2019"/>
      <c r="S3" s="2021"/>
    </row>
    <row r="4" spans="1:19" ht="18" customHeight="1" thickBot="1">
      <c r="A4" s="2028" t="s">
        <v>1774</v>
      </c>
      <c r="B4" s="2029" t="s">
        <v>3060</v>
      </c>
      <c r="C4" s="1037">
        <f ca="1">SUMIF(注册房地产估价师,B4,估价师及机构信息!B3:B24)</f>
        <v>1120050019</v>
      </c>
      <c r="D4" s="2029" t="s">
        <v>3061</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28" t="s">
        <v>1779</v>
      </c>
      <c r="E8" s="2047" t="s">
        <v>3063</v>
      </c>
      <c r="F8" s="2048"/>
      <c r="G8" s="2016"/>
      <c r="H8" s="2016"/>
      <c r="I8" s="2016"/>
      <c r="J8" s="2032"/>
      <c r="K8" s="2033"/>
      <c r="L8" s="2018"/>
      <c r="M8" s="2018"/>
      <c r="N8" s="2019"/>
      <c r="O8" s="2020"/>
      <c r="P8" s="2019"/>
      <c r="Q8" s="2019"/>
      <c r="R8" s="2019"/>
    </row>
    <row r="9" spans="1:19" ht="18" customHeight="1" thickBot="1">
      <c r="A9" s="2030" t="s">
        <v>1780</v>
      </c>
      <c r="B9" s="2049" t="s">
        <v>3063</v>
      </c>
      <c r="C9" s="2050"/>
      <c r="D9" s="3029"/>
      <c r="E9" s="2049"/>
      <c r="F9" s="2051"/>
      <c r="G9" s="2052"/>
      <c r="H9" s="2052"/>
      <c r="I9" s="2052"/>
      <c r="J9" s="2032"/>
      <c r="K9" s="2044"/>
      <c r="L9" s="2018"/>
      <c r="M9" s="2018"/>
      <c r="N9" s="2019"/>
      <c r="O9" s="2020"/>
      <c r="P9" s="2019"/>
      <c r="Q9" s="2019"/>
      <c r="R9" s="2019"/>
    </row>
    <row r="10" spans="1:19" ht="18" customHeight="1" thickTop="1">
      <c r="A10" s="2053" t="s">
        <v>1781</v>
      </c>
      <c r="B10" s="2054" t="s">
        <v>3064</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3065</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3066</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59879</v>
      </c>
      <c r="G13" s="2070"/>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35"/>
      <c r="C16" s="3036"/>
      <c r="D16" s="3037"/>
      <c r="E16" s="2076" t="s">
        <v>1796</v>
      </c>
      <c r="F16" s="3038"/>
      <c r="G16" s="3039"/>
      <c r="H16" s="3039"/>
      <c r="I16" s="3040"/>
      <c r="J16" s="2019"/>
      <c r="K16" s="2073"/>
      <c r="L16" s="2074"/>
      <c r="M16" s="2074"/>
      <c r="N16" s="2075"/>
      <c r="O16" s="2074"/>
      <c r="P16" s="2075"/>
      <c r="Q16" s="2019"/>
      <c r="R16" s="2019"/>
    </row>
    <row r="17" spans="1:22" ht="18" customHeight="1">
      <c r="A17" s="2077" t="s">
        <v>1797</v>
      </c>
      <c r="B17" s="2025" t="s">
        <v>1798</v>
      </c>
      <c r="C17" s="1054">
        <f>'数据-汇总表'!E3</f>
        <v>16206.229999999998</v>
      </c>
      <c r="D17" s="2078" t="s">
        <v>1799</v>
      </c>
      <c r="E17" s="3041" t="s">
        <v>1800</v>
      </c>
      <c r="F17" s="3042"/>
      <c r="G17" s="3042"/>
      <c r="H17" s="3042"/>
      <c r="I17" s="3043"/>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5264.7</v>
      </c>
      <c r="D18" s="2081" t="s">
        <v>1799</v>
      </c>
      <c r="E18" s="3044" t="s">
        <v>1803</v>
      </c>
      <c r="F18" s="3045"/>
      <c r="G18" s="3045"/>
      <c r="H18" s="3045"/>
      <c r="I18" s="3046"/>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31" t="s">
        <v>1808</v>
      </c>
      <c r="C20" s="3032"/>
      <c r="D20" s="3033" t="s">
        <v>1809</v>
      </c>
      <c r="E20" s="3034"/>
      <c r="F20" s="2088" t="s">
        <v>1810</v>
      </c>
      <c r="G20" s="2032"/>
      <c r="H20" s="2032"/>
      <c r="I20" s="2032"/>
      <c r="J20" s="2032"/>
      <c r="K20" s="303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18"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18"/>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18"/>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19"/>
      <c r="B30" s="2025" t="s">
        <v>1827</v>
      </c>
      <c r="C30" s="3020"/>
      <c r="D30" s="3021"/>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22"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23"/>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23"/>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17" t="s">
        <v>1837</v>
      </c>
      <c r="T34" s="2125" t="str">
        <f>NUMBERSTRING(7-K34,1)&amp;"通"</f>
        <v>七通</v>
      </c>
      <c r="U34" s="2019"/>
      <c r="V34" s="2019"/>
    </row>
    <row r="35" spans="1:22" ht="18" customHeight="1">
      <c r="A35" s="2126"/>
      <c r="B35" s="3024" t="s">
        <v>1838</v>
      </c>
      <c r="C35" s="3024"/>
      <c r="D35" s="3024"/>
      <c r="E35" s="3024"/>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Sheet1!E114</f>
        <v>5264.7</v>
      </c>
      <c r="B3" s="14">
        <f>IF(C3="否",G5-AT5,G5)</f>
        <v>16206.229999999998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16206.229999999998</v>
      </c>
      <c r="H5" s="16">
        <f t="shared" ref="H5:AT5" si="0">SUM(H13:H656)</f>
        <v>16206.229999999998</v>
      </c>
      <c r="I5" s="16">
        <f t="shared" si="0"/>
        <v>16206.229999999998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16206.229999999998</v>
      </c>
      <c r="BA5" s="18">
        <f t="shared" si="1"/>
        <v>16206.229999999998</v>
      </c>
      <c r="BB5" s="18">
        <f t="shared" si="1"/>
        <v>16206.229999999998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5264.7</v>
      </c>
      <c r="F6" s="16" t="s">
        <v>1</v>
      </c>
      <c r="G6" s="16" t="s">
        <v>2</v>
      </c>
      <c r="H6" s="20">
        <f>SUMIF(I$12:AB$12,"总值",I6:AB6)</f>
        <v>5264.7</v>
      </c>
      <c r="I6" s="16">
        <f t="shared" ref="I6:AB6" si="2">ROUND($A$3*I5/$B$3,2)</f>
        <v>5264.7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5264.7</v>
      </c>
      <c r="AZ6" s="16" t="s">
        <v>3</v>
      </c>
      <c r="BA6" s="16">
        <f>ROUND($AY$6*BA5/$AZ$5,2)</f>
        <v>5264.7</v>
      </c>
      <c r="BB6" s="16">
        <f>ROUND($AY$6*BB5/$AZ$5,2)</f>
        <v>5264.7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3295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27</v>
      </c>
      <c r="J10" s="981"/>
      <c r="K10" s="2188"/>
      <c r="L10" s="981"/>
      <c r="M10" s="2188"/>
      <c r="N10" s="981"/>
      <c r="O10" s="2188"/>
      <c r="P10" s="981"/>
      <c r="Q10" s="2188"/>
      <c r="R10" s="981"/>
      <c r="S10" s="2188"/>
      <c r="T10" s="981"/>
      <c r="U10" s="2188"/>
      <c r="V10" s="981"/>
      <c r="W10" s="2188"/>
      <c r="X10" s="981"/>
      <c r="Y10" s="2188"/>
      <c r="Z10" s="981"/>
      <c r="AA10" s="2188"/>
      <c r="AB10" s="981"/>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办公</v>
      </c>
      <c r="BC11" s="2178">
        <f>K10</f>
        <v>0</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v>401</v>
      </c>
      <c r="D13" s="2204" t="s">
        <v>3294</v>
      </c>
      <c r="E13" s="16">
        <f>IF($C$3="是",ROUND($A$3*G13/$B$3,2),ROUND($A$3*(G13-AT13)/$B$3,2))</f>
        <v>36.53</v>
      </c>
      <c r="F13" s="32"/>
      <c r="G13" s="33">
        <f>H13+AC13+AT13</f>
        <v>112.45</v>
      </c>
      <c r="H13" s="20">
        <f>SUMIF(I$12:AB$12,"总值",I13:AB13)</f>
        <v>112.45</v>
      </c>
      <c r="I13" s="2205">
        <f>Sheet1!D2</f>
        <v>112.45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401</v>
      </c>
      <c r="AY13" s="1797">
        <f>ROUND($AY$6*AZ13/$AZ$5,2)</f>
        <v>36.53</v>
      </c>
      <c r="AZ13" s="16">
        <f>BA13+BL13</f>
        <v>112.45</v>
      </c>
      <c r="BA13" s="16">
        <f>SUM(BB13:BK13)</f>
        <v>112.45</v>
      </c>
      <c r="BB13" s="16">
        <f>IF($D13="是",I13-J13,0)</f>
        <v>112.45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1"/>
      <c r="B14" s="1271"/>
      <c r="C14" s="2144"/>
      <c r="D14" s="2204" t="s">
        <v>3294</v>
      </c>
      <c r="E14" s="16">
        <f>IF($C$3="是",ROUND($A$3*G14/$B$3,2),ROUND($A$3*(G14-AT14)/$B$3,2))</f>
        <v>5228.17</v>
      </c>
      <c r="F14" s="32"/>
      <c r="G14" s="33">
        <f>H14+AC14+AT14</f>
        <v>16093.779999999997</v>
      </c>
      <c r="H14" s="20">
        <f>SUMIF(I$12:AB$12,"总值",I14:AB14)</f>
        <v>16093.779999999997</v>
      </c>
      <c r="I14" s="2205">
        <f>Sheet1!D114-Sheet1!D2</f>
        <v>16093.779999999997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5228.17</v>
      </c>
      <c r="AZ14" s="16">
        <f>BA14+BL14</f>
        <v>16093.779999999997</v>
      </c>
      <c r="BA14" s="16">
        <f>SUM(BB14:BK14)</f>
        <v>16093.779999999997</v>
      </c>
      <c r="BB14" s="16">
        <f>IF($D14="是",I14-J14,0)</f>
        <v>16093.779999999997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tabSelected="1" topLeftCell="I106" zoomScale="115" zoomScaleNormal="115" workbookViewId="0">
      <selection activeCell="N117" sqref="N117"/>
    </sheetView>
  </sheetViews>
  <sheetFormatPr defaultRowHeight="13.5"/>
  <cols>
    <col min="1" max="1" width="5.25" bestFit="1" customWidth="1"/>
    <col min="2" max="2" width="33.625" bestFit="1" customWidth="1"/>
    <col min="3" max="3" width="39.625" bestFit="1" customWidth="1"/>
  </cols>
  <sheetData>
    <row r="1" spans="1:5">
      <c r="A1" t="s">
        <v>3067</v>
      </c>
      <c r="B1" t="s">
        <v>3068</v>
      </c>
      <c r="C1" t="s">
        <v>3069</v>
      </c>
      <c r="D1" t="s">
        <v>3070</v>
      </c>
    </row>
    <row r="2" spans="1:5">
      <c r="A2">
        <v>1</v>
      </c>
      <c r="B2" t="s">
        <v>3071</v>
      </c>
      <c r="C2" s="3304" t="s">
        <v>3336</v>
      </c>
      <c r="D2">
        <v>112.45</v>
      </c>
      <c r="E2">
        <f>ROUND(D2/$D$114*$E$114,2)</f>
        <v>36.53</v>
      </c>
    </row>
    <row r="3" spans="1:5" ht="14.25" customHeight="1">
      <c r="A3">
        <v>2</v>
      </c>
      <c r="B3" t="s">
        <v>3072</v>
      </c>
      <c r="C3" t="s">
        <v>3073</v>
      </c>
      <c r="D3">
        <v>106.55</v>
      </c>
      <c r="E3">
        <f t="shared" ref="E3:E66" si="0">ROUND(D3/$D$114*$E$114,2)</f>
        <v>34.61</v>
      </c>
    </row>
    <row r="4" spans="1:5">
      <c r="A4">
        <v>3</v>
      </c>
      <c r="B4" t="s">
        <v>3074</v>
      </c>
      <c r="C4" t="s">
        <v>3075</v>
      </c>
      <c r="D4">
        <v>106.55</v>
      </c>
      <c r="E4">
        <f t="shared" si="0"/>
        <v>34.61</v>
      </c>
    </row>
    <row r="5" spans="1:5">
      <c r="A5">
        <v>4</v>
      </c>
      <c r="B5" t="s">
        <v>3076</v>
      </c>
      <c r="C5" t="s">
        <v>3077</v>
      </c>
      <c r="D5">
        <v>107.13</v>
      </c>
      <c r="E5">
        <f t="shared" si="0"/>
        <v>34.799999999999997</v>
      </c>
    </row>
    <row r="6" spans="1:5">
      <c r="A6">
        <v>5</v>
      </c>
      <c r="B6" t="s">
        <v>3078</v>
      </c>
      <c r="C6" t="s">
        <v>3079</v>
      </c>
      <c r="D6">
        <v>83.13</v>
      </c>
      <c r="E6">
        <f t="shared" si="0"/>
        <v>27.01</v>
      </c>
    </row>
    <row r="7" spans="1:5">
      <c r="A7">
        <v>6</v>
      </c>
      <c r="B7" t="s">
        <v>3080</v>
      </c>
      <c r="C7" t="s">
        <v>3081</v>
      </c>
      <c r="D7">
        <v>111.52</v>
      </c>
      <c r="E7">
        <f t="shared" si="0"/>
        <v>36.229999999999997</v>
      </c>
    </row>
    <row r="8" spans="1:5">
      <c r="A8">
        <v>7</v>
      </c>
      <c r="B8" t="s">
        <v>3082</v>
      </c>
      <c r="C8" t="s">
        <v>3083</v>
      </c>
      <c r="D8">
        <v>264.35000000000002</v>
      </c>
      <c r="E8">
        <f t="shared" si="0"/>
        <v>85.88</v>
      </c>
    </row>
    <row r="9" spans="1:5">
      <c r="A9">
        <v>8</v>
      </c>
      <c r="B9" t="s">
        <v>3084</v>
      </c>
      <c r="C9" t="s">
        <v>3085</v>
      </c>
      <c r="D9">
        <v>109.64</v>
      </c>
      <c r="E9">
        <f t="shared" si="0"/>
        <v>35.619999999999997</v>
      </c>
    </row>
    <row r="10" spans="1:5">
      <c r="A10">
        <v>9</v>
      </c>
      <c r="B10" t="s">
        <v>3086</v>
      </c>
      <c r="C10" t="s">
        <v>3087</v>
      </c>
      <c r="D10">
        <v>103.75</v>
      </c>
      <c r="E10">
        <f t="shared" si="0"/>
        <v>33.700000000000003</v>
      </c>
    </row>
    <row r="11" spans="1:5">
      <c r="A11">
        <v>10</v>
      </c>
      <c r="B11" t="s">
        <v>3088</v>
      </c>
      <c r="C11" t="s">
        <v>3089</v>
      </c>
      <c r="D11">
        <v>103.75</v>
      </c>
      <c r="E11">
        <f t="shared" si="0"/>
        <v>33.700000000000003</v>
      </c>
    </row>
    <row r="12" spans="1:5">
      <c r="A12">
        <v>11</v>
      </c>
      <c r="B12" t="s">
        <v>3090</v>
      </c>
      <c r="C12" t="s">
        <v>3091</v>
      </c>
      <c r="D12">
        <v>103.75</v>
      </c>
      <c r="E12">
        <f t="shared" si="0"/>
        <v>33.700000000000003</v>
      </c>
    </row>
    <row r="13" spans="1:5">
      <c r="A13">
        <v>12</v>
      </c>
      <c r="B13" t="s">
        <v>3092</v>
      </c>
      <c r="C13" t="s">
        <v>3093</v>
      </c>
      <c r="D13">
        <v>103.75</v>
      </c>
      <c r="E13">
        <f t="shared" si="0"/>
        <v>33.700000000000003</v>
      </c>
    </row>
    <row r="14" spans="1:5">
      <c r="A14">
        <v>13</v>
      </c>
      <c r="B14" t="s">
        <v>3094</v>
      </c>
      <c r="C14" t="s">
        <v>3095</v>
      </c>
      <c r="D14">
        <v>109.64</v>
      </c>
      <c r="E14">
        <f t="shared" si="0"/>
        <v>35.619999999999997</v>
      </c>
    </row>
    <row r="15" spans="1:5">
      <c r="A15">
        <v>14</v>
      </c>
      <c r="B15" t="s">
        <v>3096</v>
      </c>
      <c r="C15" t="s">
        <v>3097</v>
      </c>
      <c r="D15">
        <v>264.01</v>
      </c>
      <c r="E15">
        <f t="shared" si="0"/>
        <v>85.77</v>
      </c>
    </row>
    <row r="16" spans="1:5">
      <c r="A16">
        <v>15</v>
      </c>
      <c r="B16" t="s">
        <v>3098</v>
      </c>
      <c r="C16" t="s">
        <v>3099</v>
      </c>
      <c r="D16">
        <v>163.13999999999999</v>
      </c>
      <c r="E16">
        <f t="shared" si="0"/>
        <v>53</v>
      </c>
    </row>
    <row r="17" spans="1:5">
      <c r="A17">
        <v>16</v>
      </c>
      <c r="B17" t="s">
        <v>3100</v>
      </c>
      <c r="C17" t="s">
        <v>3101</v>
      </c>
      <c r="D17">
        <v>116.85</v>
      </c>
      <c r="E17">
        <f t="shared" si="0"/>
        <v>37.96</v>
      </c>
    </row>
    <row r="18" spans="1:5">
      <c r="A18">
        <v>17</v>
      </c>
      <c r="B18" t="s">
        <v>3102</v>
      </c>
      <c r="C18" t="s">
        <v>3103</v>
      </c>
      <c r="D18">
        <v>116.39</v>
      </c>
      <c r="E18">
        <f t="shared" si="0"/>
        <v>37.81</v>
      </c>
    </row>
    <row r="19" spans="1:5">
      <c r="A19">
        <v>18</v>
      </c>
      <c r="B19" t="s">
        <v>3104</v>
      </c>
      <c r="C19" t="s">
        <v>3105</v>
      </c>
      <c r="D19">
        <v>119.69</v>
      </c>
      <c r="E19">
        <f t="shared" si="0"/>
        <v>38.880000000000003</v>
      </c>
    </row>
    <row r="20" spans="1:5">
      <c r="A20">
        <v>19</v>
      </c>
      <c r="B20" t="s">
        <v>3106</v>
      </c>
      <c r="C20" t="s">
        <v>3107</v>
      </c>
      <c r="D20">
        <v>116.8</v>
      </c>
      <c r="E20">
        <f t="shared" si="0"/>
        <v>37.94</v>
      </c>
    </row>
    <row r="21" spans="1:5">
      <c r="A21">
        <v>20</v>
      </c>
      <c r="B21" t="s">
        <v>3108</v>
      </c>
      <c r="C21" t="s">
        <v>3109</v>
      </c>
      <c r="D21">
        <v>160.81</v>
      </c>
      <c r="E21">
        <f t="shared" si="0"/>
        <v>52.24</v>
      </c>
    </row>
    <row r="22" spans="1:5">
      <c r="A22">
        <v>21</v>
      </c>
      <c r="B22" t="s">
        <v>3110</v>
      </c>
      <c r="C22" t="s">
        <v>3111</v>
      </c>
      <c r="D22">
        <v>239.62</v>
      </c>
      <c r="E22">
        <f t="shared" si="0"/>
        <v>77.84</v>
      </c>
    </row>
    <row r="23" spans="1:5">
      <c r="A23">
        <v>22</v>
      </c>
      <c r="B23" t="s">
        <v>3112</v>
      </c>
      <c r="C23" t="s">
        <v>3113</v>
      </c>
      <c r="D23">
        <v>160.66</v>
      </c>
      <c r="E23">
        <f t="shared" si="0"/>
        <v>52.19</v>
      </c>
    </row>
    <row r="24" spans="1:5">
      <c r="A24">
        <v>23</v>
      </c>
      <c r="B24" t="s">
        <v>3114</v>
      </c>
      <c r="C24" t="s">
        <v>3115</v>
      </c>
      <c r="D24">
        <v>119.57</v>
      </c>
      <c r="E24">
        <f t="shared" si="0"/>
        <v>38.840000000000003</v>
      </c>
    </row>
    <row r="25" spans="1:5">
      <c r="A25">
        <v>24</v>
      </c>
      <c r="B25" t="s">
        <v>3116</v>
      </c>
      <c r="C25" t="s">
        <v>3117</v>
      </c>
      <c r="D25">
        <v>109.59</v>
      </c>
      <c r="E25">
        <f t="shared" si="0"/>
        <v>35.6</v>
      </c>
    </row>
    <row r="26" spans="1:5">
      <c r="A26">
        <v>25</v>
      </c>
      <c r="B26" t="s">
        <v>3118</v>
      </c>
      <c r="C26" t="s">
        <v>3119</v>
      </c>
      <c r="D26">
        <v>118.98</v>
      </c>
      <c r="E26">
        <f t="shared" si="0"/>
        <v>38.65</v>
      </c>
    </row>
    <row r="27" spans="1:5">
      <c r="A27">
        <v>26</v>
      </c>
      <c r="B27" t="s">
        <v>3120</v>
      </c>
      <c r="C27" t="s">
        <v>3121</v>
      </c>
      <c r="D27">
        <v>117.41</v>
      </c>
      <c r="E27">
        <f t="shared" si="0"/>
        <v>38.14</v>
      </c>
    </row>
    <row r="28" spans="1:5">
      <c r="A28">
        <v>27</v>
      </c>
      <c r="B28" t="s">
        <v>3122</v>
      </c>
      <c r="C28" t="s">
        <v>3123</v>
      </c>
      <c r="D28">
        <v>164.46</v>
      </c>
      <c r="E28">
        <f t="shared" si="0"/>
        <v>53.43</v>
      </c>
    </row>
    <row r="29" spans="1:5">
      <c r="A29">
        <v>28</v>
      </c>
      <c r="B29" t="s">
        <v>3124</v>
      </c>
      <c r="C29" t="s">
        <v>3125</v>
      </c>
      <c r="D29">
        <v>238.94</v>
      </c>
      <c r="E29">
        <f t="shared" si="0"/>
        <v>77.62</v>
      </c>
    </row>
    <row r="30" spans="1:5">
      <c r="A30">
        <v>29</v>
      </c>
      <c r="B30" t="s">
        <v>3126</v>
      </c>
      <c r="C30" t="s">
        <v>3127</v>
      </c>
      <c r="D30">
        <v>163.63</v>
      </c>
      <c r="E30">
        <f t="shared" si="0"/>
        <v>53.16</v>
      </c>
    </row>
    <row r="31" spans="1:5">
      <c r="A31">
        <v>30</v>
      </c>
      <c r="B31" t="s">
        <v>3128</v>
      </c>
      <c r="C31" t="s">
        <v>3129</v>
      </c>
      <c r="D31">
        <v>116.85</v>
      </c>
      <c r="E31">
        <f t="shared" si="0"/>
        <v>37.96</v>
      </c>
    </row>
    <row r="32" spans="1:5">
      <c r="A32">
        <v>31</v>
      </c>
      <c r="B32" t="s">
        <v>3130</v>
      </c>
      <c r="C32" t="s">
        <v>3131</v>
      </c>
      <c r="D32">
        <v>118.49</v>
      </c>
      <c r="E32">
        <f t="shared" si="0"/>
        <v>38.49</v>
      </c>
    </row>
    <row r="33" spans="1:5">
      <c r="A33">
        <v>32</v>
      </c>
      <c r="B33" t="s">
        <v>3132</v>
      </c>
      <c r="C33" t="s">
        <v>3133</v>
      </c>
      <c r="D33">
        <v>117.45</v>
      </c>
      <c r="E33">
        <f t="shared" si="0"/>
        <v>38.15</v>
      </c>
    </row>
    <row r="34" spans="1:5">
      <c r="A34">
        <v>33</v>
      </c>
      <c r="B34" t="s">
        <v>3134</v>
      </c>
      <c r="C34" t="s">
        <v>3135</v>
      </c>
      <c r="D34">
        <v>116.85</v>
      </c>
      <c r="E34">
        <f t="shared" si="0"/>
        <v>37.96</v>
      </c>
    </row>
    <row r="35" spans="1:5">
      <c r="A35">
        <v>34</v>
      </c>
      <c r="B35" t="s">
        <v>3136</v>
      </c>
      <c r="C35" t="s">
        <v>3137</v>
      </c>
      <c r="D35">
        <v>163.51</v>
      </c>
      <c r="E35">
        <f t="shared" si="0"/>
        <v>53.12</v>
      </c>
    </row>
    <row r="36" spans="1:5">
      <c r="A36">
        <v>35</v>
      </c>
      <c r="B36" t="s">
        <v>3138</v>
      </c>
      <c r="C36" t="s">
        <v>3139</v>
      </c>
      <c r="D36">
        <v>238.77</v>
      </c>
      <c r="E36">
        <f t="shared" si="0"/>
        <v>77.569999999999993</v>
      </c>
    </row>
    <row r="37" spans="1:5">
      <c r="A37">
        <v>36</v>
      </c>
      <c r="B37" t="s">
        <v>3140</v>
      </c>
      <c r="C37" t="s">
        <v>3141</v>
      </c>
      <c r="D37">
        <v>160.83000000000001</v>
      </c>
      <c r="E37">
        <f t="shared" si="0"/>
        <v>52.25</v>
      </c>
    </row>
    <row r="38" spans="1:5">
      <c r="A38">
        <v>37</v>
      </c>
      <c r="B38" t="s">
        <v>3142</v>
      </c>
      <c r="C38" t="s">
        <v>3143</v>
      </c>
      <c r="D38">
        <v>116.85</v>
      </c>
      <c r="E38">
        <f t="shared" si="0"/>
        <v>37.96</v>
      </c>
    </row>
    <row r="39" spans="1:5">
      <c r="A39">
        <v>38</v>
      </c>
      <c r="B39" t="s">
        <v>3144</v>
      </c>
      <c r="C39" t="s">
        <v>3145</v>
      </c>
      <c r="D39">
        <v>110.64</v>
      </c>
      <c r="E39">
        <f t="shared" si="0"/>
        <v>35.94</v>
      </c>
    </row>
    <row r="40" spans="1:5">
      <c r="A40">
        <v>39</v>
      </c>
      <c r="B40" t="s">
        <v>3146</v>
      </c>
      <c r="C40" t="s">
        <v>3147</v>
      </c>
      <c r="D40">
        <v>117.45</v>
      </c>
      <c r="E40">
        <f t="shared" si="0"/>
        <v>38.15</v>
      </c>
    </row>
    <row r="41" spans="1:5">
      <c r="A41">
        <v>40</v>
      </c>
      <c r="B41" t="s">
        <v>3148</v>
      </c>
      <c r="C41" t="s">
        <v>3149</v>
      </c>
      <c r="D41">
        <v>116.85</v>
      </c>
      <c r="E41">
        <f t="shared" si="0"/>
        <v>37.96</v>
      </c>
    </row>
    <row r="42" spans="1:5">
      <c r="A42">
        <v>41</v>
      </c>
      <c r="B42" t="s">
        <v>3150</v>
      </c>
      <c r="C42" t="s">
        <v>3151</v>
      </c>
      <c r="D42">
        <v>163.87</v>
      </c>
      <c r="E42">
        <f t="shared" si="0"/>
        <v>53.23</v>
      </c>
    </row>
    <row r="43" spans="1:5">
      <c r="A43">
        <v>42</v>
      </c>
      <c r="B43" t="s">
        <v>3152</v>
      </c>
      <c r="C43" t="s">
        <v>3153</v>
      </c>
      <c r="D43">
        <v>238.07</v>
      </c>
      <c r="E43">
        <f t="shared" si="0"/>
        <v>77.34</v>
      </c>
    </row>
    <row r="44" spans="1:5">
      <c r="A44">
        <v>43</v>
      </c>
      <c r="B44" t="s">
        <v>3154</v>
      </c>
      <c r="C44" t="s">
        <v>3155</v>
      </c>
      <c r="D44">
        <v>163.13999999999999</v>
      </c>
      <c r="E44">
        <f t="shared" si="0"/>
        <v>53</v>
      </c>
    </row>
    <row r="45" spans="1:5">
      <c r="A45">
        <v>44</v>
      </c>
      <c r="B45" t="s">
        <v>3156</v>
      </c>
      <c r="C45" t="s">
        <v>3157</v>
      </c>
      <c r="D45">
        <v>116.85</v>
      </c>
      <c r="E45">
        <f t="shared" si="0"/>
        <v>37.96</v>
      </c>
    </row>
    <row r="46" spans="1:5">
      <c r="A46">
        <v>45</v>
      </c>
      <c r="B46" t="s">
        <v>3158</v>
      </c>
      <c r="C46" t="s">
        <v>3159</v>
      </c>
      <c r="D46">
        <v>116.39</v>
      </c>
      <c r="E46">
        <f t="shared" si="0"/>
        <v>37.81</v>
      </c>
    </row>
    <row r="47" spans="1:5">
      <c r="A47">
        <v>46</v>
      </c>
      <c r="B47" t="s">
        <v>3160</v>
      </c>
      <c r="C47" t="s">
        <v>3161</v>
      </c>
      <c r="D47">
        <v>119.69</v>
      </c>
      <c r="E47">
        <f t="shared" si="0"/>
        <v>38.880000000000003</v>
      </c>
    </row>
    <row r="48" spans="1:5">
      <c r="A48">
        <v>47</v>
      </c>
      <c r="B48" t="s">
        <v>3162</v>
      </c>
      <c r="C48" t="s">
        <v>3163</v>
      </c>
      <c r="D48">
        <v>116.8</v>
      </c>
      <c r="E48">
        <f t="shared" si="0"/>
        <v>37.94</v>
      </c>
    </row>
    <row r="49" spans="1:5">
      <c r="A49">
        <v>48</v>
      </c>
      <c r="B49" t="s">
        <v>3164</v>
      </c>
      <c r="C49" t="s">
        <v>3165</v>
      </c>
      <c r="D49">
        <v>160.81</v>
      </c>
      <c r="E49">
        <f t="shared" si="0"/>
        <v>52.24</v>
      </c>
    </row>
    <row r="50" spans="1:5">
      <c r="A50">
        <v>49</v>
      </c>
      <c r="B50" t="s">
        <v>3166</v>
      </c>
      <c r="C50" t="s">
        <v>3167</v>
      </c>
      <c r="D50">
        <v>238.77</v>
      </c>
      <c r="E50">
        <f t="shared" si="0"/>
        <v>77.569999999999993</v>
      </c>
    </row>
    <row r="51" spans="1:5">
      <c r="A51">
        <v>50</v>
      </c>
      <c r="B51" t="s">
        <v>3168</v>
      </c>
      <c r="C51" t="s">
        <v>3169</v>
      </c>
      <c r="D51">
        <v>160.66</v>
      </c>
      <c r="E51">
        <f t="shared" si="0"/>
        <v>52.19</v>
      </c>
    </row>
    <row r="52" spans="1:5">
      <c r="A52">
        <v>51</v>
      </c>
      <c r="B52" t="s">
        <v>3170</v>
      </c>
      <c r="C52" t="s">
        <v>3171</v>
      </c>
      <c r="D52">
        <v>119.57</v>
      </c>
      <c r="E52">
        <f t="shared" si="0"/>
        <v>38.840000000000003</v>
      </c>
    </row>
    <row r="53" spans="1:5">
      <c r="A53">
        <v>52</v>
      </c>
      <c r="B53" t="s">
        <v>3172</v>
      </c>
      <c r="C53" t="s">
        <v>3173</v>
      </c>
      <c r="D53">
        <v>109.59</v>
      </c>
      <c r="E53">
        <f t="shared" si="0"/>
        <v>35.6</v>
      </c>
    </row>
    <row r="54" spans="1:5">
      <c r="A54">
        <v>53</v>
      </c>
      <c r="B54" t="s">
        <v>3174</v>
      </c>
      <c r="C54" t="s">
        <v>3175</v>
      </c>
      <c r="D54">
        <v>118.98</v>
      </c>
      <c r="E54">
        <f t="shared" si="0"/>
        <v>38.65</v>
      </c>
    </row>
    <row r="55" spans="1:5">
      <c r="A55">
        <v>54</v>
      </c>
      <c r="B55" t="s">
        <v>3176</v>
      </c>
      <c r="C55" t="s">
        <v>3177</v>
      </c>
      <c r="D55">
        <v>117.41</v>
      </c>
      <c r="E55">
        <f t="shared" si="0"/>
        <v>38.14</v>
      </c>
    </row>
    <row r="56" spans="1:5">
      <c r="A56">
        <v>55</v>
      </c>
      <c r="B56" t="s">
        <v>3178</v>
      </c>
      <c r="C56" t="s">
        <v>3179</v>
      </c>
      <c r="D56">
        <v>164.46</v>
      </c>
      <c r="E56">
        <f t="shared" si="0"/>
        <v>53.43</v>
      </c>
    </row>
    <row r="57" spans="1:5">
      <c r="A57">
        <v>56</v>
      </c>
      <c r="B57" t="s">
        <v>3180</v>
      </c>
      <c r="C57" t="s">
        <v>3181</v>
      </c>
      <c r="D57">
        <v>238.08</v>
      </c>
      <c r="E57">
        <f t="shared" si="0"/>
        <v>77.34</v>
      </c>
    </row>
    <row r="58" spans="1:5">
      <c r="A58">
        <v>57</v>
      </c>
      <c r="B58" t="s">
        <v>3182</v>
      </c>
      <c r="C58" t="s">
        <v>3183</v>
      </c>
      <c r="D58">
        <v>163.63</v>
      </c>
      <c r="E58">
        <f t="shared" si="0"/>
        <v>53.16</v>
      </c>
    </row>
    <row r="59" spans="1:5">
      <c r="A59">
        <v>58</v>
      </c>
      <c r="B59" t="s">
        <v>3184</v>
      </c>
      <c r="C59" t="s">
        <v>3185</v>
      </c>
      <c r="D59">
        <v>116.85</v>
      </c>
      <c r="E59">
        <f t="shared" si="0"/>
        <v>37.96</v>
      </c>
    </row>
    <row r="60" spans="1:5">
      <c r="A60">
        <v>59</v>
      </c>
      <c r="B60" t="s">
        <v>3186</v>
      </c>
      <c r="C60" t="s">
        <v>3187</v>
      </c>
      <c r="D60">
        <v>118.49</v>
      </c>
      <c r="E60">
        <f t="shared" si="0"/>
        <v>38.49</v>
      </c>
    </row>
    <row r="61" spans="1:5">
      <c r="A61">
        <v>60</v>
      </c>
      <c r="B61" t="s">
        <v>3188</v>
      </c>
      <c r="C61" t="s">
        <v>3189</v>
      </c>
      <c r="D61">
        <v>117.45</v>
      </c>
      <c r="E61">
        <f t="shared" si="0"/>
        <v>38.15</v>
      </c>
    </row>
    <row r="62" spans="1:5">
      <c r="A62">
        <v>61</v>
      </c>
      <c r="B62" t="s">
        <v>3190</v>
      </c>
      <c r="C62" t="s">
        <v>3191</v>
      </c>
      <c r="D62">
        <v>116.85</v>
      </c>
      <c r="E62">
        <f t="shared" si="0"/>
        <v>37.96</v>
      </c>
    </row>
    <row r="63" spans="1:5">
      <c r="A63">
        <v>62</v>
      </c>
      <c r="B63" t="s">
        <v>3192</v>
      </c>
      <c r="C63" t="s">
        <v>3193</v>
      </c>
      <c r="D63">
        <v>163.51</v>
      </c>
      <c r="E63">
        <f t="shared" si="0"/>
        <v>53.12</v>
      </c>
    </row>
    <row r="64" spans="1:5">
      <c r="A64">
        <v>63</v>
      </c>
      <c r="B64" t="s">
        <v>3194</v>
      </c>
      <c r="C64" t="s">
        <v>3195</v>
      </c>
      <c r="D64">
        <v>237.91</v>
      </c>
      <c r="E64">
        <f t="shared" si="0"/>
        <v>77.290000000000006</v>
      </c>
    </row>
    <row r="65" spans="1:5">
      <c r="A65">
        <v>64</v>
      </c>
      <c r="B65" t="s">
        <v>3196</v>
      </c>
      <c r="C65" t="s">
        <v>3197</v>
      </c>
      <c r="D65">
        <v>160.83000000000001</v>
      </c>
      <c r="E65">
        <f t="shared" si="0"/>
        <v>52.25</v>
      </c>
    </row>
    <row r="66" spans="1:5">
      <c r="A66">
        <v>65</v>
      </c>
      <c r="B66" t="s">
        <v>3198</v>
      </c>
      <c r="C66" t="s">
        <v>3199</v>
      </c>
      <c r="D66">
        <v>116.85</v>
      </c>
      <c r="E66">
        <f t="shared" si="0"/>
        <v>37.96</v>
      </c>
    </row>
    <row r="67" spans="1:5">
      <c r="A67">
        <v>66</v>
      </c>
      <c r="B67" t="s">
        <v>3200</v>
      </c>
      <c r="C67" t="s">
        <v>3201</v>
      </c>
      <c r="D67">
        <v>110.64</v>
      </c>
      <c r="E67">
        <f t="shared" ref="E67:E113" si="1">ROUND(D67/$D$114*$E$114,2)</f>
        <v>35.94</v>
      </c>
    </row>
    <row r="68" spans="1:5">
      <c r="A68">
        <v>67</v>
      </c>
      <c r="B68" t="s">
        <v>3202</v>
      </c>
      <c r="C68" t="s">
        <v>3203</v>
      </c>
      <c r="D68">
        <v>117.45</v>
      </c>
      <c r="E68">
        <f t="shared" si="1"/>
        <v>38.15</v>
      </c>
    </row>
    <row r="69" spans="1:5">
      <c r="A69">
        <v>68</v>
      </c>
      <c r="B69" t="s">
        <v>3204</v>
      </c>
      <c r="C69" t="s">
        <v>3205</v>
      </c>
      <c r="D69">
        <v>116.85</v>
      </c>
      <c r="E69">
        <f t="shared" si="1"/>
        <v>37.96</v>
      </c>
    </row>
    <row r="70" spans="1:5">
      <c r="A70">
        <v>69</v>
      </c>
      <c r="B70" t="s">
        <v>3206</v>
      </c>
      <c r="C70" t="s">
        <v>3207</v>
      </c>
      <c r="D70">
        <v>163.87</v>
      </c>
      <c r="E70">
        <f t="shared" si="1"/>
        <v>53.23</v>
      </c>
    </row>
    <row r="71" spans="1:5">
      <c r="A71">
        <v>70</v>
      </c>
      <c r="B71" t="s">
        <v>3208</v>
      </c>
      <c r="C71" t="s">
        <v>3209</v>
      </c>
      <c r="D71">
        <v>237.22</v>
      </c>
      <c r="E71">
        <f t="shared" si="1"/>
        <v>77.06</v>
      </c>
    </row>
    <row r="72" spans="1:5">
      <c r="A72">
        <v>71</v>
      </c>
      <c r="B72" t="s">
        <v>3210</v>
      </c>
      <c r="C72" t="s">
        <v>3211</v>
      </c>
      <c r="D72">
        <v>163.13999999999999</v>
      </c>
      <c r="E72">
        <f t="shared" si="1"/>
        <v>53</v>
      </c>
    </row>
    <row r="73" spans="1:5">
      <c r="A73">
        <v>72</v>
      </c>
      <c r="B73" t="s">
        <v>3212</v>
      </c>
      <c r="C73" t="s">
        <v>3213</v>
      </c>
      <c r="D73">
        <v>116.85</v>
      </c>
      <c r="E73">
        <f t="shared" si="1"/>
        <v>37.96</v>
      </c>
    </row>
    <row r="74" spans="1:5">
      <c r="A74">
        <v>73</v>
      </c>
      <c r="B74" t="s">
        <v>3214</v>
      </c>
      <c r="C74" t="s">
        <v>3215</v>
      </c>
      <c r="D74">
        <v>116.39</v>
      </c>
      <c r="E74">
        <f t="shared" si="1"/>
        <v>37.81</v>
      </c>
    </row>
    <row r="75" spans="1:5">
      <c r="A75">
        <v>74</v>
      </c>
      <c r="B75" t="s">
        <v>3216</v>
      </c>
      <c r="C75" t="s">
        <v>3217</v>
      </c>
      <c r="D75">
        <v>119.69</v>
      </c>
      <c r="E75">
        <f t="shared" si="1"/>
        <v>38.880000000000003</v>
      </c>
    </row>
    <row r="76" spans="1:5">
      <c r="A76">
        <v>75</v>
      </c>
      <c r="B76" t="s">
        <v>3218</v>
      </c>
      <c r="C76" t="s">
        <v>3219</v>
      </c>
      <c r="D76">
        <v>116.8</v>
      </c>
      <c r="E76">
        <f t="shared" si="1"/>
        <v>37.94</v>
      </c>
    </row>
    <row r="77" spans="1:5">
      <c r="A77">
        <v>76</v>
      </c>
      <c r="B77" t="s">
        <v>3220</v>
      </c>
      <c r="C77" t="s">
        <v>3221</v>
      </c>
      <c r="D77">
        <v>160.81</v>
      </c>
      <c r="E77">
        <f t="shared" si="1"/>
        <v>52.24</v>
      </c>
    </row>
    <row r="78" spans="1:5">
      <c r="A78">
        <v>77</v>
      </c>
      <c r="B78" t="s">
        <v>3222</v>
      </c>
      <c r="C78" t="s">
        <v>3223</v>
      </c>
      <c r="D78">
        <v>237.91</v>
      </c>
      <c r="E78">
        <f t="shared" si="1"/>
        <v>77.290000000000006</v>
      </c>
    </row>
    <row r="79" spans="1:5">
      <c r="A79">
        <v>78</v>
      </c>
      <c r="B79" t="s">
        <v>3224</v>
      </c>
      <c r="C79" t="s">
        <v>3225</v>
      </c>
      <c r="D79">
        <v>160.66</v>
      </c>
      <c r="E79">
        <f t="shared" si="1"/>
        <v>52.19</v>
      </c>
    </row>
    <row r="80" spans="1:5">
      <c r="A80">
        <v>79</v>
      </c>
      <c r="B80" t="s">
        <v>3226</v>
      </c>
      <c r="C80" t="s">
        <v>3227</v>
      </c>
      <c r="D80">
        <v>119.57</v>
      </c>
      <c r="E80">
        <f t="shared" si="1"/>
        <v>38.840000000000003</v>
      </c>
    </row>
    <row r="81" spans="1:5">
      <c r="A81">
        <v>80</v>
      </c>
      <c r="B81" t="s">
        <v>3228</v>
      </c>
      <c r="C81" t="s">
        <v>3229</v>
      </c>
      <c r="D81">
        <v>109.59</v>
      </c>
      <c r="E81">
        <f t="shared" si="1"/>
        <v>35.6</v>
      </c>
    </row>
    <row r="82" spans="1:5">
      <c r="A82">
        <v>81</v>
      </c>
      <c r="B82" t="s">
        <v>3230</v>
      </c>
      <c r="C82" t="s">
        <v>3231</v>
      </c>
      <c r="D82">
        <v>118.98</v>
      </c>
      <c r="E82">
        <f t="shared" si="1"/>
        <v>38.65</v>
      </c>
    </row>
    <row r="83" spans="1:5">
      <c r="A83">
        <v>82</v>
      </c>
      <c r="B83" t="s">
        <v>3232</v>
      </c>
      <c r="C83" t="s">
        <v>3233</v>
      </c>
      <c r="D83">
        <v>117.41</v>
      </c>
      <c r="E83">
        <f t="shared" si="1"/>
        <v>38.14</v>
      </c>
    </row>
    <row r="84" spans="1:5">
      <c r="A84">
        <v>83</v>
      </c>
      <c r="B84" t="s">
        <v>3234</v>
      </c>
      <c r="C84" t="s">
        <v>3235</v>
      </c>
      <c r="D84">
        <v>164.46</v>
      </c>
      <c r="E84">
        <f t="shared" si="1"/>
        <v>53.43</v>
      </c>
    </row>
    <row r="85" spans="1:5">
      <c r="A85">
        <v>84</v>
      </c>
      <c r="B85" t="s">
        <v>3236</v>
      </c>
      <c r="C85" t="s">
        <v>3237</v>
      </c>
      <c r="D85">
        <v>237.23</v>
      </c>
      <c r="E85">
        <f t="shared" si="1"/>
        <v>77.069999999999993</v>
      </c>
    </row>
    <row r="86" spans="1:5">
      <c r="A86">
        <v>85</v>
      </c>
      <c r="B86" t="s">
        <v>3238</v>
      </c>
      <c r="C86" t="s">
        <v>3239</v>
      </c>
      <c r="D86">
        <v>163.63</v>
      </c>
      <c r="E86">
        <f t="shared" si="1"/>
        <v>53.16</v>
      </c>
    </row>
    <row r="87" spans="1:5">
      <c r="A87">
        <v>86</v>
      </c>
      <c r="B87" t="s">
        <v>3240</v>
      </c>
      <c r="C87" t="s">
        <v>3241</v>
      </c>
      <c r="D87">
        <v>116.85</v>
      </c>
      <c r="E87">
        <f t="shared" si="1"/>
        <v>37.96</v>
      </c>
    </row>
    <row r="88" spans="1:5">
      <c r="A88">
        <v>87</v>
      </c>
      <c r="B88" t="s">
        <v>3242</v>
      </c>
      <c r="C88" t="s">
        <v>3243</v>
      </c>
      <c r="D88">
        <v>118.49</v>
      </c>
      <c r="E88">
        <f t="shared" si="1"/>
        <v>38.49</v>
      </c>
    </row>
    <row r="89" spans="1:5">
      <c r="A89">
        <v>88</v>
      </c>
      <c r="B89" t="s">
        <v>3244</v>
      </c>
      <c r="C89" t="s">
        <v>3245</v>
      </c>
      <c r="D89">
        <v>117.45</v>
      </c>
      <c r="E89">
        <f t="shared" si="1"/>
        <v>38.15</v>
      </c>
    </row>
    <row r="90" spans="1:5">
      <c r="A90">
        <v>89</v>
      </c>
      <c r="B90" t="s">
        <v>3246</v>
      </c>
      <c r="C90" t="s">
        <v>3247</v>
      </c>
      <c r="D90">
        <v>116.85</v>
      </c>
      <c r="E90">
        <f t="shared" si="1"/>
        <v>37.96</v>
      </c>
    </row>
    <row r="91" spans="1:5">
      <c r="A91">
        <v>90</v>
      </c>
      <c r="B91" t="s">
        <v>3248</v>
      </c>
      <c r="C91" t="s">
        <v>3249</v>
      </c>
      <c r="D91">
        <v>163.51</v>
      </c>
      <c r="E91">
        <f t="shared" si="1"/>
        <v>53.12</v>
      </c>
    </row>
    <row r="92" spans="1:5">
      <c r="A92">
        <v>91</v>
      </c>
      <c r="B92" t="s">
        <v>3250</v>
      </c>
      <c r="C92" t="s">
        <v>3251</v>
      </c>
      <c r="D92">
        <v>236.98</v>
      </c>
      <c r="E92">
        <f t="shared" si="1"/>
        <v>76.98</v>
      </c>
    </row>
    <row r="93" spans="1:5">
      <c r="A93">
        <v>92</v>
      </c>
      <c r="B93" t="s">
        <v>3252</v>
      </c>
      <c r="C93" t="s">
        <v>3253</v>
      </c>
      <c r="D93">
        <v>160.83000000000001</v>
      </c>
      <c r="E93">
        <f t="shared" si="1"/>
        <v>52.25</v>
      </c>
    </row>
    <row r="94" spans="1:5">
      <c r="A94">
        <v>93</v>
      </c>
      <c r="B94" t="s">
        <v>3254</v>
      </c>
      <c r="C94" t="s">
        <v>3255</v>
      </c>
      <c r="D94">
        <v>116.85</v>
      </c>
      <c r="E94">
        <f t="shared" si="1"/>
        <v>37.96</v>
      </c>
    </row>
    <row r="95" spans="1:5">
      <c r="A95">
        <v>94</v>
      </c>
      <c r="B95" t="s">
        <v>3256</v>
      </c>
      <c r="C95" t="s">
        <v>3257</v>
      </c>
      <c r="D95">
        <v>110.64</v>
      </c>
      <c r="E95">
        <f t="shared" si="1"/>
        <v>35.94</v>
      </c>
    </row>
    <row r="96" spans="1:5">
      <c r="A96">
        <v>95</v>
      </c>
      <c r="B96" t="s">
        <v>3258</v>
      </c>
      <c r="C96" t="s">
        <v>3259</v>
      </c>
      <c r="D96">
        <v>117.45</v>
      </c>
      <c r="E96">
        <f t="shared" si="1"/>
        <v>38.15</v>
      </c>
    </row>
    <row r="97" spans="1:5">
      <c r="A97">
        <v>96</v>
      </c>
      <c r="B97" t="s">
        <v>3260</v>
      </c>
      <c r="C97" t="s">
        <v>3261</v>
      </c>
      <c r="D97">
        <v>116.85</v>
      </c>
      <c r="E97">
        <f t="shared" si="1"/>
        <v>37.96</v>
      </c>
    </row>
    <row r="98" spans="1:5">
      <c r="A98">
        <v>97</v>
      </c>
      <c r="B98" t="s">
        <v>3262</v>
      </c>
      <c r="C98" t="s">
        <v>3263</v>
      </c>
      <c r="D98">
        <v>163.87</v>
      </c>
      <c r="E98">
        <f t="shared" si="1"/>
        <v>53.23</v>
      </c>
    </row>
    <row r="99" spans="1:5">
      <c r="A99">
        <v>98</v>
      </c>
      <c r="B99" t="s">
        <v>3264</v>
      </c>
      <c r="C99" t="s">
        <v>3265</v>
      </c>
      <c r="D99">
        <v>236.27</v>
      </c>
      <c r="E99">
        <f t="shared" si="1"/>
        <v>76.75</v>
      </c>
    </row>
    <row r="100" spans="1:5">
      <c r="A100">
        <v>99</v>
      </c>
      <c r="B100" t="s">
        <v>3266</v>
      </c>
      <c r="C100" t="s">
        <v>3267</v>
      </c>
      <c r="D100">
        <v>163.13999999999999</v>
      </c>
      <c r="E100">
        <f t="shared" si="1"/>
        <v>53</v>
      </c>
    </row>
    <row r="101" spans="1:5">
      <c r="A101">
        <v>100</v>
      </c>
      <c r="B101" t="s">
        <v>3268</v>
      </c>
      <c r="C101" t="s">
        <v>3269</v>
      </c>
      <c r="D101">
        <v>116.85</v>
      </c>
      <c r="E101">
        <f t="shared" si="1"/>
        <v>37.96</v>
      </c>
    </row>
    <row r="102" spans="1:5">
      <c r="A102">
        <v>101</v>
      </c>
      <c r="B102" t="s">
        <v>3270</v>
      </c>
      <c r="C102" t="s">
        <v>3271</v>
      </c>
      <c r="D102">
        <v>116.39</v>
      </c>
      <c r="E102">
        <f t="shared" si="1"/>
        <v>37.81</v>
      </c>
    </row>
    <row r="103" spans="1:5">
      <c r="A103">
        <v>102</v>
      </c>
      <c r="B103" t="s">
        <v>3272</v>
      </c>
      <c r="C103" t="s">
        <v>3273</v>
      </c>
      <c r="D103">
        <v>119.69</v>
      </c>
      <c r="E103">
        <f t="shared" si="1"/>
        <v>38.880000000000003</v>
      </c>
    </row>
    <row r="104" spans="1:5">
      <c r="A104">
        <v>103</v>
      </c>
      <c r="B104" t="s">
        <v>3274</v>
      </c>
      <c r="C104" t="s">
        <v>3275</v>
      </c>
      <c r="D104">
        <v>116.8</v>
      </c>
      <c r="E104">
        <f t="shared" si="1"/>
        <v>37.94</v>
      </c>
    </row>
    <row r="105" spans="1:5">
      <c r="A105">
        <v>104</v>
      </c>
      <c r="B105" t="s">
        <v>3276</v>
      </c>
      <c r="C105" t="s">
        <v>3277</v>
      </c>
      <c r="D105">
        <v>160.81</v>
      </c>
      <c r="E105">
        <f t="shared" si="1"/>
        <v>52.24</v>
      </c>
    </row>
    <row r="106" spans="1:5">
      <c r="A106">
        <v>105</v>
      </c>
      <c r="B106" t="s">
        <v>3278</v>
      </c>
      <c r="C106" t="s">
        <v>3279</v>
      </c>
      <c r="D106">
        <v>236.98</v>
      </c>
      <c r="E106">
        <f t="shared" si="1"/>
        <v>76.98</v>
      </c>
    </row>
    <row r="107" spans="1:5">
      <c r="A107">
        <v>106</v>
      </c>
      <c r="B107" t="s">
        <v>3280</v>
      </c>
      <c r="C107" t="s">
        <v>3281</v>
      </c>
      <c r="D107">
        <v>160.66</v>
      </c>
      <c r="E107">
        <f t="shared" si="1"/>
        <v>52.19</v>
      </c>
    </row>
    <row r="108" spans="1:5">
      <c r="A108">
        <v>107</v>
      </c>
      <c r="B108" t="s">
        <v>3282</v>
      </c>
      <c r="C108" t="s">
        <v>3283</v>
      </c>
      <c r="D108">
        <v>119.57</v>
      </c>
      <c r="E108">
        <f t="shared" si="1"/>
        <v>38.840000000000003</v>
      </c>
    </row>
    <row r="109" spans="1:5">
      <c r="A109">
        <v>108</v>
      </c>
      <c r="B109" t="s">
        <v>3284</v>
      </c>
      <c r="C109" t="s">
        <v>3285</v>
      </c>
      <c r="D109">
        <v>109.59</v>
      </c>
      <c r="E109">
        <f t="shared" si="1"/>
        <v>35.6</v>
      </c>
    </row>
    <row r="110" spans="1:5">
      <c r="A110">
        <v>109</v>
      </c>
      <c r="B110" t="s">
        <v>3286</v>
      </c>
      <c r="C110" t="s">
        <v>3287</v>
      </c>
      <c r="D110">
        <v>118.98</v>
      </c>
      <c r="E110">
        <f t="shared" si="1"/>
        <v>38.65</v>
      </c>
    </row>
    <row r="111" spans="1:5">
      <c r="A111">
        <v>110</v>
      </c>
      <c r="B111" t="s">
        <v>3288</v>
      </c>
      <c r="C111" t="s">
        <v>3289</v>
      </c>
      <c r="D111">
        <v>117.41</v>
      </c>
      <c r="E111">
        <f t="shared" si="1"/>
        <v>38.14</v>
      </c>
    </row>
    <row r="112" spans="1:5">
      <c r="A112">
        <v>111</v>
      </c>
      <c r="B112" t="s">
        <v>3290</v>
      </c>
      <c r="C112" t="s">
        <v>3291</v>
      </c>
      <c r="D112">
        <v>164.46</v>
      </c>
      <c r="E112">
        <f t="shared" si="1"/>
        <v>53.43</v>
      </c>
    </row>
    <row r="113" spans="1:15">
      <c r="A113">
        <v>112</v>
      </c>
      <c r="B113" t="s">
        <v>3292</v>
      </c>
      <c r="C113" t="s">
        <v>3293</v>
      </c>
      <c r="D113">
        <v>236.3</v>
      </c>
      <c r="E113">
        <f>E114-SUM(E2:E112)</f>
        <v>76.81000000000131</v>
      </c>
    </row>
    <row r="114" spans="1:15">
      <c r="D114">
        <f>SUM(D2:D113)</f>
        <v>16206.229999999998</v>
      </c>
      <c r="E114">
        <v>5264.7</v>
      </c>
    </row>
    <row r="116" spans="1:15" ht="14.25">
      <c r="G116" s="3017" t="s">
        <v>3338</v>
      </c>
      <c r="H116" s="3112" t="s">
        <v>3339</v>
      </c>
      <c r="I116" s="3112" t="s">
        <v>3340</v>
      </c>
      <c r="J116" s="3128" t="s">
        <v>3341</v>
      </c>
      <c r="K116" s="3129"/>
      <c r="L116" s="3120" t="s">
        <v>3342</v>
      </c>
      <c r="M116" s="3120"/>
      <c r="N116" s="3017" t="s">
        <v>3343</v>
      </c>
      <c r="O116" s="3017"/>
    </row>
    <row r="117" spans="1:15" ht="14.25">
      <c r="G117" s="3017"/>
      <c r="H117" s="3113"/>
      <c r="I117" s="3113"/>
      <c r="J117" s="2959" t="s">
        <v>3344</v>
      </c>
      <c r="K117" s="2959" t="s">
        <v>3345</v>
      </c>
      <c r="L117" s="2959" t="s">
        <v>3344</v>
      </c>
      <c r="M117" s="2959" t="s">
        <v>3345</v>
      </c>
      <c r="N117" s="2959" t="s">
        <v>3344</v>
      </c>
      <c r="O117" s="2959" t="s">
        <v>3345</v>
      </c>
    </row>
    <row r="118" spans="1:15" ht="14.25">
      <c r="G118" s="2517"/>
      <c r="H118" s="2959">
        <f>系统读取表!B1</f>
        <v>16206.229999999998</v>
      </c>
      <c r="I118" s="2959">
        <f>系统读取表!B2</f>
        <v>5264.7</v>
      </c>
      <c r="J118" s="2959">
        <f ca="1">N118-L118</f>
        <v>19855</v>
      </c>
      <c r="K118" s="2959">
        <f ca="1">O118-M118</f>
        <v>12252</v>
      </c>
      <c r="L118" s="2959">
        <f ca="1">ROUND(M118*H118/10000,0)</f>
        <v>16286</v>
      </c>
      <c r="M118" s="2959">
        <f ca="1">'结果表-基准'!G118</f>
        <v>10049</v>
      </c>
      <c r="N118" s="2959">
        <f ca="1">系统读取表!B5</f>
        <v>36141</v>
      </c>
      <c r="O118" s="2959">
        <f ca="1">系统读取表!C5</f>
        <v>22301</v>
      </c>
    </row>
  </sheetData>
  <mergeCells count="6">
    <mergeCell ref="G116:G117"/>
    <mergeCell ref="H116:H117"/>
    <mergeCell ref="I116:I117"/>
    <mergeCell ref="J116:K116"/>
    <mergeCell ref="L116:M116"/>
    <mergeCell ref="N116:O116"/>
  </mergeCells>
  <phoneticPr fontId="143" type="noConversion"/>
  <dataValidations count="4">
    <dataValidation type="list" allowBlank="1" showInputMessage="1" showErrorMessage="1" sqref="H116:H117">
      <formula1>"建筑面积,规划建筑面积,（规划）建筑面积"</formula1>
    </dataValidation>
    <dataValidation type="list" allowBlank="1" showInputMessage="1" showErrorMessage="1" sqref="I116:I117">
      <formula1>"土地面积,分摊土地面积,（分摊）土地面积"</formula1>
    </dataValidation>
    <dataValidation type="list" allowBlank="1" showInputMessage="1" showErrorMessage="1" sqref="J116:K116">
      <formula1>"出让国有建设用地使用权价值,划拨国有建设用地使用权价值"</formula1>
    </dataValidation>
    <dataValidation type="list" allowBlank="1" showInputMessage="1" showErrorMessage="1" sqref="L116:M116">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58" t="s">
        <v>1934</v>
      </c>
      <c r="B2" s="3058"/>
      <c r="C2" s="3058"/>
      <c r="D2" s="967" t="s">
        <v>1910</v>
      </c>
      <c r="E2" s="2218" t="s">
        <v>1911</v>
      </c>
      <c r="F2" s="1391"/>
      <c r="G2" s="2219"/>
      <c r="H2" s="2220"/>
      <c r="I2" s="2221" t="s">
        <v>1935</v>
      </c>
      <c r="J2" s="1391"/>
      <c r="K2" s="1391"/>
      <c r="L2" s="1391"/>
      <c r="M2" s="1391"/>
      <c r="N2" s="1426"/>
      <c r="O2" s="1391"/>
      <c r="P2" s="1391"/>
    </row>
    <row r="3" spans="1:16" ht="15.75" thickBot="1">
      <c r="A3" s="3059" t="s">
        <v>1908</v>
      </c>
      <c r="B3" s="3059"/>
      <c r="C3" s="3059"/>
      <c r="D3" s="46">
        <f>'数据-基础表'!AY6</f>
        <v>5264.7</v>
      </c>
      <c r="E3" s="46">
        <f>'数据-基础表'!AZ5</f>
        <v>16206.229999999998</v>
      </c>
      <c r="F3" s="1391"/>
      <c r="G3" s="1398"/>
      <c r="H3" s="1246" t="s">
        <v>1909</v>
      </c>
      <c r="I3" s="55">
        <f>ROUND('数据-基础表'!B3/'数据-基础表'!A3,2)</f>
        <v>3.08</v>
      </c>
      <c r="J3" s="1391"/>
      <c r="K3" s="1391"/>
      <c r="L3" s="1391"/>
      <c r="M3" s="1391"/>
      <c r="N3" s="1426"/>
      <c r="O3" s="1391"/>
      <c r="P3" s="1391"/>
    </row>
    <row r="4" spans="1:16" ht="15">
      <c r="A4" s="3060"/>
      <c r="B4" s="3061"/>
      <c r="C4" s="3062"/>
      <c r="D4" s="2222" t="s">
        <v>1910</v>
      </c>
      <c r="E4" s="2223" t="s">
        <v>1911</v>
      </c>
      <c r="F4" s="1391"/>
      <c r="G4" s="2224" t="s">
        <v>1936</v>
      </c>
      <c r="H4" s="1246" t="s">
        <v>1916</v>
      </c>
      <c r="I4" s="55">
        <f>ROUND(SUMIF('数据-基础表'!I9:AS9,"地上",'数据-基础表'!I5:AS5)/'数据-基础表'!A3,2)</f>
        <v>3.08</v>
      </c>
      <c r="J4" s="1391"/>
      <c r="K4" s="1391"/>
      <c r="L4" s="1391"/>
      <c r="M4" s="1391"/>
      <c r="N4" s="1426"/>
      <c r="O4" s="1391"/>
      <c r="P4" s="1391"/>
    </row>
    <row r="5" spans="1:16">
      <c r="A5" s="47" t="s">
        <v>1912</v>
      </c>
      <c r="B5" s="3063" t="s">
        <v>1913</v>
      </c>
      <c r="C5" s="3063"/>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25"/>
      <c r="B6" s="3063" t="s">
        <v>1914</v>
      </c>
      <c r="C6" s="3063"/>
      <c r="D6" s="48">
        <f>ROUND($D$3*E6/$E$3,2)</f>
        <v>5264.7</v>
      </c>
      <c r="E6" s="49">
        <f>E3-E5</f>
        <v>16206.229999999998</v>
      </c>
      <c r="F6" s="1391"/>
      <c r="G6" s="2226" t="s">
        <v>1915</v>
      </c>
      <c r="H6" s="1398" t="s">
        <v>1916</v>
      </c>
      <c r="I6" s="939">
        <f>ROUND(F31/D31,2)</f>
        <v>3.08</v>
      </c>
      <c r="J6" s="1391"/>
      <c r="K6" s="1391"/>
      <c r="L6" s="1391"/>
      <c r="M6" s="1391"/>
      <c r="N6" s="1391"/>
      <c r="O6" s="1391"/>
      <c r="P6" s="1391"/>
    </row>
    <row r="7" spans="1:16" ht="15">
      <c r="A7" s="3055"/>
      <c r="B7" s="3056"/>
      <c r="C7" s="3057"/>
      <c r="D7" s="2222" t="s">
        <v>1910</v>
      </c>
      <c r="E7" s="2227" t="s">
        <v>1917</v>
      </c>
      <c r="F7" s="1391"/>
      <c r="G7" s="2219" t="s">
        <v>1918</v>
      </c>
      <c r="H7" s="64"/>
      <c r="I7" s="420"/>
      <c r="J7" s="1391"/>
      <c r="K7" s="1391"/>
      <c r="L7" s="1391"/>
      <c r="M7" s="1391"/>
      <c r="N7" s="1391"/>
      <c r="O7" s="1391"/>
      <c r="P7" s="1391"/>
    </row>
    <row r="8" spans="1:16">
      <c r="A8" s="47" t="s">
        <v>1919</v>
      </c>
      <c r="B8" s="50" t="s">
        <v>1920</v>
      </c>
      <c r="C8" s="48" t="s">
        <v>1921</v>
      </c>
      <c r="D8" s="48">
        <f t="shared" ref="D8:D15" si="0">ROUND($D$3*E8/$E$3,2)</f>
        <v>5264.7</v>
      </c>
      <c r="E8" s="51">
        <f>SUMIF('数据-基础表'!BB10:BK10,"地上",'数据-基础表'!BB5:BK5)</f>
        <v>16206.229999999998</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5264.7</v>
      </c>
      <c r="E16" s="53">
        <f>SUM(E8:E15)</f>
        <v>16206.229999999998</v>
      </c>
      <c r="F16" s="1391"/>
      <c r="G16" s="2228"/>
      <c r="H16" s="2231" t="s">
        <v>1938</v>
      </c>
      <c r="I16" s="2232"/>
      <c r="J16" s="1391"/>
      <c r="K16" s="3052" t="s">
        <v>1938</v>
      </c>
      <c r="L16" s="3053"/>
      <c r="M16" s="3053"/>
      <c r="N16" s="3053"/>
      <c r="O16" s="3053"/>
      <c r="P16" s="3054"/>
    </row>
    <row r="17" spans="1:19" ht="15">
      <c r="A17" s="2233" t="s">
        <v>1939</v>
      </c>
      <c r="B17" s="2234" t="s">
        <v>1940</v>
      </c>
      <c r="C17" s="2235" t="s">
        <v>1941</v>
      </c>
      <c r="D17" s="2236" t="s">
        <v>1929</v>
      </c>
      <c r="E17" s="2237" t="s">
        <v>1930</v>
      </c>
      <c r="F17" s="2238"/>
      <c r="G17" s="2239"/>
      <c r="H17" s="2240" t="s">
        <v>1942</v>
      </c>
      <c r="I17" s="2241" t="s">
        <v>1927</v>
      </c>
      <c r="J17" s="1391"/>
      <c r="K17" s="3049" t="s">
        <v>1943</v>
      </c>
      <c r="L17" s="3050"/>
      <c r="M17" s="3051"/>
      <c r="N17" s="3049" t="s">
        <v>1944</v>
      </c>
      <c r="O17" s="3050"/>
      <c r="P17" s="3051"/>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6" t="s">
        <v>1953</v>
      </c>
      <c r="N18" s="1261" t="s">
        <v>1951</v>
      </c>
      <c r="O18" s="2249" t="s">
        <v>1952</v>
      </c>
      <c r="P18" s="1046" t="s">
        <v>1953</v>
      </c>
      <c r="R18" s="1246" t="s">
        <v>1954</v>
      </c>
      <c r="S18" s="1246" t="s">
        <v>1955</v>
      </c>
    </row>
    <row r="19" spans="1:19">
      <c r="A19" s="2250"/>
      <c r="B19" s="50" t="s">
        <v>1928</v>
      </c>
      <c r="C19" s="2251">
        <v>401</v>
      </c>
      <c r="D19" s="48">
        <f>ROUND($D$3*E19/$E$3,2)</f>
        <v>36.53</v>
      </c>
      <c r="E19" s="56">
        <f t="shared" ref="E19:E26" si="1">SUM(F19:G19)</f>
        <v>112.45</v>
      </c>
      <c r="F19" s="57">
        <f>'数据-基础表'!I13</f>
        <v>112.45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36.53</v>
      </c>
      <c r="S19" s="1247">
        <f t="shared" si="5"/>
        <v>112.45</v>
      </c>
    </row>
    <row r="20" spans="1:19">
      <c r="A20" s="2254"/>
      <c r="B20" s="50" t="s">
        <v>1956</v>
      </c>
      <c r="C20" s="3326" t="s">
        <v>3335</v>
      </c>
      <c r="D20" s="48">
        <f t="shared" ref="D20:D26" si="6">ROUND($D$3*E20/$E$3,2)</f>
        <v>5228.17</v>
      </c>
      <c r="E20" s="56">
        <f t="shared" si="1"/>
        <v>16093.779999999997</v>
      </c>
      <c r="F20" s="57">
        <f>'数据-基础表'!I14</f>
        <v>16093.779999999997</v>
      </c>
      <c r="G20" s="58"/>
      <c r="H20" s="723">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5228.17</v>
      </c>
      <c r="S20" s="1247">
        <f t="shared" si="5"/>
        <v>16093.779999999997</v>
      </c>
    </row>
    <row r="21" spans="1:19">
      <c r="A21" s="2254"/>
      <c r="B21" s="50" t="s">
        <v>1956</v>
      </c>
      <c r="C21" s="2251"/>
      <c r="D21" s="48">
        <f t="shared" si="6"/>
        <v>0</v>
      </c>
      <c r="E21" s="56">
        <f t="shared" si="1"/>
        <v>0</v>
      </c>
      <c r="F21" s="57"/>
      <c r="G21" s="58"/>
      <c r="H21" s="723">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5264.7</v>
      </c>
      <c r="E27" s="1393">
        <f>IF(SUM(E19:E26)='数据-基础表'!BA5,SUM(E19:E26),IF(F27="地上面积有误","面积有误","地下面积有误"))</f>
        <v>16206.229999999998</v>
      </c>
      <c r="F27" s="1392">
        <f>IF(SUM(F19:F26)=E8,SUM(F19:F26),"地上面积有误")</f>
        <v>16206.229999999998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5264.7</v>
      </c>
      <c r="S27" s="1246">
        <f>IF(SUM(S19:S26)=$E$3,SUM(S19:S26),SUM(S19:S26)&amp;"误差"&amp;ROUND(SUM(S19:S26)-E3,2))</f>
        <v>16206.229999999998</v>
      </c>
    </row>
    <row r="28" spans="1:19">
      <c r="A28" s="2254"/>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0"/>
      <c r="B31" s="2261"/>
      <c r="C31" s="1007" t="s">
        <v>1961</v>
      </c>
      <c r="D31" s="729">
        <f>D27+D30</f>
        <v>5264.7</v>
      </c>
      <c r="E31" s="729">
        <f>E27+E30</f>
        <v>16206.229999999998</v>
      </c>
      <c r="F31" s="730">
        <f>F27+F30</f>
        <v>16206.229999999998</v>
      </c>
      <c r="G31" s="731">
        <f>G27+G30</f>
        <v>0</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43570</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3296</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f>'数据-汇总表'!C19</f>
        <v>401</v>
      </c>
      <c r="B6" s="2298" t="str">
        <f>IF(A6=0,"","经营性")</f>
        <v>经营性</v>
      </c>
      <c r="C6" s="2299"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0.96699999999999997</v>
      </c>
      <c r="H6" s="802">
        <v>4.4999999999999998E-2</v>
      </c>
      <c r="I6" s="802">
        <v>0.05</v>
      </c>
      <c r="J6" s="74">
        <v>0.08</v>
      </c>
      <c r="K6" s="1250">
        <f>SUMIF('数据-汇总表'!C$19:C$33,A6,'数据-汇总表'!E$19:E$33)</f>
        <v>112.45</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36.53</v>
      </c>
      <c r="S6" s="54">
        <f>IF('数据-汇总表'!$I$17="按面积比例",SUMIF('数据-汇总表'!C$19:C$33,A6,'数据-汇总表'!K$19:K$33),SUMIF('数据-汇总表'!C$19:C$33,A6,'数据-汇总表'!N$19:N$33))</f>
        <v>0</v>
      </c>
      <c r="T6" s="1442">
        <f>ROUND($L$14*S6/10000,0)</f>
        <v>0</v>
      </c>
      <c r="U6" s="78">
        <v>3</v>
      </c>
      <c r="V6" s="79">
        <v>2.5000000000000001E-2</v>
      </c>
      <c r="W6" s="79">
        <v>0.1</v>
      </c>
      <c r="X6" s="1260"/>
      <c r="Y6" s="80">
        <f>N6</f>
        <v>0.98</v>
      </c>
      <c r="Z6" s="81"/>
      <c r="AA6" s="74"/>
      <c r="AB6" s="74"/>
      <c r="AC6" s="1260"/>
      <c r="AD6" s="82"/>
      <c r="AE6" s="1261">
        <f ca="1">IF(AN6="",0,SUMIF(INDIRECT("'"&amp;AN6&amp;"'"&amp;"!E:E"),$AE$5,INDIRECT("'"&amp;AN6&amp;"'"&amp;"!F:F")))</f>
        <v>44.68</v>
      </c>
      <c r="AF6" s="1795"/>
      <c r="AG6" s="147">
        <f>IF(AF6="",0,AE6-AF6)</f>
        <v>0</v>
      </c>
      <c r="AH6" s="83"/>
      <c r="AI6" s="85">
        <v>365</v>
      </c>
      <c r="AJ6" s="86"/>
      <c r="AK6" s="87">
        <v>1.4999999999999999E-2</v>
      </c>
      <c r="AL6" s="88">
        <v>1.5E-3</v>
      </c>
      <c r="AM6" s="89">
        <v>0.02</v>
      </c>
      <c r="AN6" s="2300" t="s">
        <v>3297</v>
      </c>
      <c r="AO6" s="55">
        <f ca="1">SUMIF(INDIRECT("'"&amp;AN6&amp;"'"&amp;"!A:A"),"总价",INDIRECT("'"&amp;AN6&amp;"'"&amp;"!B:B"))</f>
        <v>217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其他</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16093.779999999997</v>
      </c>
      <c r="L7" s="803"/>
      <c r="M7" s="75">
        <f t="shared" si="0"/>
        <v>0</v>
      </c>
      <c r="N7" s="801"/>
      <c r="O7" s="75" t="str">
        <f t="shared" ref="O7:O14" si="3">IF($N$5="成新度","——",ROUND(M7*N7,0))</f>
        <v>——</v>
      </c>
      <c r="P7" s="76" t="str">
        <f t="shared" ref="P7:P14" si="4">IF($N$5="成新度","——",M7-O7)</f>
        <v>——</v>
      </c>
      <c r="Q7" s="804"/>
      <c r="R7" s="77">
        <f ca="1">SUMIF('数据-汇总表'!C$19:C$33,A7,'数据-汇总表'!R$19:R$27)</f>
        <v>5228.17</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06"/>
      <c r="AJ14" s="773"/>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6"/>
      <c r="AJ15" s="773"/>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0.96699999999999997</v>
      </c>
      <c r="H16" s="99">
        <f>ROUND(SUMPRODUCT(H6:H13,K6:K13)/SUMPRODUCT((H6:H13&gt;0)*(K6:K13)),3)</f>
        <v>4.4999999999999998E-2</v>
      </c>
      <c r="I16" s="100"/>
      <c r="J16" s="100"/>
      <c r="K16" s="101">
        <f>SUM(K6:K15)</f>
        <v>16206.229999999998</v>
      </c>
      <c r="L16" s="102">
        <f>ROUND(M16*10000/SUM(K6:K14),0)</f>
        <v>19</v>
      </c>
      <c r="M16" s="102">
        <f>SUM(M6:M14)</f>
        <v>31</v>
      </c>
      <c r="N16" s="103">
        <f>ROUND(SUMPRODUCT(M6:M14,N6:N14)/M16,3)</f>
        <v>0.98</v>
      </c>
      <c r="O16" s="102">
        <f>SUM(O6:O14)</f>
        <v>0</v>
      </c>
      <c r="P16" s="102">
        <f>SUM(P6:P14)</f>
        <v>0</v>
      </c>
      <c r="Q16" s="104">
        <f>ROUND(SUMPRODUCT(Q6:Q13,K6:K13)/SUMPRODUCT((Q6:Q13&gt;0)*(K6:K13)),2)</f>
        <v>0.2</v>
      </c>
      <c r="R16" s="1254">
        <f ca="1">SUM(R6:R13)</f>
        <v>5264.7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c r="C27" s="1755" t="s">
        <v>2026</v>
      </c>
      <c r="D27" s="2314"/>
      <c r="E27" s="1426"/>
      <c r="F27" s="1426"/>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190</v>
      </c>
      <c r="C28" s="2317"/>
      <c r="D28" s="2314"/>
      <c r="E28" s="1426"/>
      <c r="F28" s="1426"/>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6"/>
      <c r="F29" s="1426"/>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6"/>
      <c r="F30" s="1426"/>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6"/>
      <c r="F31" s="1426"/>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0.05</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6"/>
      <c r="F35" s="1426"/>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5.5000000000000007E-2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5.000000000000001E-3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0.05</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6"/>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6"/>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1.5</v>
      </c>
      <c r="C52" s="1426"/>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64" t="s">
        <v>2079</v>
      </c>
      <c r="B1" s="3065"/>
      <c r="C1" s="3065"/>
      <c r="D1" s="3065"/>
      <c r="E1" s="3065"/>
      <c r="F1" s="3065"/>
      <c r="G1" s="306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7"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16206.229999999998</v>
      </c>
      <c r="C1" s="2948"/>
      <c r="D1" s="2948"/>
      <c r="E1" s="2948"/>
      <c r="F1" s="2948"/>
      <c r="G1" s="2949"/>
    </row>
    <row r="2" spans="1:10" ht="16.5">
      <c r="A2" s="2951" t="s">
        <v>1348</v>
      </c>
      <c r="B2" s="2951">
        <f>SUM(C14:C23)</f>
        <v>5264.7</v>
      </c>
      <c r="C2" s="2948"/>
      <c r="D2" s="2948"/>
      <c r="E2" s="2948"/>
      <c r="F2" s="2948"/>
      <c r="G2" s="2949"/>
    </row>
    <row r="3" spans="1:10" ht="16.5">
      <c r="A3" s="2951" t="s">
        <v>1357</v>
      </c>
      <c r="B3" s="2952">
        <f>项目基本情况!D3</f>
        <v>43570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36141</v>
      </c>
      <c r="C5" s="2951">
        <f ca="1">ROUND(B5*10000/$B$1,0)</f>
        <v>22301</v>
      </c>
      <c r="D5" s="2951">
        <f ca="1">ROUND(B5*10000/$B$2,0)</f>
        <v>68648</v>
      </c>
      <c r="E5" s="2948"/>
      <c r="F5" s="2949"/>
      <c r="G5" s="2949"/>
    </row>
    <row r="6" spans="1:10" ht="16.5">
      <c r="A6" s="2951" t="s">
        <v>1351</v>
      </c>
      <c r="B6" s="2951">
        <f ca="1">SUM(G14:G23)</f>
        <v>36141</v>
      </c>
      <c r="C6" s="2951">
        <f ca="1">ROUND(B6*10000/$B$1,0)</f>
        <v>22301</v>
      </c>
      <c r="D6" s="2951">
        <f ca="1">ROUND(B6*10000/$B$2,0)</f>
        <v>68648</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16206.229999999998</v>
      </c>
      <c r="C14" s="2956">
        <f>结果表!C118</f>
        <v>5264.7</v>
      </c>
      <c r="D14" s="2956">
        <f ca="1">结果表!H118</f>
        <v>36141</v>
      </c>
      <c r="E14" s="2954">
        <f ca="1">ROUND(D14*10000/B14,0)</f>
        <v>22301</v>
      </c>
      <c r="F14" s="2954">
        <f ca="1">ROUND(D14*10000/C14,0)</f>
        <v>68648</v>
      </c>
      <c r="G14" s="2956">
        <f ca="1">结果表!D122</f>
        <v>36141</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2119</v>
      </c>
      <c r="B3" s="3104"/>
      <c r="C3" s="3104"/>
      <c r="D3" s="3104"/>
      <c r="E3" s="3104"/>
      <c r="F3" s="3104"/>
      <c r="G3" s="3104"/>
      <c r="H3" s="3104"/>
      <c r="I3" s="3104"/>
    </row>
    <row r="4" spans="1:12" ht="14.25">
      <c r="A4" s="2416" t="s">
        <v>2120</v>
      </c>
      <c r="B4" s="2417" t="s">
        <v>2121</v>
      </c>
      <c r="C4" s="2418" t="s">
        <v>3333</v>
      </c>
      <c r="D4" s="2418" t="s">
        <v>3333</v>
      </c>
      <c r="E4" s="3096" t="s">
        <v>2122</v>
      </c>
      <c r="F4" s="3097"/>
      <c r="G4" s="3097"/>
      <c r="H4" s="3097"/>
      <c r="I4" s="3105"/>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9" t="s">
        <v>2123</v>
      </c>
      <c r="B5" s="3017">
        <v>25</v>
      </c>
      <c r="C5" s="3082"/>
      <c r="D5" s="3102"/>
      <c r="E5" s="140" t="s">
        <v>2124</v>
      </c>
      <c r="F5" s="2420"/>
      <c r="G5" s="2420"/>
      <c r="H5" s="2420"/>
      <c r="I5" s="1822"/>
    </row>
    <row r="6" spans="1:12" ht="12.75">
      <c r="A6" s="3079"/>
      <c r="B6" s="3017"/>
      <c r="C6" s="3083"/>
      <c r="D6" s="3102"/>
      <c r="E6" s="140" t="s">
        <v>2125</v>
      </c>
      <c r="F6" s="2420"/>
      <c r="G6" s="2420"/>
      <c r="H6" s="2420"/>
      <c r="I6" s="1822"/>
    </row>
    <row r="7" spans="1:12" ht="12.75">
      <c r="A7" s="3079"/>
      <c r="B7" s="3017"/>
      <c r="C7" s="3084"/>
      <c r="D7" s="3102"/>
      <c r="E7" s="140" t="s">
        <v>2126</v>
      </c>
      <c r="F7" s="2420"/>
      <c r="G7" s="2420"/>
      <c r="H7" s="2420"/>
      <c r="I7" s="1822"/>
    </row>
    <row r="8" spans="1:12" ht="12.75">
      <c r="A8" s="3079" t="s">
        <v>2127</v>
      </c>
      <c r="B8" s="3017">
        <v>15</v>
      </c>
      <c r="C8" s="3082"/>
      <c r="D8" s="3102"/>
      <c r="E8" s="140" t="s">
        <v>2128</v>
      </c>
      <c r="F8" s="2420"/>
      <c r="G8" s="2420"/>
      <c r="H8" s="2420"/>
      <c r="I8" s="1822"/>
    </row>
    <row r="9" spans="1:12" ht="12.75">
      <c r="A9" s="3079"/>
      <c r="B9" s="3017"/>
      <c r="C9" s="3084"/>
      <c r="D9" s="3102"/>
      <c r="E9" s="140" t="s">
        <v>2129</v>
      </c>
      <c r="F9" s="2420"/>
      <c r="G9" s="2420"/>
      <c r="H9" s="2420"/>
      <c r="I9" s="1822"/>
    </row>
    <row r="10" spans="1:12" ht="12.75">
      <c r="A10" s="3079" t="s">
        <v>2130</v>
      </c>
      <c r="B10" s="3017">
        <v>15</v>
      </c>
      <c r="C10" s="3082"/>
      <c r="D10" s="3102"/>
      <c r="E10" s="140" t="s">
        <v>2131</v>
      </c>
      <c r="F10" s="2420"/>
      <c r="G10" s="2420"/>
      <c r="H10" s="2420"/>
      <c r="I10" s="1822"/>
    </row>
    <row r="11" spans="1:12" ht="12.75">
      <c r="A11" s="3079"/>
      <c r="B11" s="3017"/>
      <c r="C11" s="3084"/>
      <c r="D11" s="3102"/>
      <c r="E11" s="140" t="s">
        <v>2132</v>
      </c>
      <c r="F11" s="2420"/>
      <c r="G11" s="2420"/>
      <c r="H11" s="2420"/>
      <c r="I11" s="1822"/>
    </row>
    <row r="12" spans="1:12" ht="12.75">
      <c r="A12" s="3079" t="s">
        <v>2133</v>
      </c>
      <c r="B12" s="3017">
        <v>15</v>
      </c>
      <c r="C12" s="3082"/>
      <c r="D12" s="3102"/>
      <c r="E12" s="140" t="s">
        <v>2134</v>
      </c>
      <c r="F12" s="2420"/>
      <c r="G12" s="2420"/>
      <c r="H12" s="2420"/>
      <c r="I12" s="1822"/>
    </row>
    <row r="13" spans="1:12" ht="12.75">
      <c r="A13" s="3079"/>
      <c r="B13" s="3017"/>
      <c r="C13" s="3084"/>
      <c r="D13" s="3102"/>
      <c r="E13" s="140" t="s">
        <v>2135</v>
      </c>
      <c r="F13" s="2420"/>
      <c r="G13" s="2420"/>
      <c r="H13" s="2420"/>
      <c r="I13" s="1822"/>
    </row>
    <row r="14" spans="1:12" ht="12.75">
      <c r="A14" s="3079" t="s">
        <v>2136</v>
      </c>
      <c r="B14" s="3017">
        <v>30</v>
      </c>
      <c r="C14" s="3082">
        <v>1</v>
      </c>
      <c r="D14" s="3102">
        <v>1</v>
      </c>
      <c r="E14" s="140" t="s">
        <v>2137</v>
      </c>
      <c r="F14" s="2420"/>
      <c r="G14" s="2420"/>
      <c r="H14" s="2420"/>
      <c r="I14" s="1822"/>
    </row>
    <row r="15" spans="1:12" ht="12.75">
      <c r="A15" s="3079"/>
      <c r="B15" s="3017"/>
      <c r="C15" s="3083"/>
      <c r="D15" s="3102"/>
      <c r="E15" s="140" t="s">
        <v>2138</v>
      </c>
      <c r="F15" s="2420"/>
      <c r="G15" s="2420"/>
      <c r="H15" s="2420"/>
      <c r="I15" s="1822"/>
    </row>
    <row r="16" spans="1:12" ht="12.75">
      <c r="A16" s="3079"/>
      <c r="B16" s="3017"/>
      <c r="C16" s="3084"/>
      <c r="D16" s="3102"/>
      <c r="E16" s="140" t="s">
        <v>2139</v>
      </c>
      <c r="F16" s="2420"/>
      <c r="G16" s="2420"/>
      <c r="H16" s="2420"/>
      <c r="I16" s="1822"/>
    </row>
    <row r="17" spans="1:35" ht="15">
      <c r="A17" s="2421" t="s">
        <v>2140</v>
      </c>
      <c r="B17" s="64"/>
      <c r="C17" s="141">
        <f>SUM(C5:C16)</f>
        <v>1</v>
      </c>
      <c r="D17" s="141">
        <f>SUM(D5:D16)</f>
        <v>1</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16206.229999999998</v>
      </c>
      <c r="M18" s="2419">
        <f>IF(C1="",'数据-汇总表'!E3,SUMIF(项目类型,C1,'数据-汇总表'!E17:E26))</f>
        <v>16206.229999999998</v>
      </c>
    </row>
    <row r="19" spans="1:35" ht="15">
      <c r="A19" s="2425" t="s">
        <v>2145</v>
      </c>
      <c r="B19" s="2426" t="s">
        <v>2146</v>
      </c>
      <c r="C19" s="143">
        <f ca="1">SUMIF(INDIRECT("'"&amp;C4&amp;"'"&amp;"!A:A"),结果表!B19,INDIRECT("'"&amp;C4&amp;"'"&amp;"!B:B"))</f>
        <v>36141</v>
      </c>
      <c r="D19" s="144">
        <f ca="1">SUMIF(INDIRECT("'"&amp;D4&amp;"'"&amp;"!A:A"),结果表!B19,INDIRECT("'"&amp;D4&amp;"'"&amp;"!B:B"))</f>
        <v>36141</v>
      </c>
      <c r="E19" s="2425" t="s">
        <v>2147</v>
      </c>
      <c r="F19" s="2426" t="s">
        <v>2146</v>
      </c>
      <c r="G19" s="145">
        <f ca="1">ROUND(C19*$C$18+D19*$D$18,0)</f>
        <v>36141</v>
      </c>
      <c r="H19" s="2427" t="s">
        <v>2148</v>
      </c>
      <c r="I19" s="138"/>
      <c r="K19" s="2419" t="s">
        <v>2149</v>
      </c>
      <c r="L19" s="2419">
        <f>IF(C1="",'数据-汇总表'!D3,SUMIF(项目类型,C1,'数据-汇总表'!D17:D26)+SUMIF(项目类型,C1,'数据-汇总表'!H17:H27))</f>
        <v>5264.7</v>
      </c>
      <c r="M19" s="2419">
        <f>IF(C1="",'数据-汇总表'!D3,SUMIF(项目类型,C1,'数据-汇总表'!D17:D26))</f>
        <v>5264.7</v>
      </c>
    </row>
    <row r="20" spans="1:35" ht="15">
      <c r="A20" s="2428"/>
      <c r="B20" s="1246" t="s">
        <v>2150</v>
      </c>
      <c r="C20" s="146">
        <f ca="1">SUMIF(INDIRECT("'"&amp;C4&amp;"'"&amp;"!A:A"),结果表!B20,INDIRECT("'"&amp;C4&amp;"'"&amp;"!B:B"))</f>
        <v>22301</v>
      </c>
      <c r="D20" s="147">
        <f ca="1">SUMIF(INDIRECT("'"&amp;D4&amp;"'"&amp;"!A:A"),结果表!B20,INDIRECT("'"&amp;D4&amp;"'"&amp;"!B:B"))</f>
        <v>22301</v>
      </c>
      <c r="E20" s="2428"/>
      <c r="F20" s="1246" t="s">
        <v>2150</v>
      </c>
      <c r="G20" s="148">
        <f ca="1">ROUND(C20*$C$18+D20*$D$18,0)</f>
        <v>22301</v>
      </c>
      <c r="H20" s="980" t="s">
        <v>2151</v>
      </c>
      <c r="I20" s="138"/>
    </row>
    <row r="21" spans="1:35" ht="15" customHeight="1" thickBot="1">
      <c r="A21" s="1000"/>
      <c r="B21" s="2429" t="s">
        <v>2152</v>
      </c>
      <c r="C21" s="789">
        <f ca="1">ROUND(C19*10000/L19,0)</f>
        <v>68648</v>
      </c>
      <c r="D21" s="790">
        <f ca="1">ROUND(D19*10000/L19,0)</f>
        <v>68648</v>
      </c>
      <c r="E21" s="1000"/>
      <c r="F21" s="2429" t="s">
        <v>2152</v>
      </c>
      <c r="G21" s="149">
        <f ca="1">ROUND(G19*10000/L19,0)</f>
        <v>68648</v>
      </c>
      <c r="H21" s="2430" t="s">
        <v>2151</v>
      </c>
      <c r="I21" s="138"/>
    </row>
    <row r="22" spans="1:35" ht="15" thickBot="1">
      <c r="A22" s="2272" t="s">
        <v>2153</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073" t="s">
        <v>2154</v>
      </c>
      <c r="B24" s="2426" t="s">
        <v>2146</v>
      </c>
      <c r="C24" s="145">
        <f>IF(B30=0,0,D30)</f>
        <v>0</v>
      </c>
      <c r="D24" s="2433"/>
      <c r="E24" s="138"/>
      <c r="F24" s="138"/>
      <c r="G24" s="138"/>
      <c r="H24" s="138"/>
      <c r="I24" s="138"/>
    </row>
    <row r="25" spans="1:35" ht="14.25">
      <c r="A25" s="3074"/>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36141</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091" t="s">
        <v>2168</v>
      </c>
      <c r="B36" s="2452" t="s">
        <v>2169</v>
      </c>
      <c r="C36" s="154"/>
      <c r="D36" s="2453"/>
      <c r="E36" s="2454"/>
      <c r="F36" s="2455"/>
      <c r="G36" s="138"/>
      <c r="H36" s="138"/>
      <c r="I36" s="138"/>
    </row>
    <row r="37" spans="1:15" ht="15.75" thickBot="1">
      <c r="A37" s="3092"/>
      <c r="B37" s="2258" t="s">
        <v>2170</v>
      </c>
      <c r="C37" s="156"/>
      <c r="D37" s="1391"/>
      <c r="E37" s="1391"/>
      <c r="F37" s="2455"/>
      <c r="G37" s="138"/>
      <c r="H37" s="138"/>
      <c r="I37" s="138"/>
    </row>
    <row r="38" spans="1:15" ht="15.75" thickBot="1">
      <c r="A38" s="3093"/>
      <c r="B38" s="2456" t="s">
        <v>2171</v>
      </c>
      <c r="C38" s="727"/>
      <c r="D38" s="2457" t="s">
        <v>2172</v>
      </c>
      <c r="E38" s="1391"/>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70" t="s">
        <v>2182</v>
      </c>
      <c r="B45" s="3071"/>
      <c r="C45" s="3072"/>
      <c r="D45" s="164">
        <f ca="1">ROUND(H101*F45,0)</f>
        <v>36141</v>
      </c>
      <c r="E45" s="165" t="s">
        <v>2183</v>
      </c>
      <c r="F45" s="166">
        <v>1</v>
      </c>
      <c r="G45" s="167" t="s">
        <v>2184</v>
      </c>
      <c r="H45" s="138"/>
      <c r="I45" s="138"/>
      <c r="J45" s="3130" t="s">
        <v>2185</v>
      </c>
      <c r="K45" s="3130"/>
      <c r="L45" s="3130"/>
      <c r="M45" s="3130"/>
      <c r="N45" s="3130"/>
      <c r="O45" s="3130"/>
    </row>
    <row r="46" spans="1:15" ht="14.25" customHeight="1">
      <c r="A46" s="3067" t="s">
        <v>2186</v>
      </c>
      <c r="B46" s="3068"/>
      <c r="C46" s="3068"/>
      <c r="D46" s="3068"/>
      <c r="E46" s="3068"/>
      <c r="F46" s="3068"/>
      <c r="G46" s="3069"/>
      <c r="H46" s="2471"/>
      <c r="I46" s="168"/>
      <c r="J46" s="1800">
        <v>1</v>
      </c>
      <c r="K46" s="3130" t="s">
        <v>2187</v>
      </c>
      <c r="L46" s="3130"/>
      <c r="M46" s="3150"/>
      <c r="N46" s="3150"/>
      <c r="O46" s="3150"/>
    </row>
    <row r="47" spans="1:15" ht="12" customHeight="1">
      <c r="A47" s="169" t="s">
        <v>2188</v>
      </c>
      <c r="B47" s="170"/>
      <c r="C47" s="171"/>
      <c r="D47" s="172" t="s">
        <v>2189</v>
      </c>
      <c r="E47" s="24" t="s">
        <v>2190</v>
      </c>
      <c r="F47" s="173" t="s">
        <v>2191</v>
      </c>
      <c r="G47" s="174" t="s">
        <v>2192</v>
      </c>
      <c r="H47" s="2471"/>
      <c r="I47" s="168"/>
      <c r="J47" s="1800">
        <v>2</v>
      </c>
      <c r="K47" s="3130" t="s">
        <v>2193</v>
      </c>
      <c r="L47" s="3130"/>
      <c r="M47" s="3151">
        <f>'数据-取费表'!B2</f>
        <v>43570</v>
      </c>
      <c r="N47" s="3151"/>
      <c r="O47" s="3151"/>
    </row>
    <row r="48" spans="1:15" ht="25.5">
      <c r="A48" s="3098" t="s">
        <v>2194</v>
      </c>
      <c r="B48" s="3081"/>
      <c r="C48" s="3081"/>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130" t="s">
        <v>2197</v>
      </c>
      <c r="L48" s="3130"/>
      <c r="M48" s="3152">
        <f ca="1">H101</f>
        <v>36141</v>
      </c>
      <c r="N48" s="3152"/>
      <c r="O48" s="3152"/>
    </row>
    <row r="49" spans="1:35" ht="25.5" customHeight="1">
      <c r="A49" s="176" t="s">
        <v>2198</v>
      </c>
      <c r="B49" s="3066" t="s">
        <v>2199</v>
      </c>
      <c r="C49" s="3066"/>
      <c r="D49" s="177">
        <v>0</v>
      </c>
      <c r="E49" s="23" t="s">
        <v>2200</v>
      </c>
      <c r="F49" s="28" t="s">
        <v>34</v>
      </c>
      <c r="G49" s="3136"/>
      <c r="H49" s="138"/>
      <c r="I49" s="2474"/>
      <c r="J49" s="1800">
        <v>4</v>
      </c>
      <c r="K49" s="3130" t="str">
        <f>IF(项目基本情况!E8="房地产抵押价值","房地产抵押价值","抵押担保权已注销时的房地产抵押价值")</f>
        <v>房地产抵押价值</v>
      </c>
      <c r="L49" s="3130"/>
      <c r="M49" s="3152">
        <f ca="1">IF(项目基本情况!E8="房地产抵押价值",H107,H109)</f>
        <v>36141</v>
      </c>
      <c r="N49" s="3152"/>
      <c r="O49" s="3152"/>
    </row>
    <row r="50" spans="1:35" ht="25.5" customHeight="1">
      <c r="A50" s="178"/>
      <c r="B50" s="3066" t="s">
        <v>2201</v>
      </c>
      <c r="C50" s="3066"/>
      <c r="D50" s="179"/>
      <c r="E50" s="31"/>
      <c r="F50" s="180"/>
      <c r="G50" s="3137"/>
      <c r="H50" s="138"/>
      <c r="I50" s="2474"/>
      <c r="J50" s="3130" t="s">
        <v>2202</v>
      </c>
      <c r="K50" s="3130"/>
      <c r="L50" s="3130"/>
      <c r="M50" s="3130"/>
      <c r="N50" s="3130"/>
      <c r="O50" s="3130"/>
    </row>
    <row r="51" spans="1:35" ht="12" customHeight="1">
      <c r="A51" s="181"/>
      <c r="B51" s="3066" t="s">
        <v>2203</v>
      </c>
      <c r="C51" s="3066"/>
      <c r="D51" s="182"/>
      <c r="E51" s="30"/>
      <c r="F51" s="180"/>
      <c r="G51" s="3138"/>
      <c r="H51" s="138"/>
      <c r="I51" s="2474"/>
      <c r="J51" s="2475" t="s">
        <v>2204</v>
      </c>
      <c r="K51" s="3130" t="s">
        <v>2205</v>
      </c>
      <c r="L51" s="3130"/>
      <c r="M51" s="2475" t="s">
        <v>2206</v>
      </c>
      <c r="N51" s="2475" t="s">
        <v>2207</v>
      </c>
      <c r="O51" s="2475" t="s">
        <v>2208</v>
      </c>
    </row>
    <row r="52" spans="1:35" ht="24" customHeight="1">
      <c r="A52" s="183" t="s">
        <v>2209</v>
      </c>
      <c r="B52" s="3066" t="s">
        <v>2210</v>
      </c>
      <c r="C52" s="3066"/>
      <c r="D52" s="182">
        <f ca="1">ROUND(D45*'数据-取费表'!B41/(1+'数据-取费表'!C42),0)</f>
        <v>1893</v>
      </c>
      <c r="E52" s="11" t="s">
        <v>2211</v>
      </c>
      <c r="F52" s="184">
        <f>'数据-取费表'!B41</f>
        <v>5.5000000000000007E-2</v>
      </c>
      <c r="G52" s="2476"/>
      <c r="H52" s="138"/>
      <c r="I52" s="2474"/>
      <c r="J52" s="1800">
        <v>1</v>
      </c>
      <c r="K52" s="3131" t="s">
        <v>2212</v>
      </c>
      <c r="L52" s="3131"/>
      <c r="M52" s="1742">
        <f>D48</f>
        <v>0</v>
      </c>
      <c r="N52" s="1800" t="str">
        <f>E48</f>
        <v>销售额×税（费）率</v>
      </c>
      <c r="O52" s="1743" t="str">
        <f>F48</f>
        <v>免征</v>
      </c>
    </row>
    <row r="53" spans="1:35" ht="12" customHeight="1">
      <c r="A53" s="183" t="s">
        <v>2213</v>
      </c>
      <c r="B53" s="3089" t="s">
        <v>2214</v>
      </c>
      <c r="C53" s="3090"/>
      <c r="D53" s="182">
        <f ca="1">ROUND(D45*'数据-取费表'!B41/(1+'数据-取费表'!C42),0)</f>
        <v>1893</v>
      </c>
      <c r="E53" s="11" t="s">
        <v>2211</v>
      </c>
      <c r="F53" s="184">
        <f>'数据-取费表'!B41</f>
        <v>5.5000000000000007E-2</v>
      </c>
      <c r="G53" s="2476"/>
      <c r="H53" s="138"/>
      <c r="I53" s="2474"/>
      <c r="J53" s="1800">
        <v>2</v>
      </c>
      <c r="K53" s="3131" t="s">
        <v>2215</v>
      </c>
      <c r="L53" s="3131"/>
      <c r="M53" s="1742">
        <f t="shared" ref="M53:O54" ca="1" si="0">D55</f>
        <v>18</v>
      </c>
      <c r="N53" s="1800" t="str">
        <f t="shared" si="0"/>
        <v>销售额×税（费）率</v>
      </c>
      <c r="O53" s="1743">
        <f t="shared" si="0"/>
        <v>5.0000000000000001E-4</v>
      </c>
    </row>
    <row r="54" spans="1:35" ht="12" customHeight="1">
      <c r="A54" s="183" t="s">
        <v>2216</v>
      </c>
      <c r="B54" s="3089" t="s">
        <v>2217</v>
      </c>
      <c r="C54" s="3090"/>
      <c r="D54" s="182">
        <f ca="1">C68</f>
        <v>1893</v>
      </c>
      <c r="E54" s="30" t="s">
        <v>2218</v>
      </c>
      <c r="F54" s="184">
        <f>'数据-取费表'!B41</f>
        <v>5.5000000000000007E-2</v>
      </c>
      <c r="G54" s="2476"/>
      <c r="H54" s="2477"/>
      <c r="I54" s="2474"/>
      <c r="J54" s="1800">
        <v>3</v>
      </c>
      <c r="K54" s="3131" t="s">
        <v>2219</v>
      </c>
      <c r="L54" s="3131"/>
      <c r="M54" s="1742">
        <f t="shared" ca="1" si="0"/>
        <v>20489</v>
      </c>
      <c r="N54" s="1800" t="str">
        <f t="shared" si="0"/>
        <v>增值额×税（费）率</v>
      </c>
      <c r="O54" s="1744" t="str">
        <f t="shared" si="0"/>
        <v>——</v>
      </c>
    </row>
    <row r="55" spans="1:35" ht="24" customHeight="1">
      <c r="A55" s="3080" t="s">
        <v>2220</v>
      </c>
      <c r="B55" s="3081"/>
      <c r="C55" s="3081"/>
      <c r="D55" s="185">
        <f ca="1">IF(H55="个人住宅",0,ROUND(D45*I55,0))</f>
        <v>18</v>
      </c>
      <c r="E55" s="11" t="s">
        <v>2221</v>
      </c>
      <c r="F55" s="184">
        <f>IF(H55="正常",I55,"免征")</f>
        <v>5.0000000000000001E-4</v>
      </c>
      <c r="G55" s="2476"/>
      <c r="H55" s="2473" t="s">
        <v>2222</v>
      </c>
      <c r="I55" s="186">
        <f>'数据-取费表'!B49</f>
        <v>5.0000000000000001E-4</v>
      </c>
      <c r="J55" s="1800" t="str">
        <f>IF(H59="非个人房产","",4)</f>
        <v/>
      </c>
      <c r="K55" s="3131" t="str">
        <f>IF(H59="非个人房产","——","个人所得税")</f>
        <v>——</v>
      </c>
      <c r="L55" s="3131"/>
      <c r="M55" s="1745" t="str">
        <f>D59</f>
        <v>——</v>
      </c>
      <c r="N55" s="1798" t="str">
        <f>E59</f>
        <v>——</v>
      </c>
      <c r="O55" s="1746" t="str">
        <f>F59</f>
        <v>——</v>
      </c>
    </row>
    <row r="56" spans="1:35" ht="24.75">
      <c r="A56" s="3080" t="s">
        <v>2223</v>
      </c>
      <c r="B56" s="3081"/>
      <c r="C56" s="3081"/>
      <c r="D56" s="185">
        <f ca="1">IF(H56="个人住宅",D57,D58)</f>
        <v>20489</v>
      </c>
      <c r="E56" s="11" t="s">
        <v>2224</v>
      </c>
      <c r="F56" s="184" t="str">
        <f>IF(H56="正常",F58,"免征")</f>
        <v>——</v>
      </c>
      <c r="G56" s="2478" t="s">
        <v>2225</v>
      </c>
      <c r="H56" s="2479" t="s">
        <v>2222</v>
      </c>
      <c r="I56" s="2480"/>
      <c r="J56" s="1800" t="str">
        <f>IF(项目基本情况!K6="上海银行",IF(J55="",4,J55+1),"")</f>
        <v/>
      </c>
      <c r="K56" s="3154" t="str">
        <f>IF(项目基本情况!K6="上海银行","其他处置费用","")</f>
        <v/>
      </c>
      <c r="L56" s="3155"/>
      <c r="M56" s="1742" t="str">
        <f>IF(项目基本情况!K6="上海银行",M69,"")</f>
        <v/>
      </c>
      <c r="N56" s="3157" t="str">
        <f>IF(项目基本情况!K6="上海银行","包含处置中涉及的律师、诉讼、拍卖、评估等费用","")</f>
        <v/>
      </c>
      <c r="O56" s="3158"/>
    </row>
    <row r="57" spans="1:35" ht="12.75">
      <c r="A57" s="183" t="s">
        <v>2198</v>
      </c>
      <c r="B57" s="3096" t="s">
        <v>2226</v>
      </c>
      <c r="C57" s="3105"/>
      <c r="D57" s="187">
        <v>0</v>
      </c>
      <c r="E57" s="23" t="s">
        <v>2200</v>
      </c>
      <c r="F57" s="155"/>
      <c r="G57" s="2476"/>
      <c r="H57" s="2480"/>
      <c r="I57" s="2480"/>
      <c r="J57" s="3131">
        <f>IF(AND(J55="",J56=""),4,IF(项目基本情况!K6="上海银行",结果表!J56+1,结果表!J55+1))</f>
        <v>4</v>
      </c>
      <c r="K57" s="3131" t="s">
        <v>2227</v>
      </c>
      <c r="L57" s="2481" t="s">
        <v>2228</v>
      </c>
      <c r="M57" s="1747"/>
      <c r="N57" s="1748">
        <f ca="1">SUMIF(M52:M56,"&lt;9e307")</f>
        <v>20507</v>
      </c>
      <c r="O57" s="2482"/>
      <c r="P57" s="1741">
        <f ca="1">N57/M49</f>
        <v>0.56741650756758255</v>
      </c>
    </row>
    <row r="58" spans="1:35" ht="24.75">
      <c r="A58" s="183" t="s">
        <v>2209</v>
      </c>
      <c r="B58" s="3096" t="s">
        <v>2229</v>
      </c>
      <c r="C58" s="3097"/>
      <c r="D58" s="185">
        <f ca="1">IF(H58="转让取得",C81,C97)</f>
        <v>20489</v>
      </c>
      <c r="E58" s="11" t="s">
        <v>2224</v>
      </c>
      <c r="F58" s="24" t="s">
        <v>34</v>
      </c>
      <c r="G58" s="2476"/>
      <c r="H58" s="2479" t="s">
        <v>2230</v>
      </c>
      <c r="I58" s="2480"/>
      <c r="J58" s="3131"/>
      <c r="K58" s="3131"/>
      <c r="L58" s="2481" t="s">
        <v>2231</v>
      </c>
      <c r="M58" s="1749"/>
      <c r="N58" s="2483" t="str">
        <f ca="1">NUMBERSTRING(INT(N57*10000),2)&amp;"元整"</f>
        <v>贰亿零伍佰零柒万元整</v>
      </c>
      <c r="O58" s="2484"/>
    </row>
    <row r="59" spans="1:35" ht="24.75" thickBot="1">
      <c r="A59" s="3134" t="s">
        <v>2232</v>
      </c>
      <c r="B59" s="3135"/>
      <c r="C59" s="3135"/>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32">
        <f>J57+1</f>
        <v>5</v>
      </c>
      <c r="K59" s="3131" t="s">
        <v>2234</v>
      </c>
      <c r="L59" s="1800" t="s">
        <v>2228</v>
      </c>
      <c r="M59" s="1750"/>
      <c r="N59" s="1751">
        <f ca="1">M49-N57</f>
        <v>15634</v>
      </c>
      <c r="O59" s="2486"/>
    </row>
    <row r="60" spans="1:35" ht="12" customHeight="1">
      <c r="A60" s="2487"/>
      <c r="B60" s="2409"/>
      <c r="C60" s="2409"/>
      <c r="D60" s="2409"/>
      <c r="E60" s="2157"/>
      <c r="F60" s="2480"/>
      <c r="G60" s="2480"/>
      <c r="H60" s="2488"/>
      <c r="I60" s="138"/>
      <c r="J60" s="3133"/>
      <c r="K60" s="3131"/>
      <c r="L60" s="2481" t="s">
        <v>2231</v>
      </c>
      <c r="M60" s="1749"/>
      <c r="N60" s="2483" t="str">
        <f ca="1">NUMBERSTRING(INT(N59*10000),2)&amp;"元整"</f>
        <v>壹亿伍仟陆佰叁拾肆万元整</v>
      </c>
      <c r="O60" s="2484"/>
    </row>
    <row r="61" spans="1:35" ht="13.5" thickBot="1">
      <c r="A61" s="3078" t="s">
        <v>2235</v>
      </c>
      <c r="B61" s="3078"/>
      <c r="C61" s="3078"/>
      <c r="D61" s="3078"/>
      <c r="E61" s="3078"/>
      <c r="F61" s="2480"/>
      <c r="G61" s="2480"/>
      <c r="H61" s="2488"/>
      <c r="I61" s="138"/>
      <c r="J61" s="1800">
        <f>J59+1</f>
        <v>6</v>
      </c>
      <c r="K61" s="3131" t="s">
        <v>2236</v>
      </c>
      <c r="L61" s="3131"/>
      <c r="M61" s="1752"/>
      <c r="N61" s="1753">
        <f ca="1">ROUND(N59*10000/'数据-汇总表'!E3,0)</f>
        <v>9647</v>
      </c>
      <c r="O61" s="2489"/>
    </row>
    <row r="62" spans="1:35" ht="12.75">
      <c r="A62" s="3094" t="s">
        <v>2237</v>
      </c>
      <c r="B62" s="3095"/>
      <c r="C62" s="1792"/>
      <c r="D62" s="1792" t="s">
        <v>2238</v>
      </c>
      <c r="E62" s="192" t="s">
        <v>2239</v>
      </c>
      <c r="F62" s="2480"/>
      <c r="G62" s="2480"/>
      <c r="H62" s="2488"/>
      <c r="I62" s="138"/>
    </row>
    <row r="63" spans="1:35" ht="12.75">
      <c r="A63" s="203" t="s">
        <v>775</v>
      </c>
      <c r="B63" s="193" t="s">
        <v>2240</v>
      </c>
      <c r="C63" s="194">
        <f ca="1">ROUND((C64+C65)/(1+'数据-取费表'!C42),0)</f>
        <v>34420</v>
      </c>
      <c r="D63" s="195"/>
      <c r="E63" s="196"/>
      <c r="F63" s="2480"/>
      <c r="G63" s="2480"/>
      <c r="H63" s="2488"/>
      <c r="I63" s="138"/>
      <c r="J63" s="3156" t="s">
        <v>2241</v>
      </c>
      <c r="K63" s="2490" t="s">
        <v>2242</v>
      </c>
      <c r="L63" s="1740">
        <f ca="1">IF(M49&gt;10000,M49*0.5%,IF(AND(M49&gt;1000,M49&lt;=10000),M49*1%,IF(AND(M49&gt;100,M49&lt;=1000),M49*3%,IF(AND(M49&gt;10,M49&lt;=100),M49*5%,M49*8%))))</f>
        <v>180.70500000000001</v>
      </c>
      <c r="M63" s="24">
        <f ca="1">ROUND(L63,1)</f>
        <v>180.7</v>
      </c>
      <c r="Z63" s="2414"/>
      <c r="AI63" s="2415"/>
    </row>
    <row r="64" spans="1:35" ht="14.25" customHeight="1">
      <c r="A64" s="197" t="s">
        <v>770</v>
      </c>
      <c r="B64" s="198" t="s">
        <v>2243</v>
      </c>
      <c r="C64" s="199">
        <f ca="1">D45</f>
        <v>36141</v>
      </c>
      <c r="D64" s="200" t="s">
        <v>32</v>
      </c>
      <c r="E64" s="201"/>
      <c r="F64" s="2480"/>
      <c r="G64" s="2480"/>
      <c r="H64" s="2488"/>
      <c r="I64" s="138"/>
      <c r="J64" s="3156"/>
      <c r="K64" s="2490" t="s">
        <v>2244</v>
      </c>
      <c r="L64" s="1740">
        <f ca="1">IF(M49&gt;2000,M49*0.5%,IF(AND(M49&gt;1000,M49&lt;=2000),M49*0.6%,IF(AND(M49&gt;500,M49&lt;=1000),M49*0.7%,IF(AND(M49&gt;200,M49&lt;=500),M49*0.8%,IF(AND(M49&gt;100,M49&lt;=200),M49*0.9%,IF(AND(M49&gt;50,M49&lt;=100),M49*1%,IF(AND(M49&gt;20,M49&lt;=50),M49*1.5%,IF(AND(M49&gt;10,M49&lt;=20),M49*2%,IF(AND(M49&gt;1,M49&lt;=10),M49*2.5%)))))))))</f>
        <v>180.70500000000001</v>
      </c>
      <c r="M64" s="24">
        <f t="shared" ref="M64:M65" ca="1" si="1">ROUND(L64,1)</f>
        <v>180.7</v>
      </c>
      <c r="N64" s="138" t="s">
        <v>2245</v>
      </c>
      <c r="Z64" s="2414"/>
      <c r="AI64" s="2415"/>
    </row>
    <row r="65" spans="1:35" ht="14.25" customHeight="1">
      <c r="A65" s="197" t="s">
        <v>771</v>
      </c>
      <c r="B65" s="198" t="s">
        <v>2246</v>
      </c>
      <c r="C65" s="202"/>
      <c r="D65" s="200"/>
      <c r="E65" s="201"/>
      <c r="F65" s="2480"/>
      <c r="G65" s="2480"/>
      <c r="H65" s="2488"/>
      <c r="I65" s="138"/>
      <c r="J65" s="3156"/>
      <c r="K65" s="2490" t="s">
        <v>2247</v>
      </c>
      <c r="L65" s="1740">
        <f ca="1">IF(M49&gt;1000,M49*0.1%,IF(AND(M49&gt;500,M49&lt;=1000),M49*0.5%,IF(AND(M49&gt;50,M49&lt;=500),M49*1%,IF(AND(M49&gt;1,M49&lt;=50),M49*1.5%))))</f>
        <v>36.140999999999998</v>
      </c>
      <c r="M65" s="24">
        <f t="shared" ca="1" si="1"/>
        <v>36.1</v>
      </c>
      <c r="N65" s="138" t="s">
        <v>2245</v>
      </c>
      <c r="Z65" s="2414"/>
      <c r="AI65" s="2415"/>
    </row>
    <row r="66" spans="1:35" ht="14.25" customHeight="1">
      <c r="A66" s="203" t="s">
        <v>772</v>
      </c>
      <c r="B66" s="204" t="s">
        <v>2248</v>
      </c>
      <c r="C66" s="205"/>
      <c r="D66" s="206" t="s">
        <v>32</v>
      </c>
      <c r="E66" s="1764" t="s">
        <v>1366</v>
      </c>
      <c r="F66" s="2480"/>
      <c r="G66" s="2480"/>
      <c r="H66" s="2488"/>
      <c r="I66" s="138"/>
      <c r="J66" s="3156"/>
      <c r="K66" s="2490" t="s">
        <v>2249</v>
      </c>
      <c r="L66" s="1740">
        <f ca="1">M49*0.5%</f>
        <v>180.70500000000001</v>
      </c>
      <c r="M66" s="24">
        <f ca="1">IF(L66&gt;0.5,0.5,ROUND(L66,0))</f>
        <v>0.5</v>
      </c>
      <c r="N66" s="138" t="s">
        <v>2250</v>
      </c>
      <c r="Z66" s="2414"/>
      <c r="AI66" s="2415"/>
    </row>
    <row r="67" spans="1:35" ht="14.25" customHeight="1">
      <c r="A67" s="203" t="s">
        <v>773</v>
      </c>
      <c r="B67" s="204" t="s">
        <v>2251</v>
      </c>
      <c r="C67" s="207">
        <f ca="1">C63-C66</f>
        <v>34420</v>
      </c>
      <c r="D67" s="200" t="s">
        <v>32</v>
      </c>
      <c r="E67" s="201"/>
      <c r="F67" s="2480"/>
      <c r="G67" s="2480"/>
      <c r="H67" s="2488"/>
      <c r="I67" s="138"/>
      <c r="J67" s="3156"/>
      <c r="K67" s="2490" t="s">
        <v>2252</v>
      </c>
      <c r="L67" s="1740">
        <f ca="1">IF(M49&gt;=10000,(8.25+(M49-10000)*0.01%),IF(AND(M49&gt;=8000,M49&lt;10000),(7.85+(M49-8000)*0.02%),IF(AND(M49&gt;=5000,M49&lt;8000),(6.65+(M49-5000)*0.04%),IF(AND(M49&gt;=2000,M49&lt;5000),(4.25+(PM49-2000)*0.08%),IF(AND(M49&gt;=1000,M49&lt;2000),(2.75+(M49-1000)*0.15%),IF(AND(M49&gt;=100,M49&lt;1000),(0.5+(M49-100)*0.25%),IF(AND(M49&gt;0,M49&lt;100),M49*0.5%)))))))</f>
        <v>10.864100000000001</v>
      </c>
      <c r="M67" s="24">
        <f ca="1">ROUND(L67*0.9,1)</f>
        <v>9.8000000000000007</v>
      </c>
      <c r="Z67" s="2414"/>
      <c r="AI67" s="2415"/>
    </row>
    <row r="68" spans="1:35" ht="14.25" customHeight="1" thickBot="1">
      <c r="A68" s="208" t="s">
        <v>774</v>
      </c>
      <c r="B68" s="209" t="s">
        <v>2253</v>
      </c>
      <c r="C68" s="210">
        <f ca="1">IF(C67&lt;=0,0,ROUND(C67*D68,0))</f>
        <v>1893</v>
      </c>
      <c r="D68" s="211">
        <f>'数据-取费表'!B41</f>
        <v>5.5000000000000007E-2</v>
      </c>
      <c r="E68" s="212"/>
      <c r="F68" s="2480"/>
      <c r="G68" s="2480"/>
      <c r="H68" s="2488"/>
      <c r="I68" s="138"/>
      <c r="J68" s="3156"/>
      <c r="K68" s="2490" t="s">
        <v>2254</v>
      </c>
      <c r="L68" s="1740">
        <f ca="1">IF(M49&gt;10000,M49*0.5%,IF(AND(M49&gt;5000,M49&lt;=10000),M49*1%,IF(AND(M49&gt;1000,M49&lt;=5000),M49*2%,IF(AND(M49&gt;200,M49&lt;=1000),M49*3%,M49*5%))))</f>
        <v>180.70500000000001</v>
      </c>
      <c r="M68" s="24">
        <f ca="1">ROUND(L68,1)</f>
        <v>180.7</v>
      </c>
      <c r="Z68" s="2414"/>
      <c r="AI68" s="2415"/>
    </row>
    <row r="69" spans="1:35" s="2437" customFormat="1" ht="16.5" customHeight="1">
      <c r="A69" s="2491"/>
      <c r="B69" s="2492"/>
      <c r="C69" s="2493"/>
      <c r="D69" s="2494"/>
      <c r="E69" s="2495"/>
      <c r="F69" s="2157"/>
      <c r="G69" s="2157"/>
      <c r="H69" s="2156"/>
      <c r="I69" s="2409"/>
      <c r="J69" s="3156"/>
      <c r="K69" s="2490" t="s">
        <v>2255</v>
      </c>
      <c r="L69" s="2496"/>
      <c r="M69" s="24">
        <f ca="1">ROUND(SUM(M63:M68),0)</f>
        <v>589</v>
      </c>
      <c r="N69" s="1741">
        <f ca="1">M69/M49</f>
        <v>1.6297280097396311E-2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15" t="s">
        <v>2256</v>
      </c>
      <c r="B70" s="3116"/>
      <c r="C70" s="3116"/>
      <c r="D70" s="3116"/>
      <c r="E70" s="3116"/>
      <c r="F70" s="3116"/>
      <c r="G70" s="3116"/>
      <c r="H70" s="311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94" t="s">
        <v>2237</v>
      </c>
      <c r="B71" s="3095"/>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34420</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172</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089" t="s">
        <v>2265</v>
      </c>
      <c r="F76" s="3066"/>
      <c r="G76" s="3066"/>
      <c r="H76" s="311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172</v>
      </c>
      <c r="D78" s="226">
        <f>'数据-取费表'!B43</f>
        <v>5.000000000000001E-3</v>
      </c>
      <c r="E78" s="3075" t="s">
        <v>2270</v>
      </c>
      <c r="F78" s="3076"/>
      <c r="G78" s="3076"/>
      <c r="H78" s="308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34248</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199.11627906976744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20489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5" t="s">
        <v>2274</v>
      </c>
      <c r="B83" s="3116"/>
      <c r="C83" s="3116"/>
      <c r="D83" s="3116"/>
      <c r="E83" s="3116"/>
      <c r="F83" s="3116"/>
      <c r="G83" s="3116"/>
      <c r="H83" s="311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94" t="s">
        <v>2237</v>
      </c>
      <c r="B84" s="3095"/>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34420</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172</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59" t="s">
        <v>3059</v>
      </c>
      <c r="H90" s="3160"/>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075" t="s">
        <v>2283</v>
      </c>
      <c r="F91" s="3076"/>
      <c r="G91" s="307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075" t="s">
        <v>2287</v>
      </c>
      <c r="F92" s="3076"/>
      <c r="G92" s="3076"/>
      <c r="H92" s="308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172</v>
      </c>
      <c r="D93" s="226">
        <f>'数据-取费表'!B43</f>
        <v>5.000000000000001E-3</v>
      </c>
      <c r="E93" s="3075" t="s">
        <v>2270</v>
      </c>
      <c r="F93" s="3076"/>
      <c r="G93" s="3076"/>
      <c r="H93" s="308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086" t="s">
        <v>2291</v>
      </c>
      <c r="F94" s="3087"/>
      <c r="G94" s="3087"/>
      <c r="H94" s="308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34248</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199.11627906976744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20489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60" t="s">
        <v>2293</v>
      </c>
      <c r="B100" s="3061"/>
      <c r="C100" s="3061"/>
      <c r="D100" s="3077"/>
      <c r="E100" s="3061" t="s">
        <v>2294</v>
      </c>
      <c r="F100" s="3061"/>
      <c r="G100" s="3061"/>
      <c r="H100" s="3077"/>
      <c r="I100" s="138"/>
    </row>
    <row r="101" spans="1:35" ht="18.75" customHeight="1">
      <c r="A101" s="3139" t="s">
        <v>2295</v>
      </c>
      <c r="B101" s="3140"/>
      <c r="C101" s="736" t="str">
        <f>C4</f>
        <v>典型户型修正</v>
      </c>
      <c r="D101" s="737" t="str">
        <f>D4</f>
        <v>典型户型修正</v>
      </c>
      <c r="E101" s="3153" t="s">
        <v>2296</v>
      </c>
      <c r="F101" s="3107"/>
      <c r="G101" s="2511" t="s">
        <v>2297</v>
      </c>
      <c r="H101" s="1045">
        <f ca="1">H118</f>
        <v>36141</v>
      </c>
      <c r="I101" s="138"/>
    </row>
    <row r="102" spans="1:35" ht="18.75" customHeight="1">
      <c r="A102" s="3109" t="s">
        <v>2298</v>
      </c>
      <c r="B102" s="2511" t="s">
        <v>2297</v>
      </c>
      <c r="C102" s="736">
        <f ca="1">C19</f>
        <v>36141</v>
      </c>
      <c r="D102" s="737">
        <f ca="1">D19</f>
        <v>36141</v>
      </c>
      <c r="E102" s="3153"/>
      <c r="F102" s="3107"/>
      <c r="G102" s="2511" t="s">
        <v>2299</v>
      </c>
      <c r="H102" s="371">
        <f ca="1">I118</f>
        <v>22301</v>
      </c>
      <c r="I102" s="138"/>
    </row>
    <row r="103" spans="1:35" ht="42.75" customHeight="1">
      <c r="A103" s="3109"/>
      <c r="B103" s="2511" t="s">
        <v>2299</v>
      </c>
      <c r="C103" s="738">
        <f ca="1">C20</f>
        <v>22301</v>
      </c>
      <c r="D103" s="739">
        <f ca="1">D20</f>
        <v>22301</v>
      </c>
      <c r="E103" s="3148" t="s">
        <v>2300</v>
      </c>
      <c r="F103" s="3149"/>
      <c r="G103" s="2512" t="s">
        <v>2301</v>
      </c>
      <c r="H103" s="1045">
        <f>IF(D36="正常操作",H104+H105+H106,H105+H106)</f>
        <v>0</v>
      </c>
      <c r="I103" s="138"/>
    </row>
    <row r="104" spans="1:35" ht="18.75" customHeight="1">
      <c r="A104" s="3109" t="s">
        <v>2302</v>
      </c>
      <c r="B104" s="2513" t="s">
        <v>2297</v>
      </c>
      <c r="C104" s="740">
        <f ca="1">H118</f>
        <v>36141</v>
      </c>
      <c r="D104" s="741"/>
      <c r="E104" s="2258" t="s">
        <v>2303</v>
      </c>
      <c r="F104" s="2249"/>
      <c r="G104" s="2512" t="s">
        <v>2301</v>
      </c>
      <c r="H104" s="1046">
        <f>IF(D36="同一抵押权人同一抵押物续贷",C36&amp;"（未扣减，详见特别提示）",C36)</f>
        <v>0</v>
      </c>
      <c r="I104" s="138"/>
    </row>
    <row r="105" spans="1:35" ht="18.75" customHeight="1" thickBot="1">
      <c r="A105" s="3110"/>
      <c r="B105" s="2514" t="s">
        <v>2299</v>
      </c>
      <c r="C105" s="742">
        <f ca="1">I118</f>
        <v>22301</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06" t="str">
        <f>IF(项目基本情况!E8="已注销","——","3.房地产抵押价值")</f>
        <v>3.房地产抵押价值</v>
      </c>
      <c r="F107" s="3107"/>
      <c r="G107" s="2511" t="s">
        <v>2297</v>
      </c>
      <c r="H107" s="1045">
        <f ca="1">IF(E107="——","——",H101-H103)</f>
        <v>36141</v>
      </c>
      <c r="I107" s="138"/>
    </row>
    <row r="108" spans="1:35" ht="18.75" customHeight="1">
      <c r="A108" s="138"/>
      <c r="B108" s="138"/>
      <c r="C108" s="138"/>
      <c r="D108" s="138"/>
      <c r="E108" s="3106"/>
      <c r="F108" s="3107"/>
      <c r="G108" s="2511" t="s">
        <v>2299</v>
      </c>
      <c r="H108" s="371">
        <f ca="1">ROUND(H107*10000/'数据-汇总表'!E3,0)</f>
        <v>22301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1" t="s">
        <v>2297</v>
      </c>
      <c r="H109" s="348" t="str">
        <f>IF(E109="——","——",H101-H105-H106)</f>
        <v>——</v>
      </c>
      <c r="I109" s="138"/>
    </row>
    <row r="110" spans="1:35" ht="18.75" customHeight="1">
      <c r="A110" s="138"/>
      <c r="B110" s="138"/>
      <c r="C110" s="138"/>
      <c r="D110" s="138"/>
      <c r="E110" s="3106"/>
      <c r="F110" s="3107"/>
      <c r="G110" s="2511" t="s">
        <v>2299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1" t="s">
        <v>2297</v>
      </c>
      <c r="H111" s="1045" t="str">
        <f>IF(E111="——","——",N59)</f>
        <v>——</v>
      </c>
      <c r="I111" s="138"/>
    </row>
    <row r="112" spans="1:35" ht="18.75" customHeight="1" thickBot="1">
      <c r="A112" s="138"/>
      <c r="B112" s="138"/>
      <c r="C112" s="138"/>
      <c r="D112" s="138"/>
      <c r="E112" s="3143"/>
      <c r="F112" s="3144"/>
      <c r="G112" s="2516" t="s">
        <v>2299</v>
      </c>
      <c r="H112" s="790" t="str">
        <f>IF(E111="——","——",N61)</f>
        <v>——</v>
      </c>
      <c r="I112" s="138"/>
    </row>
    <row r="113" spans="1:11" ht="18.75" customHeight="1">
      <c r="A113" s="138"/>
      <c r="B113" s="138"/>
      <c r="C113" s="138"/>
      <c r="D113" s="138"/>
      <c r="E113" s="3111" t="s">
        <v>2305</v>
      </c>
      <c r="F113" s="3111"/>
      <c r="G113" s="3111"/>
      <c r="H113" s="3111"/>
      <c r="I113" s="138"/>
    </row>
    <row r="114" spans="1:11" ht="3.75" customHeight="1">
      <c r="A114" s="2409"/>
      <c r="B114" s="2409"/>
      <c r="C114" s="2409"/>
      <c r="D114" s="2409"/>
      <c r="E114" s="2487"/>
      <c r="F114" s="2487"/>
      <c r="G114" s="2487"/>
      <c r="H114" s="2487"/>
      <c r="I114" s="2409"/>
    </row>
    <row r="115" spans="1:11" ht="18.75" customHeight="1">
      <c r="A115" s="3124" t="s">
        <v>2307</v>
      </c>
      <c r="B115" s="3125"/>
      <c r="C115" s="3125"/>
      <c r="D115" s="3125"/>
      <c r="E115" s="3125"/>
      <c r="F115" s="3125"/>
      <c r="G115" s="3125"/>
      <c r="H115" s="3125"/>
      <c r="I115" s="3126"/>
    </row>
    <row r="116" spans="1:11" ht="27" customHeight="1">
      <c r="A116" s="3017" t="s">
        <v>2308</v>
      </c>
      <c r="B116" s="3112" t="s">
        <v>2309</v>
      </c>
      <c r="C116" s="3112" t="s">
        <v>2310</v>
      </c>
      <c r="D116" s="3128" t="s">
        <v>2311</v>
      </c>
      <c r="E116" s="3129"/>
      <c r="F116" s="3120" t="s">
        <v>2312</v>
      </c>
      <c r="G116" s="3120"/>
      <c r="H116" s="3017" t="s">
        <v>2313</v>
      </c>
      <c r="I116" s="3017"/>
    </row>
    <row r="117" spans="1:11" ht="18.75" customHeight="1">
      <c r="A117" s="3017"/>
      <c r="B117" s="3113"/>
      <c r="C117" s="3113"/>
      <c r="D117" s="1786" t="s">
        <v>2314</v>
      </c>
      <c r="E117" s="1786" t="s">
        <v>2315</v>
      </c>
      <c r="F117" s="1786" t="s">
        <v>2314</v>
      </c>
      <c r="G117" s="1786" t="s">
        <v>2316</v>
      </c>
      <c r="H117" s="1786" t="s">
        <v>2314</v>
      </c>
      <c r="I117" s="1786" t="s">
        <v>2316</v>
      </c>
    </row>
    <row r="118" spans="1:11" ht="24.75" customHeight="1">
      <c r="A118" s="2517" t="str">
        <f>项目基本情况!S2</f>
        <v>北京市出让国有建设用地使用权及在建建筑物房地产</v>
      </c>
      <c r="B118" s="1786">
        <f>M18</f>
        <v>16206.229999999998</v>
      </c>
      <c r="C118" s="1786">
        <f>M19</f>
        <v>5264.7</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36141</v>
      </c>
      <c r="I118" s="1786">
        <f ca="1">ROUND(IF(D32="楼面单价",C32,H118*10000/B118),0)</f>
        <v>22301</v>
      </c>
    </row>
    <row r="119" spans="1:11" ht="18.75" customHeight="1">
      <c r="A119" s="3017" t="s">
        <v>2317</v>
      </c>
      <c r="B119" s="3017"/>
      <c r="C119" s="3017"/>
      <c r="D119" s="3117" t="e">
        <f ca="1">NUMBERSTRING(INT(D118*10000),2)&amp;"元整"</f>
        <v>#REF!</v>
      </c>
      <c r="E119" s="3119"/>
      <c r="F119" s="3117" t="e">
        <f ca="1">NUMBERSTRING(INT(F118*10000),2)&amp;"元整"</f>
        <v>#REF!</v>
      </c>
      <c r="G119" s="3119"/>
      <c r="H119" s="3117" t="str">
        <f ca="1">NUMBERSTRING(INT(H118*10000),2)&amp;"元整"</f>
        <v>叁亿陆仟壹佰肆拾壹万元整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4" t="str">
        <f>IF(D120=0,"故，本次评估不存在"&amp;A120,"故，本次评估"&amp;A120&amp;"为人民币"&amp;D120&amp;"万元整。")</f>
        <v>故，本次评估不存在估价师知悉的法定优先受偿款</v>
      </c>
    </row>
    <row r="121" spans="1:11" ht="18.75" customHeight="1">
      <c r="A121" s="3121" t="s">
        <v>2317</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36141</v>
      </c>
      <c r="E122" s="3146"/>
      <c r="F122" s="3146"/>
      <c r="G122" s="3146"/>
      <c r="H122" s="3146"/>
      <c r="I122" s="3147"/>
    </row>
    <row r="123" spans="1:11" ht="18.75" customHeight="1">
      <c r="A123" s="3017" t="s">
        <v>2317</v>
      </c>
      <c r="B123" s="3017"/>
      <c r="C123" s="3017"/>
      <c r="D123" s="3117" t="str">
        <f ca="1">NUMBERSTRING(INT(D122*10000),2)&amp;"元整"</f>
        <v>叁亿陆仟壹佰肆拾壹万元整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2317</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2317</v>
      </c>
      <c r="B127" s="3017"/>
      <c r="C127" s="3017"/>
      <c r="D127" s="3117" t="e">
        <f>NUMBERSTRING(INT(D126*10000),2)&amp;"元整"</f>
        <v>#VALUE!</v>
      </c>
      <c r="E127" s="3118"/>
      <c r="F127" s="3118"/>
      <c r="G127" s="3118"/>
      <c r="H127" s="3118"/>
      <c r="I127" s="3119"/>
    </row>
    <row r="128" spans="1:11" ht="21.75" customHeight="1">
      <c r="A128" s="3127" t="s">
        <v>2318</v>
      </c>
      <c r="B128" s="3127"/>
      <c r="C128" s="3127"/>
      <c r="D128" s="3127"/>
      <c r="E128" s="3127"/>
      <c r="F128" s="3127"/>
      <c r="G128" s="3127"/>
      <c r="H128" s="3127"/>
      <c r="I128" s="3127"/>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北京市出让国有建设用地使用权及在建建筑物房地产抵押价值预评估</v>
      </c>
      <c r="C37" s="2973"/>
      <c r="D37" s="2973"/>
      <c r="E37" s="2973"/>
      <c r="F37" s="2973"/>
      <c r="G37" s="2973"/>
      <c r="H37" s="2973"/>
      <c r="I37" s="2973"/>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 ca="1">项目基本情况!K4</f>
        <v>王鹏（注册号：1120050019)、郑燚（注册号：1120070131)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c r="C1" s="242"/>
      <c r="D1" s="242"/>
      <c r="E1" s="242"/>
      <c r="F1" s="242"/>
      <c r="G1" s="1378">
        <f>MATCH(B1,'数据-取费表'!A6:A16,0)+5</f>
        <v>8</v>
      </c>
    </row>
    <row r="2" spans="1:9" s="244" customFormat="1" ht="18" customHeight="1">
      <c r="A2" s="245" t="s">
        <v>2327</v>
      </c>
      <c r="B2" s="246">
        <f ca="1">IF(D2="——",C52,C52-E2)</f>
        <v>945</v>
      </c>
      <c r="C2" s="243" t="s">
        <v>2328</v>
      </c>
      <c r="D2" s="2540" t="s">
        <v>70</v>
      </c>
      <c r="E2" s="1439"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583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c r="H9" s="1389"/>
      <c r="I9" s="2545" t="s">
        <v>2344</v>
      </c>
    </row>
    <row r="10" spans="1:9" s="258" customFormat="1" ht="13.5" customHeight="1">
      <c r="A10" s="950" t="s">
        <v>801</v>
      </c>
      <c r="B10" s="268" t="s">
        <v>2345</v>
      </c>
      <c r="C10" s="269">
        <f ca="1">ROUND(D10*E10/10000,0)</f>
        <v>308</v>
      </c>
      <c r="D10" s="1032">
        <f ca="1">IF(B1="",'数据-汇总表'!E6,IF(INDIRECT("'数据-取费表'!c"&amp;$G$1)="住宅",INDIRECT("'数据-取费表'!s"&amp;$G$1),INDIRECT("'数据-取费表'!k"&amp;$G$1)+INDIRECT("'数据-取费表'!s"&amp;$G$1)))</f>
        <v>16206.229999999998</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324</v>
      </c>
      <c r="D19" s="1036">
        <f ca="1">D9+D10</f>
        <v>16206.229999999998</v>
      </c>
      <c r="E19" s="255">
        <f>'数据-取费表'!B31</f>
        <v>200</v>
      </c>
      <c r="F19" s="275"/>
      <c r="G19" s="2543"/>
    </row>
    <row r="20" spans="1:7" s="258" customFormat="1" ht="13.5" customHeight="1">
      <c r="A20" s="299" t="s">
        <v>2358</v>
      </c>
      <c r="B20" s="254" t="s">
        <v>2359</v>
      </c>
      <c r="C20" s="276">
        <f ca="1">ROUND((C5+C19)*F20,0)</f>
        <v>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32</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32</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464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324</v>
      </c>
      <c r="D37" s="261">
        <f ca="1">D19</f>
        <v>16206.229999999998</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17</v>
      </c>
      <c r="D42" s="282"/>
      <c r="E42" s="282"/>
      <c r="F42" s="283"/>
      <c r="G42" s="3161" t="s">
        <v>2409</v>
      </c>
    </row>
    <row r="43" spans="1:7" ht="13.5" customHeight="1">
      <c r="A43" s="951" t="s">
        <v>792</v>
      </c>
      <c r="B43" s="259" t="s">
        <v>2410</v>
      </c>
      <c r="C43" s="282">
        <f ca="1">ROUND(IF('数据-取费表'!B22&lt;=1,C39*F22*'数据-取费表'!B21/2,C39*(POWER((1+F22),'数据-取费表'!B21/2)-1)),0)</f>
        <v>0</v>
      </c>
      <c r="D43" s="282"/>
      <c r="E43" s="282"/>
      <c r="F43" s="283"/>
      <c r="G43" s="3162"/>
    </row>
    <row r="44" spans="1:7" ht="13.5" customHeight="1">
      <c r="A44" s="951" t="s">
        <v>793</v>
      </c>
      <c r="B44" s="259" t="s">
        <v>2411</v>
      </c>
      <c r="C44" s="282">
        <f ca="1">ROUND(IF('数据-取费表'!B22&lt;=1,C40*F22*'数据-取费表'!B21/2,C40*(POWER((1+F22),'数据-取费表'!B21/2)-1)),4)</f>
        <v>1E-3</v>
      </c>
      <c r="D44" s="282"/>
      <c r="E44" s="282"/>
      <c r="F44" s="283"/>
      <c r="G44" s="3163"/>
    </row>
    <row r="45" spans="1:7" s="258" customFormat="1" ht="13.5" customHeight="1">
      <c r="A45" s="299" t="s">
        <v>2412</v>
      </c>
      <c r="B45" s="288" t="s">
        <v>2378</v>
      </c>
      <c r="C45" s="289">
        <f ca="1">C46</f>
        <v>73</v>
      </c>
      <c r="D45" s="279">
        <f ca="1">C47</f>
        <v>4.0000000000000001E-3</v>
      </c>
      <c r="E45" s="280" t="s">
        <v>2404</v>
      </c>
      <c r="F45" s="290"/>
      <c r="G45" s="291" t="s">
        <v>2413</v>
      </c>
    </row>
    <row r="46" spans="1:7" s="258" customFormat="1" ht="13.5" customHeight="1">
      <c r="A46" s="951" t="s">
        <v>791</v>
      </c>
      <c r="B46" s="292" t="s">
        <v>2414</v>
      </c>
      <c r="C46" s="293">
        <f ca="1">ROUND((C33+C39)*F27,0)</f>
        <v>73</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491</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481</v>
      </c>
      <c r="D51" s="276"/>
      <c r="E51" s="276"/>
      <c r="F51" s="308"/>
      <c r="G51" s="278" t="s">
        <v>2425</v>
      </c>
    </row>
    <row r="52" spans="1:7" s="252" customFormat="1" ht="16.5" thickBot="1">
      <c r="A52" s="309" t="s">
        <v>2426</v>
      </c>
      <c r="B52" s="310"/>
      <c r="C52" s="311">
        <f ca="1">C31+C51</f>
        <v>945</v>
      </c>
      <c r="D52" s="310"/>
      <c r="E52" s="310"/>
      <c r="F52" s="310"/>
      <c r="G52" s="312"/>
    </row>
    <row r="55" spans="1:7" ht="15">
      <c r="B55" s="314" t="s">
        <v>2427</v>
      </c>
      <c r="C55" s="315"/>
    </row>
    <row r="56" spans="1:7">
      <c r="B56" s="317" t="s">
        <v>1507</v>
      </c>
      <c r="C56" s="319">
        <f ca="1">1-C57</f>
        <v>0.49099999999999999</v>
      </c>
    </row>
    <row r="57" spans="1:7">
      <c r="B57" s="317" t="s">
        <v>1508</v>
      </c>
      <c r="C57" s="318">
        <f ca="1">ROUND(C51/C52,3)</f>
        <v>0.50900000000000001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1388</v>
      </c>
      <c r="C2" s="243" t="s">
        <v>2328</v>
      </c>
      <c r="D2" s="2540" t="s">
        <v>70</v>
      </c>
      <c r="E2" s="1439"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856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3079184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3079184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3079184</v>
      </c>
      <c r="D10" s="1032">
        <f ca="1">IF(B1="",'数据-汇总表'!E6,IF(INDIRECT("'数据-取费表'!c"&amp;$G$1)="住宅",INDIRECT("'数据-取费表'!s"&amp;$G$1),INDIRECT("'数据-取费表'!k"&amp;$G$1)+INDIRECT("'数据-取费表'!s"&amp;$G$1)))</f>
        <v>16206.229999999998</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3241246</v>
      </c>
      <c r="D19" s="1036">
        <f ca="1">D9+D10</f>
        <v>16206.229999999998</v>
      </c>
      <c r="E19" s="255">
        <f>'数据-取费表'!B31</f>
        <v>200</v>
      </c>
      <c r="F19" s="275"/>
      <c r="G19" s="2543"/>
    </row>
    <row r="20" spans="1:7" s="258" customFormat="1" ht="13.5" customHeight="1">
      <c r="A20" s="299" t="s">
        <v>2439</v>
      </c>
      <c r="B20" s="254" t="s">
        <v>2440</v>
      </c>
      <c r="C20" s="276">
        <f ca="1">ROUND((C5+C19)*F20,0)</f>
        <v>126409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620705</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299470</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315231</v>
      </c>
      <c r="D24" s="282"/>
      <c r="E24" s="282"/>
      <c r="F24" s="283"/>
      <c r="G24" s="284" t="s">
        <v>2451</v>
      </c>
    </row>
    <row r="25" spans="1:7" s="258" customFormat="1" ht="24">
      <c r="A25" s="951" t="s">
        <v>2341</v>
      </c>
      <c r="B25" s="259" t="s">
        <v>2452</v>
      </c>
      <c r="C25" s="1380">
        <f ca="1">ROUND(IF('数据-取费表'!B22&lt;=1,C20*F22*'数据-取费表'!B22/2,C20*(POWER((1+F22),'数据-取费表'!B22/2)-1)),0)</f>
        <v>6004</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1289368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1289368</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9058001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3570275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314860</v>
      </c>
      <c r="D34" s="261"/>
      <c r="E34" s="264"/>
      <c r="F34" s="301"/>
      <c r="G34" s="263"/>
    </row>
    <row r="35" spans="1:7" ht="13.5" customHeight="1">
      <c r="A35" s="951" t="s">
        <v>796</v>
      </c>
      <c r="B35" s="259" t="s">
        <v>2392</v>
      </c>
      <c r="C35" s="264">
        <f ca="1">ROUND(C34*F35,0)</f>
        <v>9446</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3241246</v>
      </c>
      <c r="D37" s="261">
        <f ca="1">D19</f>
        <v>16206.229999999998</v>
      </c>
      <c r="E37" s="293">
        <f>'数据-取费表'!B35</f>
        <v>200</v>
      </c>
      <c r="F37" s="303"/>
      <c r="G37" s="305"/>
    </row>
    <row r="38" spans="1:7" ht="13.5" customHeight="1">
      <c r="A38" s="951" t="s">
        <v>799</v>
      </c>
      <c r="B38" s="259" t="s">
        <v>2398</v>
      </c>
      <c r="C38" s="264">
        <f ca="1">ROUND(C34*F38,0)</f>
        <v>4723</v>
      </c>
      <c r="D38" s="264"/>
      <c r="E38" s="264"/>
      <c r="F38" s="303">
        <f>'数据-取费表'!B36</f>
        <v>1.4999999999999999E-2</v>
      </c>
      <c r="G38" s="263" t="s">
        <v>2393</v>
      </c>
    </row>
    <row r="39" spans="1:7" s="258" customFormat="1" ht="13.5" customHeight="1">
      <c r="A39" s="299" t="s">
        <v>2399</v>
      </c>
      <c r="B39" s="254" t="s">
        <v>2400</v>
      </c>
      <c r="C39" s="276">
        <f ca="1">ROUND(C33*F20,0)</f>
        <v>71406</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172980</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169588</v>
      </c>
      <c r="D42" s="282"/>
      <c r="E42" s="282"/>
      <c r="F42" s="283"/>
      <c r="G42" s="3161" t="s">
        <v>2456</v>
      </c>
    </row>
    <row r="43" spans="1:7" ht="13.5" customHeight="1">
      <c r="A43" s="951" t="s">
        <v>792</v>
      </c>
      <c r="B43" s="259" t="s">
        <v>2410</v>
      </c>
      <c r="C43" s="282">
        <f ca="1">ROUND(IF('数据-取费表'!B22&lt;=1,C39*F22*'数据-取费表'!B20/2,C39*(POWER((1+F22),'数据-取费表'!B20/2)-1)),0)</f>
        <v>3392</v>
      </c>
      <c r="D43" s="282"/>
      <c r="E43" s="282"/>
      <c r="F43" s="283"/>
      <c r="G43" s="3162"/>
    </row>
    <row r="44" spans="1:7" ht="13.5" customHeight="1">
      <c r="A44" s="951" t="s">
        <v>793</v>
      </c>
      <c r="B44" s="259" t="s">
        <v>2411</v>
      </c>
      <c r="C44" s="282">
        <f ca="1">ROUND(IF('数据-取费表'!B22&lt;=1,C40*F22*'数据-取费表'!B20/2,C40*(POWER((1+F22),'数据-取费表'!B20/2)-1)),4)</f>
        <v>1E-3</v>
      </c>
      <c r="D44" s="282"/>
      <c r="E44" s="282"/>
      <c r="F44" s="283"/>
      <c r="G44" s="3163"/>
    </row>
    <row r="45" spans="1:7" s="258" customFormat="1" ht="13.5" customHeight="1">
      <c r="A45" s="299" t="s">
        <v>2412</v>
      </c>
      <c r="B45" s="288" t="s">
        <v>2378</v>
      </c>
      <c r="C45" s="289">
        <f ca="1">C46</f>
        <v>728336</v>
      </c>
      <c r="D45" s="279">
        <f ca="1">C47</f>
        <v>4.0000000000000001E-3</v>
      </c>
      <c r="E45" s="280" t="s">
        <v>2404</v>
      </c>
      <c r="F45" s="290"/>
      <c r="G45" s="291" t="s">
        <v>2413</v>
      </c>
    </row>
    <row r="46" spans="1:7" s="258" customFormat="1" ht="13.5" customHeight="1">
      <c r="A46" s="951" t="s">
        <v>791</v>
      </c>
      <c r="B46" s="292" t="s">
        <v>2414</v>
      </c>
      <c r="C46" s="293">
        <f ca="1">ROUND((C33+C39)*F27,0)</f>
        <v>728336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4924124</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4825642</v>
      </c>
      <c r="D51" s="276"/>
      <c r="E51" s="276"/>
      <c r="F51" s="308"/>
      <c r="G51" s="278" t="s">
        <v>2425</v>
      </c>
    </row>
    <row r="52" spans="1:7" s="252" customFormat="1" ht="16.5" thickBot="1">
      <c r="A52" s="309" t="s">
        <v>2426</v>
      </c>
      <c r="B52" s="310"/>
      <c r="C52" s="311">
        <f ca="1">C31+C51</f>
        <v>13883643</v>
      </c>
      <c r="D52" s="310"/>
      <c r="E52" s="310"/>
      <c r="F52" s="310"/>
      <c r="G52" s="312"/>
    </row>
    <row r="55" spans="1:7" ht="15">
      <c r="B55" s="314" t="s">
        <v>2427</v>
      </c>
      <c r="C55" s="315"/>
    </row>
    <row r="56" spans="1:7">
      <c r="B56" s="317" t="s">
        <v>1507</v>
      </c>
      <c r="C56" s="319">
        <f ca="1">1-C57</f>
        <v>0.65200000000000002</v>
      </c>
    </row>
    <row r="57" spans="1:7">
      <c r="B57" s="317" t="s">
        <v>1508</v>
      </c>
      <c r="C57" s="318">
        <f ca="1">ROUND(C51/C52,3)</f>
        <v>0.34799999999999998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-366</v>
      </c>
      <c r="C2" s="320" t="s">
        <v>2460</v>
      </c>
      <c r="D2" s="320"/>
      <c r="E2" s="320"/>
      <c r="F2" s="320"/>
      <c r="G2" s="320"/>
      <c r="H2" s="320"/>
      <c r="I2" s="320"/>
      <c r="J2" s="320"/>
      <c r="K2" s="320"/>
    </row>
    <row r="3" spans="1:33" ht="18" customHeight="1" thickBot="1">
      <c r="A3" s="247" t="s">
        <v>2329</v>
      </c>
      <c r="B3" s="248">
        <f ca="1">ROUND(B2*10000/IF(C1="",'数据-汇总表'!E3,INDIRECT("'数据-取费表'!K"&amp;$K$1)),0)</f>
        <v>-226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16206.229999999998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16206.229999999998</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308</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308</v>
      </c>
      <c r="D20" s="1033">
        <f ca="1">IF(C1="",'数据-汇总表'!E6,IF(INDIRECT("'数据-取费表'!c"&amp;$K$1)="住宅",INDIRECT("'数据-取费表'!s"&amp;$K$1),INDIRECT("'数据-取费表'!k"&amp;$K$1)+INDIRECT("'数据-取费表'!s"&amp;$K$1)))</f>
        <v>16206.229999999998</v>
      </c>
      <c r="E20" s="24">
        <f>'数据-取费表'!B28</f>
        <v>190</v>
      </c>
      <c r="F20" s="976"/>
      <c r="G20" s="15"/>
      <c r="H20" s="981"/>
      <c r="I20" s="981"/>
      <c r="J20" s="981"/>
      <c r="K20" s="982"/>
    </row>
    <row r="21" spans="1:33" s="975" customFormat="1" ht="13.5" customHeight="1">
      <c r="A21" s="961" t="s">
        <v>802</v>
      </c>
      <c r="B21" s="985" t="s">
        <v>2496</v>
      </c>
      <c r="C21" s="986">
        <f ca="1">C16+C17+C18</f>
        <v>308</v>
      </c>
      <c r="D21" s="987"/>
      <c r="E21" s="325"/>
      <c r="F21" s="325"/>
      <c r="G21" s="140" t="s">
        <v>2497</v>
      </c>
      <c r="H21" s="979"/>
      <c r="I21" s="979"/>
      <c r="J21" s="979"/>
      <c r="K21" s="980"/>
    </row>
    <row r="22" spans="1:33" s="975" customFormat="1" ht="13.5" customHeight="1">
      <c r="A22" s="961" t="s">
        <v>2469</v>
      </c>
      <c r="B22" s="985" t="s">
        <v>2498</v>
      </c>
      <c r="C22" s="986">
        <f ca="1">ROUND(C21*F22,0)</f>
        <v>6</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63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63</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-366</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2">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0</v>
      </c>
      <c r="D5" s="1813" t="s">
        <v>1396</v>
      </c>
      <c r="E5" s="1292"/>
      <c r="F5" s="1293"/>
      <c r="G5" s="1842"/>
      <c r="H5" s="344">
        <v>1</v>
      </c>
      <c r="I5" s="345" t="s">
        <v>1395</v>
      </c>
      <c r="J5" s="1291">
        <f ca="1">J6+J10+J12</f>
        <v>0</v>
      </c>
      <c r="K5" s="1813" t="s">
        <v>1396</v>
      </c>
      <c r="L5" s="1292"/>
      <c r="M5" s="1293"/>
    </row>
    <row r="6" spans="1:37" ht="18" customHeight="1">
      <c r="A6" s="1290" t="s">
        <v>1031</v>
      </c>
      <c r="B6" s="3166" t="s">
        <v>1397</v>
      </c>
      <c r="C6" s="1295">
        <f ca="1">ROUND(F6*F8*F7*(1-F9)/10000,0)</f>
        <v>0</v>
      </c>
      <c r="D6" s="164" t="s">
        <v>3030</v>
      </c>
      <c r="E6" s="347" t="s">
        <v>1399</v>
      </c>
      <c r="F6" s="348">
        <f ca="1">INDIRECT("'数据-取费表'!u"&amp;$G$1)</f>
        <v>0</v>
      </c>
      <c r="G6" s="1842"/>
      <c r="H6" s="1290" t="s">
        <v>1031</v>
      </c>
      <c r="I6" s="3166" t="s">
        <v>1397</v>
      </c>
      <c r="J6" s="346">
        <f ca="1">ROUND(M6*M8*M7*(1-M9)/10000,0)</f>
        <v>0</v>
      </c>
      <c r="K6" s="164" t="s">
        <v>3029</v>
      </c>
      <c r="L6" s="347" t="s">
        <v>1399</v>
      </c>
      <c r="M6" s="348">
        <f ca="1">INDIRECT("'数据-取费表'!z"&amp;$G$1)</f>
        <v>0</v>
      </c>
    </row>
    <row r="7" spans="1:37" ht="18" customHeight="1">
      <c r="A7" s="1294"/>
      <c r="B7" s="3167"/>
      <c r="C7" s="1296"/>
      <c r="D7" s="352"/>
      <c r="E7" s="1297" t="s">
        <v>1400</v>
      </c>
      <c r="F7" s="348">
        <f ca="1">IF(INDIRECT("'数据-取费表'!ah"&amp;$G$1)="",INDIRECT("'数据-取费表'!k"&amp;$G$1),INDIRECT("'数据-取费表'!ah"&amp;$G$1))</f>
        <v>0</v>
      </c>
      <c r="G7" s="1842"/>
      <c r="H7" s="349"/>
      <c r="I7" s="3167"/>
      <c r="J7" s="351"/>
      <c r="K7" s="352"/>
      <c r="L7" s="347" t="s">
        <v>1400</v>
      </c>
      <c r="M7" s="348">
        <f ca="1">F7</f>
        <v>0</v>
      </c>
    </row>
    <row r="8" spans="1:37" ht="18" customHeight="1">
      <c r="A8" s="349"/>
      <c r="B8" s="3167"/>
      <c r="C8" s="351"/>
      <c r="D8" s="352"/>
      <c r="E8" s="347" t="s">
        <v>1401</v>
      </c>
      <c r="F8" s="348">
        <f ca="1">INDIRECT("'数据-取费表'!ai"&amp;$G$1)</f>
        <v>0</v>
      </c>
      <c r="G8" s="1842"/>
      <c r="H8" s="349"/>
      <c r="I8" s="3167"/>
      <c r="J8" s="351"/>
      <c r="K8" s="352"/>
      <c r="L8" s="347" t="s">
        <v>1401</v>
      </c>
      <c r="M8" s="348">
        <f ca="1">INDIRECT("'数据-取费表'!ai"&amp;$G$1)</f>
        <v>0</v>
      </c>
    </row>
    <row r="9" spans="1:37" ht="18" customHeight="1">
      <c r="A9" s="349"/>
      <c r="B9" s="3168"/>
      <c r="C9" s="351"/>
      <c r="D9" s="352"/>
      <c r="E9" s="347" t="s">
        <v>1402</v>
      </c>
      <c r="F9" s="357">
        <f ca="1">INDIRECT("'数据-取费表'!w"&amp;$G$1)</f>
        <v>0</v>
      </c>
      <c r="G9" s="1842"/>
      <c r="H9" s="349"/>
      <c r="I9" s="3168"/>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3039</v>
      </c>
      <c r="E10" s="358" t="s">
        <v>1404</v>
      </c>
      <c r="F10" s="1365"/>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8"/>
      <c r="D11" s="1817"/>
      <c r="E11" s="358" t="s">
        <v>1406</v>
      </c>
      <c r="F11" s="359">
        <f ca="1">'数据-取费表'!B39</f>
        <v>1.4999999999999999E-2</v>
      </c>
      <c r="G11" s="1842"/>
      <c r="H11" s="1298"/>
      <c r="I11" s="1816" t="s">
        <v>1382</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0</v>
      </c>
      <c r="K16" s="1336" t="s">
        <v>1419</v>
      </c>
      <c r="L16" s="1337"/>
      <c r="M16" s="1293"/>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ROUND(J5*M24,1)</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0</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0" t="s">
        <v>1383</v>
      </c>
      <c r="B34" s="164" t="s">
        <v>1435</v>
      </c>
      <c r="C34" s="25">
        <f ca="1">IF(项目基本情况!B11="自然人","——",ROUND(F34*F35/10000,2))</f>
        <v>0</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0</v>
      </c>
      <c r="G35" s="1842"/>
      <c r="H35" s="745"/>
      <c r="I35" s="1851"/>
      <c r="J35" s="1852"/>
      <c r="K35" s="1853"/>
      <c r="L35" s="1850"/>
      <c r="M35" s="1850"/>
    </row>
    <row r="36" spans="1:18" ht="18" customHeight="1">
      <c r="A36" s="1351"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5">
        <f ca="1">C5-C30</f>
        <v>0</v>
      </c>
      <c r="D39" s="1344" t="s">
        <v>1478</v>
      </c>
      <c r="E39" s="1345"/>
      <c r="F39" s="1346"/>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366" t="s">
        <v>1392</v>
      </c>
      <c r="D47" s="1197" t="s">
        <v>1393</v>
      </c>
      <c r="E47" s="1278" t="s">
        <v>1394</v>
      </c>
      <c r="F47" s="1279"/>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5" t="s">
        <v>1395</v>
      </c>
      <c r="C48" s="1808">
        <f ca="1">C49+C53+C55</f>
        <v>0</v>
      </c>
      <c r="D48" s="1361"/>
      <c r="E48" s="1362"/>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3">
        <f ca="1">ROUND(F49*F51*F50*(1-F52)/10000,0)</f>
        <v>0</v>
      </c>
      <c r="D49" s="1275" t="s">
        <v>3031</v>
      </c>
      <c r="E49" s="1821" t="s">
        <v>1485</v>
      </c>
      <c r="F49" s="1280"/>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367"/>
      <c r="D50" s="1172"/>
      <c r="E50" s="1276" t="s">
        <v>1400</v>
      </c>
      <c r="F50" s="1277">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4"/>
      <c r="I52" s="1894" t="s">
        <v>1537</v>
      </c>
      <c r="J52" s="1895"/>
      <c r="K52" s="1894" t="s">
        <v>1538</v>
      </c>
      <c r="L52" s="1895"/>
      <c r="O52" s="1885" t="s">
        <v>1041</v>
      </c>
      <c r="P52" s="1876" t="s">
        <v>1539</v>
      </c>
      <c r="Q52" s="1877">
        <f ca="1">J53</f>
        <v>0</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0</v>
      </c>
      <c r="K53" s="3164" t="s">
        <v>1542</v>
      </c>
      <c r="L53" s="3165"/>
      <c r="O53" s="1875" t="s">
        <v>1042</v>
      </c>
      <c r="P53" s="1876" t="s">
        <v>1543</v>
      </c>
      <c r="Q53" s="1877" t="e">
        <f ca="1">Q47+Q48</f>
        <v>#DIV/0!</v>
      </c>
      <c r="R53" s="1877" t="s">
        <v>1043</v>
      </c>
    </row>
    <row r="54" spans="1:18" s="1833" customFormat="1" ht="13.5" thickBot="1">
      <c r="A54" s="1405"/>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4"/>
      <c r="O70" s="1885" t="s">
        <v>1045</v>
      </c>
      <c r="P70" s="1924" t="s">
        <v>1579</v>
      </c>
      <c r="Q70" s="1877">
        <f ca="1">C13</f>
        <v>0</v>
      </c>
      <c r="R70" s="1877" t="s">
        <v>1523</v>
      </c>
    </row>
    <row r="71" spans="1:18" s="1833" customFormat="1" ht="13.5"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97" zoomScaleNormal="100" zoomScaleSheetLayoutView="100" zoomScalePageLayoutView="80" workbookViewId="0">
      <selection activeCell="G26" sqref="G26"/>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v>401</v>
      </c>
      <c r="D1" s="2409"/>
      <c r="E1" s="2409"/>
      <c r="F1" s="2411" t="s">
        <v>2117</v>
      </c>
      <c r="G1" s="2061" t="s">
        <v>2118</v>
      </c>
      <c r="H1" s="2412" t="str">
        <f>IF(G1="现房","——","估价对象范围")</f>
        <v>估价对象范围</v>
      </c>
      <c r="I1" s="2413"/>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2119</v>
      </c>
      <c r="B3" s="3104"/>
      <c r="C3" s="3104"/>
      <c r="D3" s="3104"/>
      <c r="E3" s="3104"/>
      <c r="F3" s="3104"/>
      <c r="G3" s="3104"/>
      <c r="H3" s="3104"/>
      <c r="I3" s="3104"/>
    </row>
    <row r="4" spans="1:12" ht="14.25">
      <c r="A4" s="2416" t="s">
        <v>2120</v>
      </c>
      <c r="B4" s="2417" t="s">
        <v>2121</v>
      </c>
      <c r="C4" s="2418" t="s">
        <v>3328</v>
      </c>
      <c r="D4" s="2418" t="s">
        <v>3297</v>
      </c>
      <c r="E4" s="3096" t="s">
        <v>2122</v>
      </c>
      <c r="F4" s="3097"/>
      <c r="G4" s="3097"/>
      <c r="H4" s="3097"/>
      <c r="I4" s="3105"/>
      <c r="K4" s="2419" t="str">
        <f>IF(ISNUMBER(FIND("比较法",'结果表-基准'!C4)),"比较法",IF(ISNUMBER(FIND("成本法",'结果表-基准'!C4)),"成本法",IF(ISNUMBER(FIND("假设开发法",'结果表-基准'!C4)),"假设开发法",IF(ISNUMBER(FIND("收益法",'结果表-基准'!C4)),"收益法","基准地价系数修正法"))))</f>
        <v>比较法</v>
      </c>
      <c r="L4" s="2419"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079" t="s">
        <v>2123</v>
      </c>
      <c r="B5" s="3017">
        <v>25</v>
      </c>
      <c r="C5" s="3082"/>
      <c r="D5" s="3102"/>
      <c r="E5" s="140" t="s">
        <v>2124</v>
      </c>
      <c r="F5" s="2420"/>
      <c r="G5" s="2420"/>
      <c r="H5" s="2420"/>
      <c r="I5" s="1822"/>
    </row>
    <row r="6" spans="1:12" ht="12.75">
      <c r="A6" s="3079"/>
      <c r="B6" s="3017"/>
      <c r="C6" s="3083"/>
      <c r="D6" s="3102"/>
      <c r="E6" s="140" t="s">
        <v>2125</v>
      </c>
      <c r="F6" s="2420"/>
      <c r="G6" s="2420"/>
      <c r="H6" s="2420"/>
      <c r="I6" s="1822"/>
    </row>
    <row r="7" spans="1:12" ht="12.75">
      <c r="A7" s="3079"/>
      <c r="B7" s="3017"/>
      <c r="C7" s="3084"/>
      <c r="D7" s="3102"/>
      <c r="E7" s="140" t="s">
        <v>2126</v>
      </c>
      <c r="F7" s="2420"/>
      <c r="G7" s="2420"/>
      <c r="H7" s="2420"/>
      <c r="I7" s="1822"/>
    </row>
    <row r="8" spans="1:12" ht="12.75">
      <c r="A8" s="3079" t="s">
        <v>2127</v>
      </c>
      <c r="B8" s="3017">
        <v>15</v>
      </c>
      <c r="C8" s="3082"/>
      <c r="D8" s="3102"/>
      <c r="E8" s="140" t="s">
        <v>2128</v>
      </c>
      <c r="F8" s="2420"/>
      <c r="G8" s="2420"/>
      <c r="H8" s="2420"/>
      <c r="I8" s="1822"/>
    </row>
    <row r="9" spans="1:12" ht="12.75">
      <c r="A9" s="3079"/>
      <c r="B9" s="3017"/>
      <c r="C9" s="3084"/>
      <c r="D9" s="3102"/>
      <c r="E9" s="140" t="s">
        <v>2129</v>
      </c>
      <c r="F9" s="2420"/>
      <c r="G9" s="2420"/>
      <c r="H9" s="2420"/>
      <c r="I9" s="1822"/>
    </row>
    <row r="10" spans="1:12" ht="12.75">
      <c r="A10" s="3079" t="s">
        <v>2130</v>
      </c>
      <c r="B10" s="3017">
        <v>15</v>
      </c>
      <c r="C10" s="3082"/>
      <c r="D10" s="3102"/>
      <c r="E10" s="140" t="s">
        <v>2131</v>
      </c>
      <c r="F10" s="2420"/>
      <c r="G10" s="2420"/>
      <c r="H10" s="2420"/>
      <c r="I10" s="1822"/>
    </row>
    <row r="11" spans="1:12" ht="12.75">
      <c r="A11" s="3079"/>
      <c r="B11" s="3017"/>
      <c r="C11" s="3084"/>
      <c r="D11" s="3102"/>
      <c r="E11" s="140" t="s">
        <v>2132</v>
      </c>
      <c r="F11" s="2420"/>
      <c r="G11" s="2420"/>
      <c r="H11" s="2420"/>
      <c r="I11" s="1822"/>
    </row>
    <row r="12" spans="1:12" ht="12.75">
      <c r="A12" s="3079" t="s">
        <v>2133</v>
      </c>
      <c r="B12" s="3017">
        <v>15</v>
      </c>
      <c r="C12" s="3082"/>
      <c r="D12" s="3102"/>
      <c r="E12" s="140" t="s">
        <v>2134</v>
      </c>
      <c r="F12" s="2420"/>
      <c r="G12" s="2420"/>
      <c r="H12" s="2420"/>
      <c r="I12" s="1822"/>
    </row>
    <row r="13" spans="1:12" ht="12.75">
      <c r="A13" s="3079"/>
      <c r="B13" s="3017"/>
      <c r="C13" s="3084"/>
      <c r="D13" s="3102"/>
      <c r="E13" s="140" t="s">
        <v>2135</v>
      </c>
      <c r="F13" s="2420"/>
      <c r="G13" s="2420"/>
      <c r="H13" s="2420"/>
      <c r="I13" s="1822"/>
    </row>
    <row r="14" spans="1:12" ht="12.75">
      <c r="A14" s="3079" t="s">
        <v>2136</v>
      </c>
      <c r="B14" s="3017">
        <v>30</v>
      </c>
      <c r="C14" s="3082">
        <v>45</v>
      </c>
      <c r="D14" s="3102">
        <v>55</v>
      </c>
      <c r="E14" s="140" t="s">
        <v>2137</v>
      </c>
      <c r="F14" s="2420"/>
      <c r="G14" s="2420"/>
      <c r="H14" s="2420"/>
      <c r="I14" s="1822"/>
    </row>
    <row r="15" spans="1:12" ht="12.75">
      <c r="A15" s="3079"/>
      <c r="B15" s="3017"/>
      <c r="C15" s="3083"/>
      <c r="D15" s="3102"/>
      <c r="E15" s="140" t="s">
        <v>2138</v>
      </c>
      <c r="F15" s="2420"/>
      <c r="G15" s="2420"/>
      <c r="H15" s="2420"/>
      <c r="I15" s="1822"/>
    </row>
    <row r="16" spans="1:12" ht="12.75">
      <c r="A16" s="3079"/>
      <c r="B16" s="3017"/>
      <c r="C16" s="3084"/>
      <c r="D16" s="3102"/>
      <c r="E16" s="140" t="s">
        <v>2139</v>
      </c>
      <c r="F16" s="2420"/>
      <c r="G16" s="2420"/>
      <c r="H16" s="2420"/>
      <c r="I16" s="1822"/>
    </row>
    <row r="17" spans="1:35" ht="15">
      <c r="A17" s="2421" t="s">
        <v>2140</v>
      </c>
      <c r="B17" s="64"/>
      <c r="C17" s="141">
        <f>SUM(C5:C16)</f>
        <v>45</v>
      </c>
      <c r="D17" s="141">
        <f>SUM(D5:D16)</f>
        <v>55</v>
      </c>
      <c r="E17" s="138"/>
      <c r="F17" s="138"/>
      <c r="G17" s="138"/>
      <c r="H17" s="138"/>
      <c r="I17" s="138"/>
      <c r="K17" s="2419"/>
      <c r="L17" s="2422" t="s">
        <v>2141</v>
      </c>
      <c r="M17" s="2422" t="s">
        <v>2142</v>
      </c>
    </row>
    <row r="18" spans="1:35" ht="15.75" thickBot="1">
      <c r="A18" s="2423" t="s">
        <v>2143</v>
      </c>
      <c r="B18" s="2424"/>
      <c r="C18" s="142">
        <f>ROUND(C17/SUM(C17:D17),2)</f>
        <v>0.45</v>
      </c>
      <c r="D18" s="142">
        <f>1-C18</f>
        <v>0.55000000000000004</v>
      </c>
      <c r="E18" s="138"/>
      <c r="F18" s="138"/>
      <c r="G18" s="138"/>
      <c r="H18" s="138"/>
      <c r="I18" s="138"/>
      <c r="K18" s="2419" t="s">
        <v>2144</v>
      </c>
      <c r="L18" s="2419">
        <f>IF(C1="",'数据-汇总表'!E3,SUMIF(项目类型,C1,'数据-汇总表'!E17:E26)+SUMIF(项目类型,C1,'数据-汇总表'!I17:I26))</f>
        <v>112.45</v>
      </c>
      <c r="M18" s="2419">
        <f>IF(C1="",'数据-汇总表'!E3,SUMIF(项目类型,C1,'数据-汇总表'!E17:E26))</f>
        <v>112.45</v>
      </c>
    </row>
    <row r="19" spans="1:35" ht="15">
      <c r="A19" s="2425" t="s">
        <v>2145</v>
      </c>
      <c r="B19" s="2426" t="s">
        <v>2146</v>
      </c>
      <c r="C19" s="143">
        <f ca="1">SUMIF(INDIRECT("'"&amp;C4&amp;"'"&amp;"!A:A"),'结果表-基准'!B19,INDIRECT("'"&amp;C4&amp;"'"&amp;"!B:B"))</f>
        <v>278</v>
      </c>
      <c r="D19" s="144">
        <f ca="1">SUMIF(INDIRECT("'"&amp;D4&amp;"'"&amp;"!A:A"),'结果表-基准'!B19,INDIRECT("'"&amp;D4&amp;"'"&amp;"!B:B"))</f>
        <v>217</v>
      </c>
      <c r="E19" s="2425" t="s">
        <v>2147</v>
      </c>
      <c r="F19" s="2426" t="s">
        <v>2146</v>
      </c>
      <c r="G19" s="145">
        <f ca="1">ROUND(C19*$C$18+D19*$D$18,0)</f>
        <v>244</v>
      </c>
      <c r="H19" s="2427" t="s">
        <v>2148</v>
      </c>
      <c r="I19" s="138"/>
      <c r="K19" s="2419" t="s">
        <v>2149</v>
      </c>
      <c r="L19" s="2419">
        <f>IF(C1="",'数据-汇总表'!D3,SUMIF(项目类型,C1,'数据-汇总表'!D17:D26)+SUMIF(项目类型,C1,'数据-汇总表'!H17:H27))</f>
        <v>36.53</v>
      </c>
      <c r="M19" s="2419">
        <f>IF(C1="",'数据-汇总表'!D3,SUMIF(项目类型,C1,'数据-汇总表'!D17:D26))</f>
        <v>36.53</v>
      </c>
    </row>
    <row r="20" spans="1:35" ht="15">
      <c r="A20" s="2428"/>
      <c r="B20" s="1246" t="s">
        <v>2150</v>
      </c>
      <c r="C20" s="146">
        <f ca="1">SUMIF(INDIRECT("'"&amp;C4&amp;"'"&amp;"!A:A"),'结果表-基准'!B20,INDIRECT("'"&amp;C4&amp;"'"&amp;"!B:B"))</f>
        <v>24704</v>
      </c>
      <c r="D20" s="147">
        <f ca="1">SUMIF(INDIRECT("'"&amp;D4&amp;"'"&amp;"!A:A"),'结果表-基准'!B20,INDIRECT("'"&amp;D4&amp;"'"&amp;"!B:B"))</f>
        <v>19329</v>
      </c>
      <c r="E20" s="2428"/>
      <c r="F20" s="1246" t="s">
        <v>2150</v>
      </c>
      <c r="G20" s="148">
        <f ca="1">ROUND(C20*$C$18+D20*$D$18,0)</f>
        <v>21748</v>
      </c>
      <c r="H20" s="980" t="s">
        <v>2151</v>
      </c>
      <c r="I20" s="138"/>
    </row>
    <row r="21" spans="1:35" ht="15" customHeight="1" thickBot="1">
      <c r="A21" s="1000"/>
      <c r="B21" s="2429" t="s">
        <v>2152</v>
      </c>
      <c r="C21" s="789">
        <f ca="1">ROUND(C19*10000/L19,0)</f>
        <v>76102</v>
      </c>
      <c r="D21" s="790">
        <f ca="1">ROUND(D19*10000/L19,0)</f>
        <v>59403</v>
      </c>
      <c r="E21" s="1000"/>
      <c r="F21" s="2429" t="s">
        <v>2152</v>
      </c>
      <c r="G21" s="149">
        <f ca="1">ROUND(G19*10000/L19,0)</f>
        <v>66794</v>
      </c>
      <c r="H21" s="2430" t="s">
        <v>2151</v>
      </c>
      <c r="I21" s="138"/>
    </row>
    <row r="22" spans="1:35" ht="15" thickBot="1">
      <c r="A22" s="2272" t="s">
        <v>2153</v>
      </c>
      <c r="B22" s="2431"/>
      <c r="C22" s="2432"/>
      <c r="D22" s="791">
        <f ca="1">IF(C19&lt;D19,D19/C19-1,C19/D19-1)</f>
        <v>0.28110599078341014</v>
      </c>
      <c r="E22" s="138"/>
      <c r="F22" s="138"/>
      <c r="G22" s="138"/>
      <c r="H22" s="138"/>
      <c r="I22" s="138"/>
    </row>
    <row r="23" spans="1:35" ht="13.5" thickBot="1">
      <c r="A23" s="2409"/>
      <c r="B23" s="2409"/>
      <c r="C23" s="2409"/>
      <c r="D23" s="2409"/>
      <c r="E23" s="138"/>
      <c r="F23" s="138"/>
      <c r="G23" s="138"/>
      <c r="H23" s="138"/>
      <c r="I23" s="138"/>
    </row>
    <row r="24" spans="1:35" ht="14.25">
      <c r="A24" s="3073" t="s">
        <v>2154</v>
      </c>
      <c r="B24" s="2426" t="s">
        <v>2146</v>
      </c>
      <c r="C24" s="145">
        <f>IF(B30=0,0,D30)</f>
        <v>0</v>
      </c>
      <c r="D24" s="2433"/>
      <c r="E24" s="138"/>
      <c r="F24" s="138"/>
      <c r="G24" s="138"/>
      <c r="H24" s="138"/>
      <c r="I24" s="138"/>
    </row>
    <row r="25" spans="1:35" ht="14.25">
      <c r="A25" s="3074"/>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244</v>
      </c>
      <c r="D32" s="2440" t="s">
        <v>3346</v>
      </c>
      <c r="E32" s="138"/>
      <c r="F32" s="138"/>
      <c r="G32" s="138"/>
      <c r="H32" s="138"/>
      <c r="I32" s="138"/>
    </row>
    <row r="33" spans="1:15" ht="15">
      <c r="A33" s="957" t="s">
        <v>2162</v>
      </c>
      <c r="B33" s="2441"/>
      <c r="C33" s="2442" t="s">
        <v>3337</v>
      </c>
      <c r="D33" s="2443" t="s">
        <v>3297</v>
      </c>
      <c r="E33" s="2444" t="s">
        <v>2163</v>
      </c>
      <c r="F33" s="2958" t="str">
        <f>IF(D32="楼面单价","取值（单价）","取值（总价）")</f>
        <v>取值（总价）</v>
      </c>
      <c r="G33" s="138"/>
      <c r="H33" s="138"/>
      <c r="I33" s="138"/>
    </row>
    <row r="34" spans="1:15" ht="15">
      <c r="A34" s="2446"/>
      <c r="B34" s="2447" t="s">
        <v>2164</v>
      </c>
      <c r="C34" s="157">
        <f ca="1">IF(C33="自定义",F34,C32-C35)</f>
        <v>131</v>
      </c>
      <c r="D34" s="1055">
        <f ca="1">IF(C33="自定义",ROUND(C34/C32,3),IF(C33="收益比率",SUMIF(INDIRECT("'"&amp;D33&amp;"'"&amp;"!b:b"),"土地收益比率",INDIRECT("'"&amp;D33&amp;"'"&amp;"!c:c")),SUMIF(INDIRECT("'"&amp;D33&amp;"'"&amp;"!b:b"),"土地成本比率",INDIRECT("'"&amp;D33&amp;"'"&amp;"!c:c"))))</f>
        <v>0.53800000000000003</v>
      </c>
      <c r="E34" s="2448" t="s">
        <v>2165</v>
      </c>
      <c r="F34" s="1735"/>
      <c r="G34" s="138"/>
      <c r="H34" s="138"/>
      <c r="I34" s="138"/>
    </row>
    <row r="35" spans="1:15" ht="15.75" thickBot="1">
      <c r="A35" s="2449"/>
      <c r="B35" s="2450" t="s">
        <v>2166</v>
      </c>
      <c r="C35" s="1440">
        <f ca="1">IF(C33="自定义",F35,ROUND(C32*D35,0))</f>
        <v>113</v>
      </c>
      <c r="D35" s="1441">
        <f ca="1">IF(C33="自定义",ROUND(C35/C32,3),IF(C33="收益比率",SUMIF(INDIRECT("'"&amp;D33&amp;"'"&amp;"!b:b"),"建筑物收益比率",INDIRECT("'"&amp;D33&amp;"'"&amp;"!c:c")),SUMIF(INDIRECT("'"&amp;D33&amp;"'"&amp;"!b:b"),"建筑物成本比率",INDIRECT("'"&amp;D33&amp;"'"&amp;"!c:c"))))</f>
        <v>0.46200000000000002</v>
      </c>
      <c r="E35" s="2451" t="s">
        <v>2167</v>
      </c>
      <c r="F35" s="163"/>
      <c r="G35" s="138"/>
      <c r="H35" s="138"/>
      <c r="I35" s="138"/>
    </row>
    <row r="36" spans="1:15" ht="15.75" thickBot="1">
      <c r="A36" s="3091" t="s">
        <v>2168</v>
      </c>
      <c r="B36" s="2452" t="s">
        <v>2169</v>
      </c>
      <c r="C36" s="154"/>
      <c r="D36" s="2453"/>
      <c r="E36" s="2454"/>
      <c r="F36" s="2455"/>
      <c r="G36" s="138"/>
      <c r="H36" s="138"/>
      <c r="I36" s="138"/>
    </row>
    <row r="37" spans="1:15" ht="15.75" thickBot="1">
      <c r="A37" s="3092"/>
      <c r="B37" s="2258" t="s">
        <v>2170</v>
      </c>
      <c r="C37" s="156"/>
      <c r="D37" s="1391"/>
      <c r="E37" s="1391"/>
      <c r="F37" s="2455"/>
      <c r="G37" s="138"/>
      <c r="H37" s="138"/>
      <c r="I37" s="138"/>
    </row>
    <row r="38" spans="1:15" ht="15.75" thickBot="1">
      <c r="A38" s="3093"/>
      <c r="B38" s="2456" t="s">
        <v>2171</v>
      </c>
      <c r="C38" s="727"/>
      <c r="D38" s="2457" t="s">
        <v>2172</v>
      </c>
      <c r="E38" s="1391"/>
      <c r="F38" s="2455"/>
      <c r="G38" s="138"/>
      <c r="H38" s="138"/>
      <c r="I38" s="138"/>
    </row>
    <row r="39" spans="1:15" ht="15">
      <c r="A39" s="2428" t="s">
        <v>2173</v>
      </c>
      <c r="B39" s="2458" t="s">
        <v>2156</v>
      </c>
      <c r="C39" s="2459" t="s">
        <v>2157</v>
      </c>
      <c r="D39" s="2459" t="s">
        <v>2176</v>
      </c>
      <c r="E39" s="2460" t="s">
        <v>2158</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70" t="s">
        <v>2182</v>
      </c>
      <c r="B45" s="3071"/>
      <c r="C45" s="3072"/>
      <c r="D45" s="164">
        <f ca="1">ROUND(H101*F45,0)</f>
        <v>244</v>
      </c>
      <c r="E45" s="165" t="s">
        <v>2183</v>
      </c>
      <c r="F45" s="166">
        <v>1</v>
      </c>
      <c r="G45" s="167" t="s">
        <v>2184</v>
      </c>
      <c r="H45" s="138"/>
      <c r="I45" s="138"/>
      <c r="J45" s="3130" t="s">
        <v>2185</v>
      </c>
      <c r="K45" s="3130"/>
      <c r="L45" s="3130"/>
      <c r="M45" s="3130"/>
      <c r="N45" s="3130"/>
      <c r="O45" s="3130"/>
    </row>
    <row r="46" spans="1:15" ht="14.25" customHeight="1">
      <c r="A46" s="3067" t="s">
        <v>2186</v>
      </c>
      <c r="B46" s="3068"/>
      <c r="C46" s="3068"/>
      <c r="D46" s="3068"/>
      <c r="E46" s="3068"/>
      <c r="F46" s="3068"/>
      <c r="G46" s="3069"/>
      <c r="H46" s="2471"/>
      <c r="I46" s="168"/>
      <c r="J46" s="2963">
        <v>1</v>
      </c>
      <c r="K46" s="3130" t="s">
        <v>2187</v>
      </c>
      <c r="L46" s="3130"/>
      <c r="M46" s="3150"/>
      <c r="N46" s="3150"/>
      <c r="O46" s="3150"/>
    </row>
    <row r="47" spans="1:15" ht="12" customHeight="1">
      <c r="A47" s="169" t="s">
        <v>2188</v>
      </c>
      <c r="B47" s="170"/>
      <c r="C47" s="171"/>
      <c r="D47" s="172" t="s">
        <v>2189</v>
      </c>
      <c r="E47" s="24" t="s">
        <v>2190</v>
      </c>
      <c r="F47" s="173" t="s">
        <v>2191</v>
      </c>
      <c r="G47" s="174" t="s">
        <v>2192</v>
      </c>
      <c r="H47" s="2471"/>
      <c r="I47" s="168"/>
      <c r="J47" s="2963">
        <v>2</v>
      </c>
      <c r="K47" s="3130" t="s">
        <v>2193</v>
      </c>
      <c r="L47" s="3130"/>
      <c r="M47" s="3151">
        <f>'数据-取费表'!B2</f>
        <v>43570</v>
      </c>
      <c r="N47" s="3151"/>
      <c r="O47" s="3151"/>
    </row>
    <row r="48" spans="1:15" ht="25.5">
      <c r="A48" s="3098" t="s">
        <v>2194</v>
      </c>
      <c r="B48" s="3081"/>
      <c r="C48" s="3081"/>
      <c r="D48" s="140">
        <f>IF(H48="情况1",0,IF(H48="情况2",D52,IF(H48="情况3",D53,IF(H48="情况4",D54))))</f>
        <v>0</v>
      </c>
      <c r="E48" s="2972" t="str">
        <f>IF(H48="情况4","(销售额-原购置价)×税（费）率","销售额×税（费）率")</f>
        <v>销售额×税（费）率</v>
      </c>
      <c r="F48" s="175" t="str">
        <f>IF(H48="情况1","免征",'数据-取费表'!B41)</f>
        <v>免征</v>
      </c>
      <c r="G48" s="2472" t="s">
        <v>2195</v>
      </c>
      <c r="H48" s="2473" t="s">
        <v>2196</v>
      </c>
      <c r="I48" s="2471"/>
      <c r="J48" s="2963">
        <v>3</v>
      </c>
      <c r="K48" s="3130" t="s">
        <v>2197</v>
      </c>
      <c r="L48" s="3130"/>
      <c r="M48" s="3152">
        <f ca="1">H101</f>
        <v>244</v>
      </c>
      <c r="N48" s="3152"/>
      <c r="O48" s="3152"/>
    </row>
    <row r="49" spans="1:35" ht="25.5" customHeight="1">
      <c r="A49" s="176" t="s">
        <v>2198</v>
      </c>
      <c r="B49" s="3066" t="s">
        <v>2199</v>
      </c>
      <c r="C49" s="3066"/>
      <c r="D49" s="177">
        <v>0</v>
      </c>
      <c r="E49" s="23" t="s">
        <v>2200</v>
      </c>
      <c r="F49" s="28" t="s">
        <v>34</v>
      </c>
      <c r="G49" s="3136"/>
      <c r="H49" s="138"/>
      <c r="I49" s="2474"/>
      <c r="J49" s="2963">
        <v>4</v>
      </c>
      <c r="K49" s="3130" t="str">
        <f>IF(项目基本情况!E8="房地产抵押价值","房地产抵押价值","抵押担保权已注销时的房地产抵押价值")</f>
        <v>房地产抵押价值</v>
      </c>
      <c r="L49" s="3130"/>
      <c r="M49" s="3152">
        <f ca="1">IF(项目基本情况!E8="房地产抵押价值",H107,H109)</f>
        <v>244</v>
      </c>
      <c r="N49" s="3152"/>
      <c r="O49" s="3152"/>
    </row>
    <row r="50" spans="1:35" ht="25.5" customHeight="1">
      <c r="A50" s="178"/>
      <c r="B50" s="3066" t="s">
        <v>2201</v>
      </c>
      <c r="C50" s="3066"/>
      <c r="D50" s="179"/>
      <c r="E50" s="31"/>
      <c r="F50" s="180"/>
      <c r="G50" s="3137"/>
      <c r="H50" s="138"/>
      <c r="I50" s="2474"/>
      <c r="J50" s="3130" t="s">
        <v>2202</v>
      </c>
      <c r="K50" s="3130"/>
      <c r="L50" s="3130"/>
      <c r="M50" s="3130"/>
      <c r="N50" s="3130"/>
      <c r="O50" s="3130"/>
    </row>
    <row r="51" spans="1:35" ht="12" customHeight="1">
      <c r="A51" s="181"/>
      <c r="B51" s="3066" t="s">
        <v>2203</v>
      </c>
      <c r="C51" s="3066"/>
      <c r="D51" s="182"/>
      <c r="E51" s="30"/>
      <c r="F51" s="180"/>
      <c r="G51" s="3138"/>
      <c r="H51" s="138"/>
      <c r="I51" s="2474"/>
      <c r="J51" s="2960" t="s">
        <v>2204</v>
      </c>
      <c r="K51" s="3130" t="s">
        <v>2205</v>
      </c>
      <c r="L51" s="3130"/>
      <c r="M51" s="2960" t="s">
        <v>2206</v>
      </c>
      <c r="N51" s="2960" t="s">
        <v>2207</v>
      </c>
      <c r="O51" s="2960" t="s">
        <v>2208</v>
      </c>
    </row>
    <row r="52" spans="1:35" ht="24" customHeight="1">
      <c r="A52" s="183" t="s">
        <v>2209</v>
      </c>
      <c r="B52" s="3066" t="s">
        <v>2210</v>
      </c>
      <c r="C52" s="3066"/>
      <c r="D52" s="182">
        <f ca="1">ROUND(D45*'数据-取费表'!B41/(1+'数据-取费表'!C42),0)</f>
        <v>13</v>
      </c>
      <c r="E52" s="11" t="s">
        <v>2211</v>
      </c>
      <c r="F52" s="184">
        <f>'数据-取费表'!B41</f>
        <v>5.5000000000000007E-2</v>
      </c>
      <c r="G52" s="2476"/>
      <c r="H52" s="138"/>
      <c r="I52" s="2474"/>
      <c r="J52" s="2963">
        <v>1</v>
      </c>
      <c r="K52" s="3131" t="s">
        <v>2212</v>
      </c>
      <c r="L52" s="3131"/>
      <c r="M52" s="1742">
        <f>D48</f>
        <v>0</v>
      </c>
      <c r="N52" s="2963" t="str">
        <f>E48</f>
        <v>销售额×税（费）率</v>
      </c>
      <c r="O52" s="1743" t="str">
        <f>F48</f>
        <v>免征</v>
      </c>
    </row>
    <row r="53" spans="1:35" ht="12" customHeight="1">
      <c r="A53" s="183" t="s">
        <v>2213</v>
      </c>
      <c r="B53" s="3089" t="s">
        <v>2214</v>
      </c>
      <c r="C53" s="3090"/>
      <c r="D53" s="182">
        <f ca="1">ROUND(D45*'数据-取费表'!B41/(1+'数据-取费表'!C42),0)</f>
        <v>13</v>
      </c>
      <c r="E53" s="11" t="s">
        <v>2211</v>
      </c>
      <c r="F53" s="184">
        <f>'数据-取费表'!B41</f>
        <v>5.5000000000000007E-2</v>
      </c>
      <c r="G53" s="2476"/>
      <c r="H53" s="138"/>
      <c r="I53" s="2474"/>
      <c r="J53" s="2963">
        <v>2</v>
      </c>
      <c r="K53" s="3131" t="s">
        <v>2215</v>
      </c>
      <c r="L53" s="3131"/>
      <c r="M53" s="1742">
        <f t="shared" ref="M53:O54" ca="1" si="0">D55</f>
        <v>0</v>
      </c>
      <c r="N53" s="2963" t="str">
        <f t="shared" si="0"/>
        <v>销售额×税（费）率</v>
      </c>
      <c r="O53" s="1743">
        <f t="shared" si="0"/>
        <v>5.0000000000000001E-4</v>
      </c>
    </row>
    <row r="54" spans="1:35" ht="12" customHeight="1">
      <c r="A54" s="183" t="s">
        <v>2216</v>
      </c>
      <c r="B54" s="3089" t="s">
        <v>2217</v>
      </c>
      <c r="C54" s="3090"/>
      <c r="D54" s="182">
        <f ca="1">C68</f>
        <v>13</v>
      </c>
      <c r="E54" s="30" t="s">
        <v>2218</v>
      </c>
      <c r="F54" s="184">
        <f>'数据-取费表'!B41</f>
        <v>5.5000000000000007E-2</v>
      </c>
      <c r="G54" s="2476"/>
      <c r="H54" s="2477"/>
      <c r="I54" s="2474"/>
      <c r="J54" s="2963">
        <v>3</v>
      </c>
      <c r="K54" s="3131" t="s">
        <v>2219</v>
      </c>
      <c r="L54" s="3131"/>
      <c r="M54" s="1742">
        <f t="shared" ca="1" si="0"/>
        <v>138</v>
      </c>
      <c r="N54" s="2963" t="str">
        <f t="shared" si="0"/>
        <v>增值额×税（费）率</v>
      </c>
      <c r="O54" s="1744" t="str">
        <f t="shared" si="0"/>
        <v>——</v>
      </c>
    </row>
    <row r="55" spans="1:35" ht="24" customHeight="1">
      <c r="A55" s="3080" t="s">
        <v>2220</v>
      </c>
      <c r="B55" s="3081"/>
      <c r="C55" s="3081"/>
      <c r="D55" s="185">
        <f ca="1">IF(H55="个人住宅",0,ROUND(D45*I55,0))</f>
        <v>0</v>
      </c>
      <c r="E55" s="11" t="s">
        <v>2221</v>
      </c>
      <c r="F55" s="184">
        <f>IF(H55="正常",I55,"免征")</f>
        <v>5.0000000000000001E-4</v>
      </c>
      <c r="G55" s="2476"/>
      <c r="H55" s="2473" t="s">
        <v>2222</v>
      </c>
      <c r="I55" s="186">
        <f>'数据-取费表'!B49</f>
        <v>5.0000000000000001E-4</v>
      </c>
      <c r="J55" s="2963" t="str">
        <f>IF(H59="非个人房产","",4)</f>
        <v/>
      </c>
      <c r="K55" s="3131" t="str">
        <f>IF(H59="非个人房产","——","个人所得税")</f>
        <v>——</v>
      </c>
      <c r="L55" s="3131"/>
      <c r="M55" s="1745" t="str">
        <f>D59</f>
        <v>——</v>
      </c>
      <c r="N55" s="2964" t="str">
        <f>E59</f>
        <v>——</v>
      </c>
      <c r="O55" s="1746" t="str">
        <f>F59</f>
        <v>——</v>
      </c>
    </row>
    <row r="56" spans="1:35" ht="24.75">
      <c r="A56" s="3080" t="s">
        <v>2223</v>
      </c>
      <c r="B56" s="3081"/>
      <c r="C56" s="3081"/>
      <c r="D56" s="185">
        <f ca="1">IF(H56="个人住宅",D57,D58)</f>
        <v>138</v>
      </c>
      <c r="E56" s="11" t="s">
        <v>2224</v>
      </c>
      <c r="F56" s="184" t="str">
        <f>IF(H56="正常",F58,"免征")</f>
        <v>——</v>
      </c>
      <c r="G56" s="2478" t="s">
        <v>2225</v>
      </c>
      <c r="H56" s="2479" t="s">
        <v>2222</v>
      </c>
      <c r="I56" s="2480"/>
      <c r="J56" s="2963" t="str">
        <f>IF(项目基本情况!K6="上海银行",IF(J55="",4,J55+1),"")</f>
        <v/>
      </c>
      <c r="K56" s="3154" t="str">
        <f>IF(项目基本情况!K6="上海银行","其他处置费用","")</f>
        <v/>
      </c>
      <c r="L56" s="3155"/>
      <c r="M56" s="1742" t="str">
        <f>IF(项目基本情况!K6="上海银行",M69,"")</f>
        <v/>
      </c>
      <c r="N56" s="3157" t="str">
        <f>IF(项目基本情况!K6="上海银行","包含处置中涉及的律师、诉讼、拍卖、评估等费用","")</f>
        <v/>
      </c>
      <c r="O56" s="3158"/>
    </row>
    <row r="57" spans="1:35" ht="12.75">
      <c r="A57" s="183" t="s">
        <v>2198</v>
      </c>
      <c r="B57" s="3096" t="s">
        <v>2226</v>
      </c>
      <c r="C57" s="3105"/>
      <c r="D57" s="187">
        <v>0</v>
      </c>
      <c r="E57" s="23" t="s">
        <v>2200</v>
      </c>
      <c r="F57" s="155"/>
      <c r="G57" s="2476"/>
      <c r="H57" s="2480"/>
      <c r="I57" s="2480"/>
      <c r="J57" s="3131">
        <f>IF(AND(J55="",J56=""),4,IF(项目基本情况!K6="上海银行",'结果表-基准'!J56+1,'结果表-基准'!J55+1))</f>
        <v>4</v>
      </c>
      <c r="K57" s="3131" t="s">
        <v>2227</v>
      </c>
      <c r="L57" s="2481" t="s">
        <v>2228</v>
      </c>
      <c r="M57" s="1747"/>
      <c r="N57" s="1748">
        <f ca="1">SUMIF(M52:M56,"&lt;9e307")</f>
        <v>138</v>
      </c>
      <c r="O57" s="2482"/>
      <c r="P57" s="1741">
        <f ca="1">N57/M49</f>
        <v>0.56557377049180324</v>
      </c>
    </row>
    <row r="58" spans="1:35" ht="24.75">
      <c r="A58" s="183" t="s">
        <v>2209</v>
      </c>
      <c r="B58" s="3096" t="s">
        <v>2229</v>
      </c>
      <c r="C58" s="3097"/>
      <c r="D58" s="185">
        <f ca="1">IF(H58="转让取得",C81,C97)</f>
        <v>138</v>
      </c>
      <c r="E58" s="11" t="s">
        <v>2224</v>
      </c>
      <c r="F58" s="24" t="s">
        <v>34</v>
      </c>
      <c r="G58" s="2476"/>
      <c r="H58" s="2479" t="s">
        <v>2230</v>
      </c>
      <c r="I58" s="2480"/>
      <c r="J58" s="3131"/>
      <c r="K58" s="3131"/>
      <c r="L58" s="2481" t="s">
        <v>2231</v>
      </c>
      <c r="M58" s="1749"/>
      <c r="N58" s="2483" t="str">
        <f ca="1">NUMBERSTRING(INT(N57*10000),2)&amp;"元整"</f>
        <v>壹佰叁拾捌万元整</v>
      </c>
      <c r="O58" s="2484"/>
    </row>
    <row r="59" spans="1:35" ht="24.75" thickBot="1">
      <c r="A59" s="3134" t="s">
        <v>2232</v>
      </c>
      <c r="B59" s="3135"/>
      <c r="C59" s="3135"/>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32">
        <f>J57+1</f>
        <v>5</v>
      </c>
      <c r="K59" s="3131" t="s">
        <v>2234</v>
      </c>
      <c r="L59" s="2963" t="s">
        <v>2228</v>
      </c>
      <c r="M59" s="1750"/>
      <c r="N59" s="1751">
        <f ca="1">M49-N57</f>
        <v>106</v>
      </c>
      <c r="O59" s="2486"/>
    </row>
    <row r="60" spans="1:35" ht="12" customHeight="1">
      <c r="A60" s="2487"/>
      <c r="B60" s="2409"/>
      <c r="C60" s="2409"/>
      <c r="D60" s="2409"/>
      <c r="E60" s="2157"/>
      <c r="F60" s="2480"/>
      <c r="G60" s="2480"/>
      <c r="H60" s="2488"/>
      <c r="I60" s="138"/>
      <c r="J60" s="3133"/>
      <c r="K60" s="3131"/>
      <c r="L60" s="2481" t="s">
        <v>2231</v>
      </c>
      <c r="M60" s="1749"/>
      <c r="N60" s="2483" t="str">
        <f ca="1">NUMBERSTRING(INT(N59*10000),2)&amp;"元整"</f>
        <v>壹佰零陆万元整</v>
      </c>
      <c r="O60" s="2484"/>
    </row>
    <row r="61" spans="1:35" ht="13.5" thickBot="1">
      <c r="A61" s="3078" t="s">
        <v>2235</v>
      </c>
      <c r="B61" s="3078"/>
      <c r="C61" s="3078"/>
      <c r="D61" s="3078"/>
      <c r="E61" s="3078"/>
      <c r="F61" s="2480"/>
      <c r="G61" s="2480"/>
      <c r="H61" s="2488"/>
      <c r="I61" s="138"/>
      <c r="J61" s="2963">
        <f>J59+1</f>
        <v>6</v>
      </c>
      <c r="K61" s="3131" t="s">
        <v>2236</v>
      </c>
      <c r="L61" s="3131"/>
      <c r="M61" s="1752"/>
      <c r="N61" s="1753">
        <f ca="1">ROUND(N59*10000/'数据-汇总表'!E3,0)</f>
        <v>65</v>
      </c>
      <c r="O61" s="2489"/>
    </row>
    <row r="62" spans="1:35" ht="12.75">
      <c r="A62" s="3094" t="s">
        <v>2237</v>
      </c>
      <c r="B62" s="3095"/>
      <c r="C62" s="2968"/>
      <c r="D62" s="2968" t="s">
        <v>2238</v>
      </c>
      <c r="E62" s="192" t="s">
        <v>2239</v>
      </c>
      <c r="F62" s="2480"/>
      <c r="G62" s="2480"/>
      <c r="H62" s="2488"/>
      <c r="I62" s="138"/>
    </row>
    <row r="63" spans="1:35" ht="12.75">
      <c r="A63" s="203" t="s">
        <v>775</v>
      </c>
      <c r="B63" s="193" t="s">
        <v>2240</v>
      </c>
      <c r="C63" s="194">
        <f ca="1">ROUND((C64+C65)/(1+'数据-取费表'!C42),0)</f>
        <v>232</v>
      </c>
      <c r="D63" s="195"/>
      <c r="E63" s="196"/>
      <c r="F63" s="2480"/>
      <c r="G63" s="2480"/>
      <c r="H63" s="2488"/>
      <c r="I63" s="138"/>
      <c r="J63" s="3156" t="s">
        <v>2241</v>
      </c>
      <c r="K63" s="2961" t="s">
        <v>2242</v>
      </c>
      <c r="L63" s="1740">
        <f ca="1">IF(M49&gt;10000,M49*0.5%,IF(AND(M49&gt;1000,M49&lt;=10000),M49*1%,IF(AND(M49&gt;100,M49&lt;=1000),M49*3%,IF(AND(M49&gt;10,M49&lt;=100),M49*5%,M49*8%))))</f>
        <v>7.3199999999999994</v>
      </c>
      <c r="M63" s="24">
        <f ca="1">ROUND(L63,1)</f>
        <v>7.3</v>
      </c>
      <c r="Z63" s="2414"/>
      <c r="AI63" s="2415"/>
    </row>
    <row r="64" spans="1:35" ht="14.25" customHeight="1">
      <c r="A64" s="197" t="s">
        <v>770</v>
      </c>
      <c r="B64" s="198" t="s">
        <v>2243</v>
      </c>
      <c r="C64" s="199">
        <f ca="1">D45</f>
        <v>244</v>
      </c>
      <c r="D64" s="200" t="s">
        <v>32</v>
      </c>
      <c r="E64" s="201"/>
      <c r="F64" s="2480"/>
      <c r="G64" s="2480"/>
      <c r="H64" s="2488"/>
      <c r="I64" s="138"/>
      <c r="J64" s="3156"/>
      <c r="K64" s="2961" t="s">
        <v>2244</v>
      </c>
      <c r="L64" s="1740">
        <f ca="1">IF(M49&gt;2000,M49*0.5%,IF(AND(M49&gt;1000,M49&lt;=2000),M49*0.6%,IF(AND(M49&gt;500,M49&lt;=1000),M49*0.7%,IF(AND(M49&gt;200,M49&lt;=500),M49*0.8%,IF(AND(M49&gt;100,M49&lt;=200),M49*0.9%,IF(AND(M49&gt;50,M49&lt;=100),M49*1%,IF(AND(M49&gt;20,M49&lt;=50),M49*1.5%,IF(AND(M49&gt;10,M49&lt;=20),M49*2%,IF(AND(M49&gt;1,M49&lt;=10),M49*2.5%)))))))))</f>
        <v>1.952</v>
      </c>
      <c r="M64" s="24">
        <f t="shared" ref="M64:M65" ca="1" si="1">ROUND(L64,1)</f>
        <v>2</v>
      </c>
      <c r="N64" s="138" t="s">
        <v>2245</v>
      </c>
      <c r="Z64" s="2414"/>
      <c r="AI64" s="2415"/>
    </row>
    <row r="65" spans="1:35" ht="14.25" customHeight="1">
      <c r="A65" s="197" t="s">
        <v>771</v>
      </c>
      <c r="B65" s="198" t="s">
        <v>2246</v>
      </c>
      <c r="C65" s="202"/>
      <c r="D65" s="200"/>
      <c r="E65" s="201"/>
      <c r="F65" s="2480"/>
      <c r="G65" s="2480"/>
      <c r="H65" s="2488"/>
      <c r="I65" s="138"/>
      <c r="J65" s="3156"/>
      <c r="K65" s="2961" t="s">
        <v>2247</v>
      </c>
      <c r="L65" s="1740">
        <f ca="1">IF(M49&gt;1000,M49*0.1%,IF(AND(M49&gt;500,M49&lt;=1000),M49*0.5%,IF(AND(M49&gt;50,M49&lt;=500),M49*1%,IF(AND(M49&gt;1,M49&lt;=50),M49*1.5%))))</f>
        <v>2.44</v>
      </c>
      <c r="M65" s="24">
        <f t="shared" ca="1" si="1"/>
        <v>2.4</v>
      </c>
      <c r="N65" s="138" t="s">
        <v>2245</v>
      </c>
      <c r="Z65" s="2414"/>
      <c r="AI65" s="2415"/>
    </row>
    <row r="66" spans="1:35" ht="14.25" customHeight="1">
      <c r="A66" s="203" t="s">
        <v>772</v>
      </c>
      <c r="B66" s="204" t="s">
        <v>2248</v>
      </c>
      <c r="C66" s="205"/>
      <c r="D66" s="206" t="s">
        <v>32</v>
      </c>
      <c r="E66" s="1764" t="s">
        <v>1366</v>
      </c>
      <c r="F66" s="2480"/>
      <c r="G66" s="2480"/>
      <c r="H66" s="2488"/>
      <c r="I66" s="138"/>
      <c r="J66" s="3156"/>
      <c r="K66" s="2961" t="s">
        <v>2249</v>
      </c>
      <c r="L66" s="1740">
        <f ca="1">M49*0.5%</f>
        <v>1.22</v>
      </c>
      <c r="M66" s="24">
        <f ca="1">IF(L66&gt;0.5,0.5,ROUND(L66,0))</f>
        <v>0.5</v>
      </c>
      <c r="N66" s="138" t="s">
        <v>2250</v>
      </c>
      <c r="Z66" s="2414"/>
      <c r="AI66" s="2415"/>
    </row>
    <row r="67" spans="1:35" ht="14.25" customHeight="1">
      <c r="A67" s="203" t="s">
        <v>773</v>
      </c>
      <c r="B67" s="204" t="s">
        <v>2251</v>
      </c>
      <c r="C67" s="207">
        <f ca="1">C63-C66</f>
        <v>232</v>
      </c>
      <c r="D67" s="200" t="s">
        <v>32</v>
      </c>
      <c r="E67" s="201"/>
      <c r="F67" s="2480"/>
      <c r="G67" s="2480"/>
      <c r="H67" s="2488"/>
      <c r="I67" s="138"/>
      <c r="J67" s="3156"/>
      <c r="K67" s="2961" t="s">
        <v>2252</v>
      </c>
      <c r="L67" s="1740">
        <f ca="1">IF(M49&gt;=10000,(8.25+(M49-10000)*0.01%),IF(AND(M49&gt;=8000,M49&lt;10000),(7.85+(M49-8000)*0.02%),IF(AND(M49&gt;=5000,M49&lt;8000),(6.65+(M49-5000)*0.04%),IF(AND(M49&gt;=2000,M49&lt;5000),(4.25+(PM49-2000)*0.08%),IF(AND(M49&gt;=1000,M49&lt;2000),(2.75+(M49-1000)*0.15%),IF(AND(M49&gt;=100,M49&lt;1000),(0.5+(M49-100)*0.25%),IF(AND(M49&gt;0,M49&lt;100),M49*0.5%)))))))</f>
        <v>0.86</v>
      </c>
      <c r="M67" s="24">
        <f ca="1">ROUND(L67*0.9,1)</f>
        <v>0.8</v>
      </c>
      <c r="Z67" s="2414"/>
      <c r="AI67" s="2415"/>
    </row>
    <row r="68" spans="1:35" ht="14.25" customHeight="1" thickBot="1">
      <c r="A68" s="208" t="s">
        <v>774</v>
      </c>
      <c r="B68" s="209" t="s">
        <v>2253</v>
      </c>
      <c r="C68" s="210">
        <f ca="1">IF(C67&lt;=0,0,ROUND(C67*D68,0))</f>
        <v>13</v>
      </c>
      <c r="D68" s="211">
        <f>'数据-取费表'!B41</f>
        <v>5.5000000000000007E-2</v>
      </c>
      <c r="E68" s="212"/>
      <c r="F68" s="2480"/>
      <c r="G68" s="2480"/>
      <c r="H68" s="2488"/>
      <c r="I68" s="138"/>
      <c r="J68" s="3156"/>
      <c r="K68" s="2961" t="s">
        <v>2254</v>
      </c>
      <c r="L68" s="1740">
        <f ca="1">IF(M49&gt;10000,M49*0.5%,IF(AND(M49&gt;5000,M49&lt;=10000),M49*1%,IF(AND(M49&gt;1000,M49&lt;=5000),M49*2%,IF(AND(M49&gt;200,M49&lt;=1000),M49*3%,M49*5%))))</f>
        <v>7.3199999999999994</v>
      </c>
      <c r="M68" s="24">
        <f ca="1">ROUND(L68,1)</f>
        <v>7.3</v>
      </c>
      <c r="Z68" s="2414"/>
      <c r="AI68" s="2415"/>
    </row>
    <row r="69" spans="1:35" s="2437" customFormat="1" ht="16.5" customHeight="1">
      <c r="A69" s="2491"/>
      <c r="B69" s="2492"/>
      <c r="C69" s="2493"/>
      <c r="D69" s="2494"/>
      <c r="E69" s="2495"/>
      <c r="F69" s="2157"/>
      <c r="G69" s="2157"/>
      <c r="H69" s="2156"/>
      <c r="I69" s="2409"/>
      <c r="J69" s="3156"/>
      <c r="K69" s="2961" t="s">
        <v>2255</v>
      </c>
      <c r="L69" s="2496"/>
      <c r="M69" s="24">
        <f ca="1">ROUND(SUM(M63:M68),0)</f>
        <v>20</v>
      </c>
      <c r="N69" s="1741">
        <f ca="1">M69/M49</f>
        <v>8.1967213114754092E-2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15" t="s">
        <v>2256</v>
      </c>
      <c r="B70" s="3116"/>
      <c r="C70" s="3116"/>
      <c r="D70" s="3116"/>
      <c r="E70" s="3116"/>
      <c r="F70" s="3116"/>
      <c r="G70" s="3116"/>
      <c r="H70" s="311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94" t="s">
        <v>2237</v>
      </c>
      <c r="B71" s="3095"/>
      <c r="C71" s="2968"/>
      <c r="D71" s="2968"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232</v>
      </c>
      <c r="D72" s="200" t="s">
        <v>32</v>
      </c>
      <c r="E72" s="2970"/>
      <c r="F72" s="2969"/>
      <c r="G72" s="296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v>
      </c>
      <c r="D73" s="200" t="s">
        <v>32</v>
      </c>
      <c r="E73" s="2970"/>
      <c r="F73" s="2969"/>
      <c r="G73" s="296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0"/>
      <c r="F74" s="2969"/>
      <c r="G74" s="296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089" t="s">
        <v>2265</v>
      </c>
      <c r="F76" s="3066"/>
      <c r="G76" s="3066"/>
      <c r="H76" s="311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4" t="s">
        <v>2268</v>
      </c>
      <c r="H77" s="297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v>
      </c>
      <c r="D78" s="226">
        <f>'数据-取费表'!B43</f>
        <v>5.000000000000001E-3</v>
      </c>
      <c r="E78" s="3075" t="s">
        <v>2270</v>
      </c>
      <c r="F78" s="3076"/>
      <c r="G78" s="3076"/>
      <c r="H78" s="308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2271</v>
      </c>
      <c r="C79" s="207">
        <f ca="1">C72-C73</f>
        <v>231</v>
      </c>
      <c r="D79" s="200" t="s">
        <v>32</v>
      </c>
      <c r="E79" s="2970"/>
      <c r="F79" s="2969"/>
      <c r="G79" s="296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231</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5" t="s">
        <v>2274</v>
      </c>
      <c r="B83" s="3116"/>
      <c r="C83" s="3116"/>
      <c r="D83" s="3116"/>
      <c r="E83" s="3116"/>
      <c r="F83" s="3116"/>
      <c r="G83" s="3116"/>
      <c r="H83" s="311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94" t="s">
        <v>2237</v>
      </c>
      <c r="B84" s="3095"/>
      <c r="C84" s="2968"/>
      <c r="D84" s="2968"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232</v>
      </c>
      <c r="D85" s="200" t="s">
        <v>32</v>
      </c>
      <c r="E85" s="2970"/>
      <c r="F85" s="2969"/>
      <c r="G85" s="296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v>
      </c>
      <c r="D86" s="235"/>
      <c r="E86" s="2970"/>
      <c r="F86" s="2969"/>
      <c r="G86" s="296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2965"/>
      <c r="F87" s="2966"/>
      <c r="G87" s="2966"/>
      <c r="H87" s="296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2966"/>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2966"/>
      <c r="G89" s="2966"/>
      <c r="H89" s="296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2966"/>
      <c r="G90" s="3159" t="s">
        <v>3059</v>
      </c>
      <c r="H90" s="3160"/>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075" t="s">
        <v>2283</v>
      </c>
      <c r="F91" s="3076"/>
      <c r="G91" s="307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075" t="s">
        <v>2287</v>
      </c>
      <c r="F92" s="3076"/>
      <c r="G92" s="3076"/>
      <c r="H92" s="308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v>
      </c>
      <c r="D93" s="226">
        <f>'数据-取费表'!B43</f>
        <v>5.000000000000001E-3</v>
      </c>
      <c r="E93" s="3075" t="s">
        <v>2270</v>
      </c>
      <c r="F93" s="3076"/>
      <c r="G93" s="3076"/>
      <c r="H93" s="308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086" t="s">
        <v>2291</v>
      </c>
      <c r="F94" s="3087"/>
      <c r="G94" s="3087"/>
      <c r="H94" s="308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2271</v>
      </c>
      <c r="C95" s="207">
        <f ca="1">ROUND(C85-C86,0)</f>
        <v>231</v>
      </c>
      <c r="D95" s="200" t="s">
        <v>32</v>
      </c>
      <c r="E95" s="2970"/>
      <c r="F95" s="2969"/>
      <c r="G95" s="296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231</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60" t="s">
        <v>2293</v>
      </c>
      <c r="B100" s="3061"/>
      <c r="C100" s="3061"/>
      <c r="D100" s="3077"/>
      <c r="E100" s="3061" t="s">
        <v>2294</v>
      </c>
      <c r="F100" s="3061"/>
      <c r="G100" s="3061"/>
      <c r="H100" s="3077"/>
      <c r="I100" s="138"/>
    </row>
    <row r="101" spans="1:35" ht="18.75" customHeight="1">
      <c r="A101" s="3139" t="s">
        <v>2295</v>
      </c>
      <c r="B101" s="3140"/>
      <c r="C101" s="736" t="str">
        <f>C4</f>
        <v>比较法-办公</v>
      </c>
      <c r="D101" s="737" t="str">
        <f>D4</f>
        <v>收益法 (元)</v>
      </c>
      <c r="E101" s="3153" t="s">
        <v>2296</v>
      </c>
      <c r="F101" s="3107"/>
      <c r="G101" s="2511" t="s">
        <v>2297</v>
      </c>
      <c r="H101" s="1045">
        <f ca="1">H118</f>
        <v>244</v>
      </c>
      <c r="I101" s="138"/>
    </row>
    <row r="102" spans="1:35" ht="18.75" customHeight="1">
      <c r="A102" s="3109" t="s">
        <v>2298</v>
      </c>
      <c r="B102" s="2511" t="s">
        <v>2297</v>
      </c>
      <c r="C102" s="736">
        <f ca="1">C19</f>
        <v>278</v>
      </c>
      <c r="D102" s="737">
        <f ca="1">D19</f>
        <v>217</v>
      </c>
      <c r="E102" s="3153"/>
      <c r="F102" s="3107"/>
      <c r="G102" s="2511" t="s">
        <v>2299</v>
      </c>
      <c r="H102" s="371">
        <f ca="1">I118</f>
        <v>21699</v>
      </c>
      <c r="I102" s="138"/>
    </row>
    <row r="103" spans="1:35" ht="42.75" customHeight="1">
      <c r="A103" s="3109"/>
      <c r="B103" s="2511" t="s">
        <v>2299</v>
      </c>
      <c r="C103" s="738">
        <f ca="1">C20</f>
        <v>24704</v>
      </c>
      <c r="D103" s="739">
        <f ca="1">D20</f>
        <v>19329</v>
      </c>
      <c r="E103" s="3148" t="s">
        <v>2300</v>
      </c>
      <c r="F103" s="3149"/>
      <c r="G103" s="2512" t="s">
        <v>2301</v>
      </c>
      <c r="H103" s="1045">
        <f>IF(D36="正常操作",H104+H105+H106,H105+H106)</f>
        <v>0</v>
      </c>
      <c r="I103" s="138"/>
    </row>
    <row r="104" spans="1:35" ht="18.75" customHeight="1">
      <c r="A104" s="3109" t="s">
        <v>2302</v>
      </c>
      <c r="B104" s="2513" t="s">
        <v>2297</v>
      </c>
      <c r="C104" s="740">
        <f ca="1">H118</f>
        <v>244</v>
      </c>
      <c r="D104" s="741"/>
      <c r="E104" s="2258" t="s">
        <v>2303</v>
      </c>
      <c r="F104" s="2249"/>
      <c r="G104" s="2512" t="s">
        <v>2301</v>
      </c>
      <c r="H104" s="1046">
        <f>IF(D36="同一抵押权人同一抵押物续贷",C36&amp;"（未扣减，详见特别提示）",C36)</f>
        <v>0</v>
      </c>
      <c r="I104" s="138"/>
    </row>
    <row r="105" spans="1:35" ht="18.75" customHeight="1" thickBot="1">
      <c r="A105" s="3110"/>
      <c r="B105" s="2514" t="s">
        <v>2299</v>
      </c>
      <c r="C105" s="742">
        <f ca="1">I118</f>
        <v>21699</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06" t="str">
        <f>IF(项目基本情况!E8="已注销","——","3.房地产抵押价值")</f>
        <v>3.房地产抵押价值</v>
      </c>
      <c r="F107" s="3107"/>
      <c r="G107" s="2511" t="s">
        <v>2297</v>
      </c>
      <c r="H107" s="1045">
        <f ca="1">IF(E107="——","——",H101-H103)</f>
        <v>244</v>
      </c>
      <c r="I107" s="138"/>
    </row>
    <row r="108" spans="1:35" ht="18.75" customHeight="1">
      <c r="A108" s="138"/>
      <c r="B108" s="138"/>
      <c r="C108" s="138"/>
      <c r="D108" s="138"/>
      <c r="E108" s="3106"/>
      <c r="F108" s="3107"/>
      <c r="G108" s="2511" t="s">
        <v>2299</v>
      </c>
      <c r="H108" s="371">
        <f ca="1">ROUND(H107*10000/'数据-汇总表'!E3,0)</f>
        <v>151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1" t="s">
        <v>2297</v>
      </c>
      <c r="H109" s="348" t="str">
        <f>IF(E109="——","——",H101-H105-H106)</f>
        <v>——</v>
      </c>
      <c r="I109" s="138"/>
    </row>
    <row r="110" spans="1:35" ht="18.75" customHeight="1">
      <c r="A110" s="138"/>
      <c r="B110" s="138"/>
      <c r="C110" s="138"/>
      <c r="D110" s="138"/>
      <c r="E110" s="3106"/>
      <c r="F110" s="3107"/>
      <c r="G110" s="2511" t="s">
        <v>2299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1" t="s">
        <v>2297</v>
      </c>
      <c r="H111" s="1045" t="str">
        <f>IF(E111="——","——",N59)</f>
        <v>——</v>
      </c>
      <c r="I111" s="138"/>
    </row>
    <row r="112" spans="1:35" ht="18.75" customHeight="1" thickBot="1">
      <c r="A112" s="138"/>
      <c r="B112" s="138"/>
      <c r="C112" s="138"/>
      <c r="D112" s="138"/>
      <c r="E112" s="3143"/>
      <c r="F112" s="3144"/>
      <c r="G112" s="2516" t="s">
        <v>2299</v>
      </c>
      <c r="H112" s="790" t="str">
        <f>IF(E111="——","——",N61)</f>
        <v>——</v>
      </c>
      <c r="I112" s="138"/>
    </row>
    <row r="113" spans="1:11" ht="18.75" customHeight="1">
      <c r="A113" s="138"/>
      <c r="B113" s="138"/>
      <c r="C113" s="138"/>
      <c r="D113" s="138"/>
      <c r="E113" s="3111" t="s">
        <v>2305</v>
      </c>
      <c r="F113" s="3111"/>
      <c r="G113" s="3111"/>
      <c r="H113" s="3111"/>
      <c r="I113" s="138"/>
    </row>
    <row r="114" spans="1:11" ht="3.75" customHeight="1">
      <c r="A114" s="2409"/>
      <c r="B114" s="2409"/>
      <c r="C114" s="2409"/>
      <c r="D114" s="2409"/>
      <c r="E114" s="2487"/>
      <c r="F114" s="2487"/>
      <c r="G114" s="2487"/>
      <c r="H114" s="2487"/>
      <c r="I114" s="2409"/>
    </row>
    <row r="115" spans="1:11" ht="18.75" customHeight="1">
      <c r="A115" s="3124" t="s">
        <v>2307</v>
      </c>
      <c r="B115" s="3125"/>
      <c r="C115" s="3125"/>
      <c r="D115" s="3125"/>
      <c r="E115" s="3125"/>
      <c r="F115" s="3125"/>
      <c r="G115" s="3125"/>
      <c r="H115" s="3125"/>
      <c r="I115" s="3126"/>
    </row>
    <row r="116" spans="1:11" ht="27" customHeight="1">
      <c r="A116" s="3017" t="s">
        <v>2308</v>
      </c>
      <c r="B116" s="3112" t="s">
        <v>2309</v>
      </c>
      <c r="C116" s="3112" t="s">
        <v>2310</v>
      </c>
      <c r="D116" s="3128" t="s">
        <v>2311</v>
      </c>
      <c r="E116" s="3129"/>
      <c r="F116" s="3120" t="s">
        <v>2312</v>
      </c>
      <c r="G116" s="3120"/>
      <c r="H116" s="3017" t="s">
        <v>2313</v>
      </c>
      <c r="I116" s="3017"/>
    </row>
    <row r="117" spans="1:11" ht="18.75" customHeight="1">
      <c r="A117" s="3017"/>
      <c r="B117" s="3113"/>
      <c r="C117" s="3113"/>
      <c r="D117" s="2959" t="s">
        <v>2314</v>
      </c>
      <c r="E117" s="2959" t="s">
        <v>2315</v>
      </c>
      <c r="F117" s="2959" t="s">
        <v>2314</v>
      </c>
      <c r="G117" s="2959" t="s">
        <v>2316</v>
      </c>
      <c r="H117" s="2959" t="s">
        <v>2314</v>
      </c>
      <c r="I117" s="2959" t="s">
        <v>2316</v>
      </c>
    </row>
    <row r="118" spans="1:11" ht="24.75" customHeight="1">
      <c r="A118" s="2517" t="str">
        <f>项目基本情况!S2</f>
        <v>北京市出让国有建设用地使用权及在建建筑物房地产</v>
      </c>
      <c r="B118" s="2959">
        <f>M18</f>
        <v>112.45</v>
      </c>
      <c r="C118" s="2959">
        <f>M19</f>
        <v>36.53</v>
      </c>
      <c r="D118" s="2959">
        <f ca="1">ROUND(IF(D32="总价",C34,E118*B118/10000),0)</f>
        <v>131</v>
      </c>
      <c r="E118" s="2959">
        <f ca="1">ROUND(IF(C33="自定义",IF(D32="楼面单价",C34,D118*10000/B118),I118-G118),0)</f>
        <v>11650</v>
      </c>
      <c r="F118" s="2959">
        <f ca="1">ROUND(IF(D32="总价",C35,G118*B118/10000),0)</f>
        <v>113</v>
      </c>
      <c r="G118" s="2959">
        <f ca="1">ROUND(IF(D32="楼面单价",C35,F118*10000/B118),0)</f>
        <v>10049</v>
      </c>
      <c r="H118" s="2959">
        <f ca="1">ROUND(IF(D32="总价",C32,I118*B118/10000),0)</f>
        <v>244</v>
      </c>
      <c r="I118" s="2959">
        <f ca="1">ROUND(IF(D32="楼面单价",C32,H118*10000/B118),0)</f>
        <v>21699</v>
      </c>
    </row>
    <row r="119" spans="1:11" ht="18.75" customHeight="1">
      <c r="A119" s="3017" t="s">
        <v>2317</v>
      </c>
      <c r="B119" s="3017"/>
      <c r="C119" s="3017"/>
      <c r="D119" s="3117" t="str">
        <f ca="1">NUMBERSTRING(INT(D118*10000),2)&amp;"元整"</f>
        <v>壹佰叁拾壹万元整</v>
      </c>
      <c r="E119" s="3119"/>
      <c r="F119" s="3117" t="str">
        <f ca="1">NUMBERSTRING(INT(F118*10000),2)&amp;"元整"</f>
        <v>壹佰壹拾叁万元整</v>
      </c>
      <c r="G119" s="3119"/>
      <c r="H119" s="3117" t="str">
        <f ca="1">NUMBERSTRING(INT(H118*10000),2)&amp;"元整"</f>
        <v>贰佰肆拾肆万元整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4" t="str">
        <f>IF(D120=0,"故，本次评估不存在"&amp;A120,"故，本次评估"&amp;A120&amp;"为人民币"&amp;D120&amp;"万元整。")</f>
        <v>故，本次评估不存在估价师知悉的法定优先受偿款</v>
      </c>
    </row>
    <row r="121" spans="1:11" ht="18.75" customHeight="1">
      <c r="A121" s="3121" t="s">
        <v>2317</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244</v>
      </c>
      <c r="E122" s="3146"/>
      <c r="F122" s="3146"/>
      <c r="G122" s="3146"/>
      <c r="H122" s="3146"/>
      <c r="I122" s="3147"/>
    </row>
    <row r="123" spans="1:11" ht="18.75" customHeight="1">
      <c r="A123" s="3017" t="s">
        <v>2317</v>
      </c>
      <c r="B123" s="3017"/>
      <c r="C123" s="3017"/>
      <c r="D123" s="3117" t="str">
        <f ca="1">NUMBERSTRING(INT(D122*10000),2)&amp;"元整"</f>
        <v>贰佰肆拾肆万元整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2317</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2317</v>
      </c>
      <c r="B127" s="3017"/>
      <c r="C127" s="3017"/>
      <c r="D127" s="3117" t="e">
        <f>NUMBERSTRING(INT(D126*10000),2)&amp;"元整"</f>
        <v>#VALUE!</v>
      </c>
      <c r="E127" s="3118"/>
      <c r="F127" s="3118"/>
      <c r="G127" s="3118"/>
      <c r="H127" s="3118"/>
      <c r="I127" s="3119"/>
    </row>
    <row r="128" spans="1:11" ht="21.75" customHeight="1">
      <c r="A128" s="3127" t="s">
        <v>2318</v>
      </c>
      <c r="B128" s="3127"/>
      <c r="C128" s="3127"/>
      <c r="D128" s="3127"/>
      <c r="E128" s="3127"/>
      <c r="F128" s="3127"/>
      <c r="G128" s="3127"/>
      <c r="H128" s="3127"/>
      <c r="I128" s="3127"/>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2" zoomScale="70" zoomScaleNormal="70" workbookViewId="0">
      <selection activeCell="D20" sqref="D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2686</v>
      </c>
      <c r="C1" s="1619" t="s">
        <v>2530</v>
      </c>
      <c r="D1" s="1620">
        <v>401</v>
      </c>
      <c r="E1" s="1629"/>
      <c r="F1" s="2577" t="s">
        <v>3306</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278</v>
      </c>
      <c r="C2" s="2579" t="s">
        <v>70</v>
      </c>
      <c r="D2" s="136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24704</v>
      </c>
      <c r="C3" s="400" t="s">
        <v>2644</v>
      </c>
      <c r="D3" s="399">
        <f>IF(D1="",'数据-汇总表'!E3,SUMIF('数据-汇总表'!$C19:$C33,D1,'数据-汇总表'!$E19:$E33))</f>
        <v>112.45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43" t="s">
        <v>2651</v>
      </c>
      <c r="Q4" s="3244"/>
      <c r="R4" s="3247" t="s">
        <v>2647</v>
      </c>
      <c r="S4" s="3248"/>
      <c r="T4" s="3247" t="s">
        <v>2648</v>
      </c>
      <c r="U4" s="3248"/>
      <c r="V4" s="3249" t="s">
        <v>2649</v>
      </c>
      <c r="W4" s="3249"/>
      <c r="X4" s="2663"/>
      <c r="Y4" s="3247" t="s">
        <v>2651</v>
      </c>
      <c r="Z4" s="3248"/>
      <c r="AA4" s="3251" t="s">
        <v>2647</v>
      </c>
      <c r="AB4" s="3251" t="s">
        <v>2648</v>
      </c>
      <c r="AC4" s="3240" t="s">
        <v>2649</v>
      </c>
    </row>
    <row r="5" spans="1:29" ht="15">
      <c r="A5" s="404"/>
      <c r="B5" s="405"/>
      <c r="C5" s="3228" t="s">
        <v>2542</v>
      </c>
      <c r="D5" s="3229"/>
      <c r="E5" s="3235" t="str">
        <f>Sheet2!A1</f>
        <v>TBD云集中心</v>
      </c>
      <c r="F5" s="3236"/>
      <c r="G5" s="3228" t="str">
        <f>Sheet2!A2</f>
        <v>金域国际中心</v>
      </c>
      <c r="H5" s="3229"/>
      <c r="I5" s="3228" t="str">
        <f>Sheet2!A3</f>
        <v>珠江摩派国际中心</v>
      </c>
      <c r="J5" s="3229"/>
      <c r="K5" s="610"/>
      <c r="L5" s="1130"/>
      <c r="M5" s="1131"/>
      <c r="N5" s="1131"/>
      <c r="O5" s="1131"/>
      <c r="P5" s="3245"/>
      <c r="Q5" s="3216"/>
      <c r="R5" s="3221"/>
      <c r="S5" s="3222"/>
      <c r="T5" s="3221"/>
      <c r="U5" s="3222"/>
      <c r="V5" s="3225"/>
      <c r="W5" s="3225"/>
      <c r="X5" s="1804"/>
      <c r="Y5" s="3221"/>
      <c r="Z5" s="3222"/>
      <c r="AA5" s="3207"/>
      <c r="AB5" s="3207"/>
      <c r="AC5" s="3241"/>
    </row>
    <row r="6" spans="1:29" ht="15.75" thickBot="1">
      <c r="A6" s="406"/>
      <c r="B6" s="407"/>
      <c r="C6" s="3226" t="s">
        <v>2546</v>
      </c>
      <c r="D6" s="3227"/>
      <c r="E6" s="3233" t="s">
        <v>2546</v>
      </c>
      <c r="F6" s="3234"/>
      <c r="G6" s="3226" t="s">
        <v>2546</v>
      </c>
      <c r="H6" s="3227"/>
      <c r="I6" s="3226" t="s">
        <v>2546</v>
      </c>
      <c r="J6" s="3227"/>
      <c r="K6" s="610" t="s">
        <v>2547</v>
      </c>
      <c r="L6" s="1130"/>
      <c r="M6" s="1131"/>
      <c r="N6" s="1131"/>
      <c r="O6" s="1131"/>
      <c r="P6" s="3246"/>
      <c r="Q6" s="3218"/>
      <c r="R6" s="3221"/>
      <c r="S6" s="3222"/>
      <c r="T6" s="3223"/>
      <c r="U6" s="3224"/>
      <c r="V6" s="3225"/>
      <c r="W6" s="3225"/>
      <c r="X6" s="1804"/>
      <c r="Y6" s="3223"/>
      <c r="Z6" s="3224"/>
      <c r="AA6" s="3208"/>
      <c r="AB6" s="3208"/>
      <c r="AC6" s="3242"/>
    </row>
    <row r="7" spans="1:29" s="117" customFormat="1" ht="15.7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50" t="s">
        <v>2549</v>
      </c>
      <c r="Q7" s="3232"/>
      <c r="R7" s="770" t="s">
        <v>17</v>
      </c>
      <c r="S7" s="771">
        <f t="shared" ref="S7:S15" si="0">F7</f>
        <v>100</v>
      </c>
      <c r="T7" s="770" t="s">
        <v>17</v>
      </c>
      <c r="U7" s="771">
        <f t="shared" ref="U7:U15" si="1">H7</f>
        <v>100</v>
      </c>
      <c r="V7" s="770" t="s">
        <v>17</v>
      </c>
      <c r="W7" s="771">
        <f t="shared" ref="W7:W15" si="2">J7</f>
        <v>100</v>
      </c>
      <c r="X7" s="772"/>
      <c r="Y7" s="3230" t="s">
        <v>2549</v>
      </c>
      <c r="Z7" s="3231"/>
      <c r="AA7" s="773">
        <f>D7/F7</f>
        <v>1</v>
      </c>
      <c r="AB7" s="773">
        <f>D7/H7</f>
        <v>1</v>
      </c>
      <c r="AC7" s="2664">
        <f>D7/J7</f>
        <v>1</v>
      </c>
    </row>
    <row r="8" spans="1:29" s="117" customFormat="1" ht="15.75" thickBot="1">
      <c r="A8" s="408" t="s">
        <v>2550</v>
      </c>
      <c r="B8" s="409"/>
      <c r="C8" s="414" t="s">
        <v>2652</v>
      </c>
      <c r="D8" s="411">
        <v>100</v>
      </c>
      <c r="E8" s="3305" t="s">
        <v>3307</v>
      </c>
      <c r="F8" s="413">
        <f>SUMIF(62:62,E8,63:63)-SUMIF(62:62,C8,63:63)+100</f>
        <v>100</v>
      </c>
      <c r="G8" s="3305" t="s">
        <v>3307</v>
      </c>
      <c r="H8" s="411">
        <f>SUMIF(62:62,G8,63:63)-SUMIF(62:62,C8,63:63)+100</f>
        <v>100</v>
      </c>
      <c r="I8" s="3305" t="s">
        <v>3307</v>
      </c>
      <c r="J8" s="411">
        <f>SUMIF(62:62,I8,63:63)-SUMIF(62:62,C8,63:63)+100</f>
        <v>100</v>
      </c>
      <c r="K8" s="611"/>
      <c r="L8" s="1132"/>
      <c r="M8" s="1133"/>
      <c r="N8" s="1133"/>
      <c r="O8" s="1133"/>
      <c r="P8" s="3250" t="s">
        <v>2552</v>
      </c>
      <c r="Q8" s="3231"/>
      <c r="R8" s="770" t="s">
        <v>17</v>
      </c>
      <c r="S8" s="771">
        <f t="shared" si="0"/>
        <v>100</v>
      </c>
      <c r="T8" s="770" t="s">
        <v>17</v>
      </c>
      <c r="U8" s="771">
        <f t="shared" si="1"/>
        <v>100</v>
      </c>
      <c r="V8" s="770" t="s">
        <v>17</v>
      </c>
      <c r="W8" s="771">
        <f t="shared" si="2"/>
        <v>100</v>
      </c>
      <c r="X8" s="772"/>
      <c r="Y8" s="3230" t="s">
        <v>2552</v>
      </c>
      <c r="Z8" s="3231"/>
      <c r="AA8" s="773">
        <f t="shared" ref="AA8:AA47" si="3">D8/F8</f>
        <v>1</v>
      </c>
      <c r="AB8" s="773">
        <f t="shared" ref="AB8:AB47" si="4">D8/H8</f>
        <v>1</v>
      </c>
      <c r="AC8" s="2664">
        <f t="shared" ref="AC8:AC47" si="5">D8/J8</f>
        <v>1</v>
      </c>
    </row>
    <row r="9" spans="1:29" s="117" customFormat="1">
      <c r="A9" s="415" t="s">
        <v>2553</v>
      </c>
      <c r="B9" s="71" t="s">
        <v>2554</v>
      </c>
      <c r="C9" s="3306" t="s">
        <v>3308</v>
      </c>
      <c r="D9" s="135">
        <v>100</v>
      </c>
      <c r="E9" s="3307" t="s">
        <v>3309</v>
      </c>
      <c r="F9" s="135">
        <f>SUMIF(64:64,E9,65:65)-SUMIF(64:64,C9,65:65)+100</f>
        <v>102</v>
      </c>
      <c r="G9" s="3308" t="s">
        <v>3309</v>
      </c>
      <c r="H9" s="135">
        <f>SUMIF(64:64,G9,65:65)-SUMIF(64:64,C9,65:65)+100</f>
        <v>102</v>
      </c>
      <c r="I9" s="3308" t="s">
        <v>3309</v>
      </c>
      <c r="J9" s="135">
        <f>SUMIF(64:64,I9,65:65)-SUMIF(64:64,C9,65:65)+100</f>
        <v>102</v>
      </c>
      <c r="K9" s="611"/>
      <c r="L9" s="1132"/>
      <c r="M9" s="1133"/>
      <c r="N9" s="1133"/>
      <c r="O9" s="1133"/>
      <c r="P9" s="3205" t="s">
        <v>2555</v>
      </c>
      <c r="Q9" s="1786" t="str">
        <f t="shared" ref="Q9:Q15" si="6">B9</f>
        <v>用途</v>
      </c>
      <c r="R9" s="770" t="s">
        <v>17</v>
      </c>
      <c r="S9" s="771">
        <f t="shared" si="0"/>
        <v>102</v>
      </c>
      <c r="T9" s="770" t="s">
        <v>17</v>
      </c>
      <c r="U9" s="771">
        <f t="shared" si="1"/>
        <v>102</v>
      </c>
      <c r="V9" s="770" t="s">
        <v>17</v>
      </c>
      <c r="W9" s="771">
        <f t="shared" si="2"/>
        <v>102</v>
      </c>
      <c r="X9" s="772"/>
      <c r="Y9" s="3017" t="s">
        <v>2556</v>
      </c>
      <c r="Z9" s="55" t="str">
        <f t="shared" ref="Z9:Z15" si="7">Q9</f>
        <v>用途</v>
      </c>
      <c r="AA9" s="773">
        <f t="shared" si="3"/>
        <v>0.98039215686274506</v>
      </c>
      <c r="AB9" s="773">
        <f t="shared" si="4"/>
        <v>0.98039215686274506</v>
      </c>
      <c r="AC9" s="2664">
        <f t="shared" si="5"/>
        <v>0.98039215686274506</v>
      </c>
    </row>
    <row r="10" spans="1:29" s="427" customFormat="1" ht="27">
      <c r="A10" s="421"/>
      <c r="B10" s="422" t="s">
        <v>2557</v>
      </c>
      <c r="C10" s="423" t="s">
        <v>3310</v>
      </c>
      <c r="D10" s="136">
        <v>100</v>
      </c>
      <c r="E10" s="423" t="s">
        <v>3310</v>
      </c>
      <c r="F10" s="136">
        <f>SUMIF(66:66,E10,67:67)-SUMIF(66:66,C10,67:67)+100</f>
        <v>100</v>
      </c>
      <c r="G10" s="424" t="s">
        <v>3310</v>
      </c>
      <c r="H10" s="136">
        <f>SUMIF(66:66,G10,67:67)-SUMIF(66:66,C10,67:67)+100</f>
        <v>100</v>
      </c>
      <c r="I10" s="423" t="s">
        <v>3310</v>
      </c>
      <c r="J10" s="136">
        <f>SUMIF(66:66,I10,67:67)-SUMIF(66:66,C10,67:67)+100</f>
        <v>100</v>
      </c>
      <c r="K10" s="612"/>
      <c r="L10" s="1135"/>
      <c r="M10" s="1136"/>
      <c r="N10" s="1136"/>
      <c r="O10" s="1136"/>
      <c r="P10" s="3205"/>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64">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5"/>
      <c r="Q11" s="1786"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5"/>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5"/>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5"/>
      <c r="Q14" s="1786">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03" t="s">
        <v>2560</v>
      </c>
      <c r="Q15" s="1801" t="str">
        <f t="shared" si="6"/>
        <v>办公集聚程度</v>
      </c>
      <c r="R15" s="774" t="s">
        <v>17</v>
      </c>
      <c r="S15" s="775">
        <f t="shared" si="0"/>
        <v>103</v>
      </c>
      <c r="T15" s="774" t="s">
        <v>17</v>
      </c>
      <c r="U15" s="775">
        <f t="shared" si="1"/>
        <v>103</v>
      </c>
      <c r="V15" s="774" t="s">
        <v>17</v>
      </c>
      <c r="W15" s="775">
        <f t="shared" si="2"/>
        <v>103</v>
      </c>
      <c r="X15" s="1804"/>
      <c r="Y15" s="3196" t="s">
        <v>2560</v>
      </c>
      <c r="Z15" s="1805" t="str">
        <f t="shared" si="7"/>
        <v>办公集聚程度</v>
      </c>
      <c r="AA15" s="1802">
        <f t="shared" si="3"/>
        <v>0.970873786407767</v>
      </c>
      <c r="AB15" s="1802">
        <f t="shared" si="4"/>
        <v>0.970873786407767</v>
      </c>
      <c r="AC15" s="2667">
        <f t="shared" si="5"/>
        <v>0.970873786407767</v>
      </c>
    </row>
    <row r="16" spans="1:29" ht="15">
      <c r="A16" s="428"/>
      <c r="B16" s="630"/>
      <c r="C16" s="3309" t="s">
        <v>3311</v>
      </c>
      <c r="D16" s="448"/>
      <c r="E16" s="3310" t="s">
        <v>3312</v>
      </c>
      <c r="F16" s="448"/>
      <c r="G16" s="3309" t="s">
        <v>3312</v>
      </c>
      <c r="H16" s="450"/>
      <c r="I16" s="3310" t="s">
        <v>3312</v>
      </c>
      <c r="J16" s="448"/>
      <c r="K16" s="615"/>
      <c r="L16" s="1140"/>
      <c r="M16" s="1131"/>
      <c r="N16" s="1131"/>
      <c r="O16" s="1131"/>
      <c r="P16" s="3204"/>
      <c r="Q16" s="1801"/>
      <c r="R16" s="774"/>
      <c r="S16" s="775"/>
      <c r="T16" s="774"/>
      <c r="U16" s="775"/>
      <c r="V16" s="774"/>
      <c r="W16" s="775"/>
      <c r="X16" s="1804"/>
      <c r="Y16" s="3197"/>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04"/>
      <c r="Q17" s="1801" t="str">
        <f>B17</f>
        <v>交通便捷度</v>
      </c>
      <c r="R17" s="774" t="s">
        <v>17</v>
      </c>
      <c r="S17" s="775">
        <f>F17</f>
        <v>100</v>
      </c>
      <c r="T17" s="774" t="s">
        <v>17</v>
      </c>
      <c r="U17" s="775">
        <f>H17</f>
        <v>103</v>
      </c>
      <c r="V17" s="774" t="s">
        <v>17</v>
      </c>
      <c r="W17" s="775">
        <f>J17</f>
        <v>103</v>
      </c>
      <c r="X17" s="1804"/>
      <c r="Y17" s="3197"/>
      <c r="Z17" s="1805" t="str">
        <f>Q17</f>
        <v>交通便捷度</v>
      </c>
      <c r="AA17" s="1802">
        <f t="shared" si="3"/>
        <v>1</v>
      </c>
      <c r="AB17" s="1802">
        <f t="shared" si="4"/>
        <v>0.970873786407767</v>
      </c>
      <c r="AC17" s="2667">
        <f t="shared" si="5"/>
        <v>0.970873786407767</v>
      </c>
    </row>
    <row r="18" spans="1:29" ht="15">
      <c r="A18" s="428"/>
      <c r="B18" s="632"/>
      <c r="C18" s="3311" t="s">
        <v>3311</v>
      </c>
      <c r="D18" s="450"/>
      <c r="E18" s="3312" t="s">
        <v>3311</v>
      </c>
      <c r="F18" s="450"/>
      <c r="G18" s="3313" t="s">
        <v>3312</v>
      </c>
      <c r="H18" s="448"/>
      <c r="I18" s="3313" t="s">
        <v>3312</v>
      </c>
      <c r="J18" s="448"/>
      <c r="K18" s="615"/>
      <c r="L18" s="1140"/>
      <c r="M18" s="1131"/>
      <c r="N18" s="1131"/>
      <c r="O18" s="1131"/>
      <c r="P18" s="3204"/>
      <c r="Q18" s="1801"/>
      <c r="R18" s="774"/>
      <c r="S18" s="775"/>
      <c r="T18" s="774"/>
      <c r="U18" s="775"/>
      <c r="V18" s="774"/>
      <c r="W18" s="775"/>
      <c r="X18" s="1804"/>
      <c r="Y18" s="3197"/>
      <c r="Z18" s="1805"/>
      <c r="AA18" s="1802">
        <v>1</v>
      </c>
      <c r="AB18" s="1802">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04"/>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2667">
        <f t="shared" si="5"/>
        <v>1</v>
      </c>
    </row>
    <row r="20" spans="1:29" ht="15">
      <c r="A20" s="428"/>
      <c r="B20" s="632"/>
      <c r="C20" s="3309" t="s">
        <v>3312</v>
      </c>
      <c r="D20" s="448"/>
      <c r="E20" s="3314" t="s">
        <v>3312</v>
      </c>
      <c r="F20" s="448"/>
      <c r="G20" s="3315" t="s">
        <v>3312</v>
      </c>
      <c r="H20" s="448"/>
      <c r="I20" s="3315" t="s">
        <v>3312</v>
      </c>
      <c r="J20" s="448"/>
      <c r="K20" s="615"/>
      <c r="L20" s="1140"/>
      <c r="M20" s="1131"/>
      <c r="N20" s="1131"/>
      <c r="O20" s="1131"/>
      <c r="P20" s="3204"/>
      <c r="Q20" s="1801"/>
      <c r="R20" s="774"/>
      <c r="S20" s="775"/>
      <c r="T20" s="774"/>
      <c r="U20" s="775"/>
      <c r="V20" s="774"/>
      <c r="W20" s="775"/>
      <c r="X20" s="1804"/>
      <c r="Y20" s="3197"/>
      <c r="Z20" s="1805"/>
      <c r="AA20" s="1802">
        <v>1</v>
      </c>
      <c r="AB20" s="1802">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0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2667">
        <f t="shared" ref="AC21" si="10">D21/J21</f>
        <v>1</v>
      </c>
    </row>
    <row r="22" spans="1:29" ht="15">
      <c r="A22" s="428"/>
      <c r="B22" s="633"/>
      <c r="C22" s="3311" t="s">
        <v>3313</v>
      </c>
      <c r="D22" s="448"/>
      <c r="E22" s="3310" t="s">
        <v>3313</v>
      </c>
      <c r="F22" s="448"/>
      <c r="G22" s="3309" t="s">
        <v>3313</v>
      </c>
      <c r="H22" s="448"/>
      <c r="I22" s="3309" t="s">
        <v>3313</v>
      </c>
      <c r="J22" s="448"/>
      <c r="K22" s="1382"/>
      <c r="L22" s="1140"/>
      <c r="M22" s="1131"/>
      <c r="N22" s="1131"/>
      <c r="O22" s="1131"/>
      <c r="P22" s="3204"/>
      <c r="Q22" s="1801"/>
      <c r="R22" s="774"/>
      <c r="S22" s="775"/>
      <c r="T22" s="774"/>
      <c r="U22" s="775"/>
      <c r="V22" s="774"/>
      <c r="W22" s="775"/>
      <c r="X22" s="1804"/>
      <c r="Y22" s="3197"/>
      <c r="Z22" s="1805"/>
      <c r="AA22" s="1802">
        <v>1</v>
      </c>
      <c r="AB22" s="1802">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04"/>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2667">
        <f t="shared" si="5"/>
        <v>1</v>
      </c>
    </row>
    <row r="24" spans="1:29" ht="15">
      <c r="A24" s="428"/>
      <c r="B24" s="633"/>
      <c r="C24" s="3309" t="s">
        <v>3312</v>
      </c>
      <c r="D24" s="448"/>
      <c r="E24" s="3314" t="s">
        <v>3312</v>
      </c>
      <c r="F24" s="448"/>
      <c r="G24" s="3315" t="s">
        <v>3312</v>
      </c>
      <c r="H24" s="448"/>
      <c r="I24" s="3315" t="s">
        <v>3312</v>
      </c>
      <c r="J24" s="448"/>
      <c r="K24" s="615"/>
      <c r="L24" s="1140"/>
      <c r="M24" s="1131"/>
      <c r="N24" s="1131"/>
      <c r="O24" s="1131"/>
      <c r="P24" s="3204"/>
      <c r="Q24" s="1801"/>
      <c r="R24" s="774"/>
      <c r="S24" s="775"/>
      <c r="T24" s="774"/>
      <c r="U24" s="775"/>
      <c r="V24" s="774"/>
      <c r="W24" s="775"/>
      <c r="X24" s="1804"/>
      <c r="Y24" s="3197"/>
      <c r="Z24" s="1805"/>
      <c r="AA24" s="1802">
        <v>1</v>
      </c>
      <c r="AB24" s="1802">
        <v>1</v>
      </c>
      <c r="AC24" s="2667">
        <v>1</v>
      </c>
    </row>
    <row r="25" spans="1:29" ht="27">
      <c r="A25" s="404"/>
      <c r="B25" s="631" t="s">
        <v>2691</v>
      </c>
      <c r="C25" s="2608"/>
      <c r="D25" s="435">
        <v>100</v>
      </c>
      <c r="E25" s="434"/>
      <c r="F25" s="435">
        <f>SUMIF(87:87,E26,88:88)-SUMIF(87:87,C26,88:88)+100</f>
        <v>96</v>
      </c>
      <c r="G25" s="2608"/>
      <c r="H25" s="435">
        <f>SUMIF(87:87,G26,88:88)-SUMIF(87:87,C26,88:88)+100</f>
        <v>100</v>
      </c>
      <c r="I25" s="434"/>
      <c r="J25" s="435">
        <f>SUMIF(87:87,I26,88:88)-SUMIF(87:87,C26,88:88)+100</f>
        <v>100</v>
      </c>
      <c r="K25" s="614">
        <v>2</v>
      </c>
      <c r="L25" s="1140"/>
      <c r="M25" s="1131"/>
      <c r="N25" s="1131"/>
      <c r="O25" s="1131"/>
      <c r="P25" s="3204"/>
      <c r="Q25" s="1801" t="str">
        <f>B25</f>
        <v>毗邻道路的类型与等级</v>
      </c>
      <c r="R25" s="774" t="s">
        <v>17</v>
      </c>
      <c r="S25" s="775">
        <f>F25</f>
        <v>96</v>
      </c>
      <c r="T25" s="774" t="s">
        <v>17</v>
      </c>
      <c r="U25" s="775">
        <f>H25</f>
        <v>100</v>
      </c>
      <c r="V25" s="774" t="s">
        <v>17</v>
      </c>
      <c r="W25" s="775">
        <f>J25</f>
        <v>100</v>
      </c>
      <c r="X25" s="1804"/>
      <c r="Y25" s="3197"/>
      <c r="Z25" s="1805" t="str">
        <f>Q25</f>
        <v>毗邻道路的类型与等级</v>
      </c>
      <c r="AA25" s="1802">
        <f t="shared" si="3"/>
        <v>1.0416666666666667</v>
      </c>
      <c r="AB25" s="1802">
        <f t="shared" si="4"/>
        <v>1</v>
      </c>
      <c r="AC25" s="2667">
        <f t="shared" si="5"/>
        <v>1</v>
      </c>
    </row>
    <row r="26" spans="1:29" ht="15">
      <c r="A26" s="404"/>
      <c r="B26" s="632"/>
      <c r="C26" s="3316" t="s">
        <v>3314</v>
      </c>
      <c r="D26" s="435"/>
      <c r="E26" s="3317" t="s">
        <v>3315</v>
      </c>
      <c r="F26" s="435"/>
      <c r="G26" s="3316" t="s">
        <v>3314</v>
      </c>
      <c r="H26" s="435"/>
      <c r="I26" s="3317" t="s">
        <v>3314</v>
      </c>
      <c r="J26" s="435"/>
      <c r="K26" s="615"/>
      <c r="L26" s="1140"/>
      <c r="M26" s="1131"/>
      <c r="N26" s="1131"/>
      <c r="O26" s="1131"/>
      <c r="P26" s="3204"/>
      <c r="Q26" s="1801"/>
      <c r="R26" s="774"/>
      <c r="S26" s="775"/>
      <c r="T26" s="774"/>
      <c r="U26" s="775"/>
      <c r="V26" s="774"/>
      <c r="W26" s="775"/>
      <c r="X26" s="1804"/>
      <c r="Y26" s="3197"/>
      <c r="Z26" s="1805"/>
      <c r="AA26" s="1802">
        <v>1</v>
      </c>
      <c r="AB26" s="1802">
        <v>1</v>
      </c>
      <c r="AC26" s="2667">
        <v>1</v>
      </c>
    </row>
    <row r="27" spans="1:29" ht="15">
      <c r="A27" s="428"/>
      <c r="B27" s="632" t="s">
        <v>2659</v>
      </c>
      <c r="C27" s="3316" t="s">
        <v>3316</v>
      </c>
      <c r="D27" s="435">
        <v>100</v>
      </c>
      <c r="E27" s="3317" t="s">
        <v>3317</v>
      </c>
      <c r="F27" s="435">
        <f>SUMIF(89:89,E27,90:90)-SUMIF(89:89,C27,90:90)+100</f>
        <v>105</v>
      </c>
      <c r="G27" s="3316" t="s">
        <v>3317</v>
      </c>
      <c r="H27" s="435">
        <f>SUMIF(89:89,G27,90:90)-SUMIF(89:89,C27,90:90)+100</f>
        <v>105</v>
      </c>
      <c r="I27" s="3317" t="s">
        <v>3318</v>
      </c>
      <c r="J27" s="435">
        <f>SUMIF(89:89,I27,90:90)-SUMIF(89:89,C27,90:90)+100</f>
        <v>105</v>
      </c>
      <c r="K27" s="612">
        <v>5</v>
      </c>
      <c r="L27" s="1140"/>
      <c r="M27" s="1131"/>
      <c r="N27" s="1131"/>
      <c r="O27" s="1131"/>
      <c r="P27" s="3204"/>
      <c r="Q27" s="1801" t="str">
        <f t="shared" ref="Q27:Q47" si="11">B27</f>
        <v>楼层</v>
      </c>
      <c r="R27" s="774" t="s">
        <v>17</v>
      </c>
      <c r="S27" s="775">
        <f>F27</f>
        <v>105</v>
      </c>
      <c r="T27" s="774" t="s">
        <v>17</v>
      </c>
      <c r="U27" s="775">
        <f>H27</f>
        <v>105</v>
      </c>
      <c r="V27" s="774" t="s">
        <v>17</v>
      </c>
      <c r="W27" s="775">
        <f>J27</f>
        <v>105</v>
      </c>
      <c r="X27" s="1804"/>
      <c r="Y27" s="3197"/>
      <c r="Z27" s="1805" t="str">
        <f>Q27</f>
        <v>楼层</v>
      </c>
      <c r="AA27" s="1802">
        <f t="shared" si="3"/>
        <v>0.95238095238095233</v>
      </c>
      <c r="AB27" s="1802">
        <f t="shared" si="4"/>
        <v>0.95238095238095233</v>
      </c>
      <c r="AC27" s="2667">
        <f t="shared" si="5"/>
        <v>0.95238095238095233</v>
      </c>
    </row>
    <row r="28" spans="1:29" s="117" customFormat="1" ht="15">
      <c r="A28" s="431"/>
      <c r="B28" s="631" t="s">
        <v>2692</v>
      </c>
      <c r="C28" s="2669"/>
      <c r="D28" s="462">
        <v>100</v>
      </c>
      <c r="E28" s="2658"/>
      <c r="F28" s="462">
        <f>SUMIF(91:91,E28,92:92)-SUMIF(91:91,C28,92:92)+100</f>
        <v>100</v>
      </c>
      <c r="G28" s="2669"/>
      <c r="H28" s="462">
        <f>SUMIF(91:91,G28,92:92)-SUMIF(91:91,C28,92:92)+100</f>
        <v>100</v>
      </c>
      <c r="I28" s="2658"/>
      <c r="J28" s="462">
        <f>SUMIF(91:91,I28,92:92)-SUMIF(91:91,C28,92:92)+100</f>
        <v>100</v>
      </c>
      <c r="K28" s="612"/>
      <c r="L28" s="1132"/>
      <c r="M28" s="1133"/>
      <c r="N28" s="1133"/>
      <c r="O28" s="1133"/>
      <c r="P28" s="3204"/>
      <c r="Q28" s="1786" t="str">
        <f t="shared" si="11"/>
        <v>朝向</v>
      </c>
      <c r="R28" s="770" t="s">
        <v>17</v>
      </c>
      <c r="S28" s="771">
        <f>F28</f>
        <v>100</v>
      </c>
      <c r="T28" s="770" t="s">
        <v>17</v>
      </c>
      <c r="U28" s="771">
        <f>H28</f>
        <v>100</v>
      </c>
      <c r="V28" s="770" t="s">
        <v>17</v>
      </c>
      <c r="W28" s="771">
        <f>J28</f>
        <v>100</v>
      </c>
      <c r="X28" s="772"/>
      <c r="Y28" s="3197"/>
      <c r="Z28" s="55" t="str">
        <f>Q28</f>
        <v>朝向</v>
      </c>
      <c r="AA28" s="1802">
        <f>D28/F28</f>
        <v>1</v>
      </c>
      <c r="AB28" s="1802">
        <f>D28/H28</f>
        <v>1</v>
      </c>
      <c r="AC28" s="2667">
        <f>D28/J28</f>
        <v>1</v>
      </c>
    </row>
    <row r="29" spans="1:29" ht="15">
      <c r="A29" s="428"/>
      <c r="B29" s="2670">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04"/>
      <c r="Q29" s="1801">
        <f t="shared" si="11"/>
        <v>111</v>
      </c>
      <c r="R29" s="774" t="s">
        <v>17</v>
      </c>
      <c r="S29" s="775">
        <f t="shared" ref="S29:S47" si="12">F29</f>
        <v>100</v>
      </c>
      <c r="T29" s="774" t="s">
        <v>17</v>
      </c>
      <c r="U29" s="775">
        <f t="shared" ref="U29:U47" si="13">H29</f>
        <v>100</v>
      </c>
      <c r="V29" s="774" t="s">
        <v>17</v>
      </c>
      <c r="W29" s="775">
        <f t="shared" ref="W29:W47" si="14">J29</f>
        <v>100</v>
      </c>
      <c r="X29" s="1804"/>
      <c r="Y29" s="3197"/>
      <c r="Z29" s="1805">
        <f t="shared" ref="Z29:Z47" si="15">Q29</f>
        <v>111</v>
      </c>
      <c r="AA29" s="1802">
        <f t="shared" si="3"/>
        <v>1</v>
      </c>
      <c r="AB29" s="1802">
        <f t="shared" si="4"/>
        <v>1</v>
      </c>
      <c r="AC29" s="2667">
        <f t="shared" si="5"/>
        <v>1</v>
      </c>
    </row>
    <row r="30" spans="1:29" ht="15">
      <c r="A30" s="428"/>
      <c r="B30" s="2670">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04"/>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2667">
        <f t="shared" si="5"/>
        <v>1</v>
      </c>
    </row>
    <row r="31" spans="1:29" ht="15">
      <c r="A31" s="428"/>
      <c r="B31" s="2670">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04"/>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04"/>
      <c r="Q32" s="1801">
        <f t="shared" si="11"/>
        <v>111</v>
      </c>
      <c r="R32" s="774" t="s">
        <v>17</v>
      </c>
      <c r="S32" s="775">
        <f t="shared" si="12"/>
        <v>100</v>
      </c>
      <c r="T32" s="774" t="s">
        <v>17</v>
      </c>
      <c r="U32" s="775">
        <f t="shared" si="13"/>
        <v>100</v>
      </c>
      <c r="V32" s="774" t="s">
        <v>17</v>
      </c>
      <c r="W32" s="775">
        <f t="shared" si="14"/>
        <v>100</v>
      </c>
      <c r="X32" s="1804"/>
      <c r="Y32" s="3197"/>
      <c r="Z32" s="1805">
        <f t="shared" si="15"/>
        <v>111</v>
      </c>
      <c r="AA32" s="1802">
        <f t="shared" si="3"/>
        <v>1</v>
      </c>
      <c r="AB32" s="1802">
        <f t="shared" si="4"/>
        <v>1</v>
      </c>
      <c r="AC32" s="2667">
        <f t="shared" si="5"/>
        <v>1</v>
      </c>
    </row>
    <row r="33" spans="1:29" ht="15">
      <c r="A33" s="440" t="s">
        <v>2563</v>
      </c>
      <c r="B33" s="71" t="s">
        <v>2693</v>
      </c>
      <c r="C33" s="3318" t="s">
        <v>3319</v>
      </c>
      <c r="D33" s="467">
        <v>100</v>
      </c>
      <c r="E33" s="3318" t="s">
        <v>3319</v>
      </c>
      <c r="F33" s="461">
        <f>SUMIF(101:101,E33,102:102)-SUMIF(101:101,C33,102:102)+100</f>
        <v>100</v>
      </c>
      <c r="G33" s="3318" t="s">
        <v>3319</v>
      </c>
      <c r="H33" s="435">
        <f>SUMIF(101:101,G33,102:102)-SUMIF(101:101,C33,102:102)+100</f>
        <v>100</v>
      </c>
      <c r="I33" s="3318" t="s">
        <v>3319</v>
      </c>
      <c r="J33" s="467">
        <f>SUMIF(101:101,I33,102:102)-SUMIF(101:101,C33,102:102)+100</f>
        <v>100</v>
      </c>
      <c r="K33" s="612">
        <v>2</v>
      </c>
      <c r="L33" s="1140"/>
      <c r="M33" s="1131"/>
      <c r="N33" s="1131"/>
      <c r="O33" s="1131"/>
      <c r="P33" s="3198" t="s">
        <v>2565</v>
      </c>
      <c r="Q33" s="1801" t="str">
        <f t="shared" si="11"/>
        <v>建筑类型</v>
      </c>
      <c r="R33" s="774" t="s">
        <v>17</v>
      </c>
      <c r="S33" s="775">
        <f t="shared" si="12"/>
        <v>100</v>
      </c>
      <c r="T33" s="774" t="s">
        <v>17</v>
      </c>
      <c r="U33" s="775">
        <f t="shared" si="13"/>
        <v>100</v>
      </c>
      <c r="V33" s="774" t="s">
        <v>17</v>
      </c>
      <c r="W33" s="775">
        <f t="shared" si="14"/>
        <v>100</v>
      </c>
      <c r="X33" s="1804"/>
      <c r="Y33" s="3201" t="s">
        <v>2565</v>
      </c>
      <c r="Z33" s="1805" t="str">
        <f t="shared" si="15"/>
        <v>建筑类型</v>
      </c>
      <c r="AA33" s="1802">
        <f t="shared" si="3"/>
        <v>1</v>
      </c>
      <c r="AB33" s="1802">
        <f t="shared" si="4"/>
        <v>1</v>
      </c>
      <c r="AC33" s="2667">
        <f t="shared" si="5"/>
        <v>1</v>
      </c>
    </row>
    <row r="34" spans="1:29" s="471" customFormat="1" ht="15">
      <c r="A34" s="468"/>
      <c r="B34" s="422" t="s">
        <v>2566</v>
      </c>
      <c r="C34" s="469">
        <f>'数据-基础表'!I13</f>
        <v>112.45</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199"/>
      <c r="Q34" s="776" t="str">
        <f t="shared" si="11"/>
        <v>项目建筑规模</v>
      </c>
      <c r="R34" s="777" t="s">
        <v>17</v>
      </c>
      <c r="S34" s="778">
        <f t="shared" si="12"/>
        <v>100</v>
      </c>
      <c r="T34" s="777" t="s">
        <v>17</v>
      </c>
      <c r="U34" s="778">
        <f t="shared" si="13"/>
        <v>94</v>
      </c>
      <c r="V34" s="777" t="s">
        <v>17</v>
      </c>
      <c r="W34" s="778">
        <f t="shared" si="14"/>
        <v>98</v>
      </c>
      <c r="X34" s="779"/>
      <c r="Y34" s="3201"/>
      <c r="Z34" s="780" t="str">
        <f t="shared" si="15"/>
        <v>项目建筑规模</v>
      </c>
      <c r="AA34" s="1802">
        <f t="shared" si="3"/>
        <v>1</v>
      </c>
      <c r="AB34" s="1802">
        <f t="shared" si="4"/>
        <v>1.0638297872340425</v>
      </c>
      <c r="AC34" s="2667">
        <f t="shared" si="5"/>
        <v>1.0204081632653061</v>
      </c>
    </row>
    <row r="35" spans="1:29" ht="15">
      <c r="A35" s="472"/>
      <c r="B35" s="422" t="s">
        <v>2567</v>
      </c>
      <c r="C35" s="3319" t="s">
        <v>3320</v>
      </c>
      <c r="D35" s="435">
        <v>100</v>
      </c>
      <c r="E35" s="3319" t="s">
        <v>3320</v>
      </c>
      <c r="F35" s="461">
        <f>SUMIF(106:106,E35,107:107)-SUMIF(106:106,C35,107:107)+100</f>
        <v>100</v>
      </c>
      <c r="G35" s="3319" t="s">
        <v>3320</v>
      </c>
      <c r="H35" s="435">
        <f>SUMIF(106:106,G35,107:107)-SUMIF(106:106,C35,107:107)+100</f>
        <v>100</v>
      </c>
      <c r="I35" s="3319" t="s">
        <v>3320</v>
      </c>
      <c r="J35" s="435">
        <f>SUMIF(106:106,I35,107:107)-SUMIF(106:106,C35,107:107)+100</f>
        <v>100</v>
      </c>
      <c r="K35" s="612">
        <v>2</v>
      </c>
      <c r="L35" s="1140"/>
      <c r="M35" s="1131"/>
      <c r="N35" s="1131"/>
      <c r="O35" s="1131"/>
      <c r="P35" s="3199"/>
      <c r="Q35" s="1801" t="str">
        <f t="shared" si="11"/>
        <v>建筑结构</v>
      </c>
      <c r="R35" s="774" t="s">
        <v>17</v>
      </c>
      <c r="S35" s="775">
        <f t="shared" si="12"/>
        <v>100</v>
      </c>
      <c r="T35" s="774" t="s">
        <v>17</v>
      </c>
      <c r="U35" s="775">
        <f t="shared" si="13"/>
        <v>100</v>
      </c>
      <c r="V35" s="774" t="s">
        <v>17</v>
      </c>
      <c r="W35" s="775">
        <f t="shared" si="14"/>
        <v>100</v>
      </c>
      <c r="X35" s="1804"/>
      <c r="Y35" s="3201"/>
      <c r="Z35" s="1805" t="str">
        <f t="shared" si="15"/>
        <v>建筑结构</v>
      </c>
      <c r="AA35" s="1802">
        <f t="shared" si="3"/>
        <v>1</v>
      </c>
      <c r="AB35" s="1802">
        <f t="shared" si="4"/>
        <v>1</v>
      </c>
      <c r="AC35" s="2667">
        <f t="shared" si="5"/>
        <v>1</v>
      </c>
    </row>
    <row r="36" spans="1:29" ht="15">
      <c r="A36" s="472"/>
      <c r="B36" s="422" t="s">
        <v>2661</v>
      </c>
      <c r="C36" s="3319" t="s">
        <v>3321</v>
      </c>
      <c r="D36" s="435">
        <v>100</v>
      </c>
      <c r="E36" s="3319" t="s">
        <v>3321</v>
      </c>
      <c r="F36" s="461">
        <f>SUMIF(108:108,E36,109:109)-SUMIF(108:108,C36,109:109)+100</f>
        <v>100</v>
      </c>
      <c r="G36" s="3319" t="s">
        <v>3321</v>
      </c>
      <c r="H36" s="435">
        <f>SUMIF(108:108,G36,109:109)-SUMIF(108:108,C36,109:109)+100</f>
        <v>100</v>
      </c>
      <c r="I36" s="3319" t="s">
        <v>3321</v>
      </c>
      <c r="J36" s="435">
        <f>SUMIF(108:108,I36,109:109)-SUMIF(108:108,C36,109:109)+100</f>
        <v>100</v>
      </c>
      <c r="K36" s="612">
        <v>2</v>
      </c>
      <c r="L36" s="1140"/>
      <c r="M36" s="1131"/>
      <c r="N36" s="1131"/>
      <c r="O36" s="1131"/>
      <c r="P36" s="3199"/>
      <c r="Q36" s="1801" t="str">
        <f t="shared" si="11"/>
        <v>公共部分装修</v>
      </c>
      <c r="R36" s="774" t="s">
        <v>17</v>
      </c>
      <c r="S36" s="775">
        <f t="shared" si="12"/>
        <v>100</v>
      </c>
      <c r="T36" s="774" t="s">
        <v>17</v>
      </c>
      <c r="U36" s="775">
        <f t="shared" si="13"/>
        <v>100</v>
      </c>
      <c r="V36" s="774" t="s">
        <v>17</v>
      </c>
      <c r="W36" s="775">
        <f t="shared" si="14"/>
        <v>100</v>
      </c>
      <c r="X36" s="1804"/>
      <c r="Y36" s="3201"/>
      <c r="Z36" s="1805" t="str">
        <f t="shared" si="15"/>
        <v>公共部分装修</v>
      </c>
      <c r="AA36" s="1802">
        <f t="shared" si="3"/>
        <v>1</v>
      </c>
      <c r="AB36" s="1802">
        <f t="shared" si="4"/>
        <v>1</v>
      </c>
      <c r="AC36" s="2667">
        <f t="shared" si="5"/>
        <v>1</v>
      </c>
    </row>
    <row r="37" spans="1:29" ht="15">
      <c r="A37" s="472"/>
      <c r="B37" s="422" t="s">
        <v>2662</v>
      </c>
      <c r="C37" s="474">
        <v>0.98</v>
      </c>
      <c r="D37" s="435">
        <v>100</v>
      </c>
      <c r="E37" s="474">
        <v>0.95</v>
      </c>
      <c r="F37" s="461">
        <f>LOOKUP(E37,111:111,112:112)-LOOKUP(C37,111:111,112:112)+100</f>
        <v>100</v>
      </c>
      <c r="G37" s="474">
        <v>0.97</v>
      </c>
      <c r="H37" s="461">
        <f>LOOKUP(G37,111:111,112:112)-LOOKUP(C37,111:111,112:112)+100</f>
        <v>100</v>
      </c>
      <c r="I37" s="474">
        <v>0.92</v>
      </c>
      <c r="J37" s="435">
        <f>LOOKUP(I37,111:111,112:112)-LOOKUP(C37,111:111,112:112)+100</f>
        <v>100</v>
      </c>
      <c r="K37" s="612">
        <v>2</v>
      </c>
      <c r="L37" s="1140"/>
      <c r="M37" s="1131"/>
      <c r="N37" s="1131"/>
      <c r="O37" s="1131"/>
      <c r="P37" s="3199"/>
      <c r="Q37" s="1801" t="str">
        <f t="shared" si="11"/>
        <v>成新度</v>
      </c>
      <c r="R37" s="774" t="s">
        <v>17</v>
      </c>
      <c r="S37" s="775">
        <f t="shared" si="12"/>
        <v>100</v>
      </c>
      <c r="T37" s="774" t="s">
        <v>17</v>
      </c>
      <c r="U37" s="775">
        <f t="shared" si="13"/>
        <v>100</v>
      </c>
      <c r="V37" s="774" t="s">
        <v>17</v>
      </c>
      <c r="W37" s="775">
        <f t="shared" si="14"/>
        <v>100</v>
      </c>
      <c r="X37" s="1804"/>
      <c r="Y37" s="3201"/>
      <c r="Z37" s="1805" t="str">
        <f t="shared" si="15"/>
        <v>成新度</v>
      </c>
      <c r="AA37" s="1802">
        <f t="shared" si="3"/>
        <v>1</v>
      </c>
      <c r="AB37" s="1802">
        <f t="shared" si="4"/>
        <v>1</v>
      </c>
      <c r="AC37" s="2667">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199"/>
      <c r="Q38" s="1786"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199" t="s">
        <v>2565</v>
      </c>
      <c r="Q39" s="1801" t="str">
        <f t="shared" si="11"/>
        <v>物业管理</v>
      </c>
      <c r="R39" s="774" t="s">
        <v>17</v>
      </c>
      <c r="S39" s="775">
        <f t="shared" si="12"/>
        <v>100</v>
      </c>
      <c r="T39" s="774" t="s">
        <v>17</v>
      </c>
      <c r="U39" s="775">
        <f t="shared" si="13"/>
        <v>100</v>
      </c>
      <c r="V39" s="774" t="s">
        <v>17</v>
      </c>
      <c r="W39" s="775">
        <f t="shared" si="14"/>
        <v>100</v>
      </c>
      <c r="X39" s="1804"/>
      <c r="Y39" s="3201"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199"/>
      <c r="Q40" s="1801" t="str">
        <f t="shared" si="11"/>
        <v>市政基础设施</v>
      </c>
      <c r="R40" s="774" t="s">
        <v>17</v>
      </c>
      <c r="S40" s="775">
        <f t="shared" si="12"/>
        <v>100</v>
      </c>
      <c r="T40" s="774" t="s">
        <v>17</v>
      </c>
      <c r="U40" s="775">
        <f t="shared" si="13"/>
        <v>100</v>
      </c>
      <c r="V40" s="774" t="s">
        <v>17</v>
      </c>
      <c r="W40" s="775">
        <f t="shared" si="14"/>
        <v>100</v>
      </c>
      <c r="X40" s="1804"/>
      <c r="Y40" s="3201"/>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199"/>
      <c r="Q41" s="1801" t="str">
        <f t="shared" si="11"/>
        <v>层高</v>
      </c>
      <c r="R41" s="774" t="s">
        <v>17</v>
      </c>
      <c r="S41" s="775">
        <f t="shared" si="12"/>
        <v>100</v>
      </c>
      <c r="T41" s="774" t="s">
        <v>17</v>
      </c>
      <c r="U41" s="775">
        <f t="shared" si="13"/>
        <v>100</v>
      </c>
      <c r="V41" s="774" t="s">
        <v>17</v>
      </c>
      <c r="W41" s="775">
        <f t="shared" si="14"/>
        <v>100</v>
      </c>
      <c r="X41" s="1804"/>
      <c r="Y41" s="3201"/>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02">
        <f t="shared" si="3"/>
        <v>1</v>
      </c>
      <c r="AB42" s="1802">
        <f t="shared" si="4"/>
        <v>1</v>
      </c>
      <c r="AC42" s="2667">
        <f t="shared" si="5"/>
        <v>1</v>
      </c>
    </row>
    <row r="43" spans="1:29" ht="15">
      <c r="A43" s="472"/>
      <c r="B43" s="422" t="s">
        <v>2668</v>
      </c>
      <c r="C43" s="3319" t="s">
        <v>3322</v>
      </c>
      <c r="D43" s="435">
        <v>100</v>
      </c>
      <c r="E43" s="3319" t="s">
        <v>3323</v>
      </c>
      <c r="F43" s="461">
        <f>SUMIF(123:123,E43,124:124)-SUMIF(123:123,C43,124:124)+100</f>
        <v>104</v>
      </c>
      <c r="G43" s="3319" t="s">
        <v>3323</v>
      </c>
      <c r="H43" s="435">
        <f>SUMIF(123:123,G43,124:124)-SUMIF(123:123,C43,124:124)+100</f>
        <v>104</v>
      </c>
      <c r="I43" s="3319" t="s">
        <v>3323</v>
      </c>
      <c r="J43" s="435">
        <f>SUMIF(123:123,I43,124:124)-SUMIF(123:123,C43,124:124)+100</f>
        <v>104</v>
      </c>
      <c r="K43" s="612">
        <v>2</v>
      </c>
      <c r="L43" s="1140"/>
      <c r="M43" s="1131"/>
      <c r="N43" s="1131"/>
      <c r="O43" s="1131"/>
      <c r="P43" s="3199"/>
      <c r="Q43" s="1801" t="str">
        <f t="shared" si="11"/>
        <v>内部装修</v>
      </c>
      <c r="R43" s="774" t="s">
        <v>17</v>
      </c>
      <c r="S43" s="775">
        <f t="shared" si="12"/>
        <v>104</v>
      </c>
      <c r="T43" s="774" t="s">
        <v>17</v>
      </c>
      <c r="U43" s="775">
        <f t="shared" si="13"/>
        <v>104</v>
      </c>
      <c r="V43" s="774" t="s">
        <v>17</v>
      </c>
      <c r="W43" s="775">
        <f t="shared" si="14"/>
        <v>104</v>
      </c>
      <c r="X43" s="1804"/>
      <c r="Y43" s="3201"/>
      <c r="Z43" s="1805" t="str">
        <f t="shared" si="15"/>
        <v>内部装修</v>
      </c>
      <c r="AA43" s="1802">
        <f t="shared" si="3"/>
        <v>0.96153846153846156</v>
      </c>
      <c r="AB43" s="1802">
        <f t="shared" si="4"/>
        <v>0.96153846153846156</v>
      </c>
      <c r="AC43" s="2667">
        <f t="shared" si="5"/>
        <v>0.96153846153846156</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v>2</v>
      </c>
      <c r="L44" s="1140"/>
      <c r="M44" s="1131"/>
      <c r="N44" s="1131"/>
      <c r="O44" s="1131"/>
      <c r="P44" s="3199"/>
      <c r="Q44" s="1801" t="str">
        <f t="shared" si="11"/>
        <v>内部装修维护情况</v>
      </c>
      <c r="R44" s="774" t="s">
        <v>17</v>
      </c>
      <c r="S44" s="775">
        <f t="shared" si="12"/>
        <v>100</v>
      </c>
      <c r="T44" s="774" t="s">
        <v>17</v>
      </c>
      <c r="U44" s="775">
        <f t="shared" si="13"/>
        <v>100</v>
      </c>
      <c r="V44" s="774" t="s">
        <v>17</v>
      </c>
      <c r="W44" s="775">
        <f t="shared" si="14"/>
        <v>100</v>
      </c>
      <c r="X44" s="1804"/>
      <c r="Y44" s="3201"/>
      <c r="Z44" s="1805" t="str">
        <f t="shared" si="15"/>
        <v>内部装修维护情况</v>
      </c>
      <c r="AA44" s="1802">
        <f t="shared" si="3"/>
        <v>1</v>
      </c>
      <c r="AB44" s="1802">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9"/>
      <c r="Q45" s="1786">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9"/>
      <c r="Q46" s="1801">
        <f t="shared" si="11"/>
        <v>111</v>
      </c>
      <c r="R46" s="774" t="s">
        <v>17</v>
      </c>
      <c r="S46" s="775">
        <f t="shared" si="12"/>
        <v>100</v>
      </c>
      <c r="T46" s="774" t="s">
        <v>17</v>
      </c>
      <c r="U46" s="775">
        <f t="shared" si="13"/>
        <v>100</v>
      </c>
      <c r="V46" s="774" t="s">
        <v>17</v>
      </c>
      <c r="W46" s="775">
        <f t="shared" si="14"/>
        <v>100</v>
      </c>
      <c r="X46" s="1804"/>
      <c r="Y46" s="3201"/>
      <c r="Z46" s="1805">
        <f t="shared" si="15"/>
        <v>111</v>
      </c>
      <c r="AA46" s="1802">
        <f t="shared" si="3"/>
        <v>1</v>
      </c>
      <c r="AB46" s="1802">
        <f t="shared" si="4"/>
        <v>1</v>
      </c>
      <c r="AC46" s="2667">
        <f t="shared" si="5"/>
        <v>1</v>
      </c>
    </row>
    <row r="47" spans="1:29" ht="15.75" thickBot="1">
      <c r="A47" s="478"/>
      <c r="B47" s="2595">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0"/>
      <c r="Q47" s="1801">
        <f t="shared" si="11"/>
        <v>0.95</v>
      </c>
      <c r="R47" s="774" t="s">
        <v>17</v>
      </c>
      <c r="S47" s="775">
        <f t="shared" si="12"/>
        <v>100</v>
      </c>
      <c r="T47" s="774" t="s">
        <v>17</v>
      </c>
      <c r="U47" s="775">
        <f t="shared" si="13"/>
        <v>100</v>
      </c>
      <c r="V47" s="774" t="s">
        <v>17</v>
      </c>
      <c r="W47" s="775">
        <f t="shared" si="14"/>
        <v>100</v>
      </c>
      <c r="X47" s="1804"/>
      <c r="Y47" s="3202"/>
      <c r="Z47" s="1805">
        <f t="shared" si="15"/>
        <v>0.95</v>
      </c>
      <c r="AA47" s="1802">
        <f t="shared" si="3"/>
        <v>1</v>
      </c>
      <c r="AB47" s="1802">
        <f t="shared" si="4"/>
        <v>1</v>
      </c>
      <c r="AC47" s="2667">
        <f t="shared" si="5"/>
        <v>1</v>
      </c>
    </row>
    <row r="48" spans="1:29" ht="15">
      <c r="A48" s="479" t="s">
        <v>2577</v>
      </c>
      <c r="B48" s="480"/>
      <c r="C48" s="1406" t="s">
        <v>1</v>
      </c>
      <c r="D48" s="1407"/>
      <c r="E48" s="1408">
        <f>B47*Sheet2!C1</f>
        <v>29925</v>
      </c>
      <c r="F48" s="1409"/>
      <c r="G48" s="1410">
        <f>B47*Sheet2!C2</f>
        <v>27550</v>
      </c>
      <c r="H48" s="1411"/>
      <c r="I48" s="1408">
        <f>ROUND(B47*Sheet2!C3,0)</f>
        <v>25635</v>
      </c>
      <c r="J48" s="485"/>
      <c r="K48" s="783"/>
      <c r="L48" s="1143"/>
      <c r="M48" s="1131"/>
      <c r="N48" s="1131"/>
      <c r="O48" s="1131"/>
      <c r="P48" s="3205" t="str">
        <f>A48</f>
        <v>成交单价（元/平方米）</v>
      </c>
      <c r="Q48" s="3194"/>
      <c r="R48" s="3195">
        <f>E48</f>
        <v>29925</v>
      </c>
      <c r="S48" s="3195"/>
      <c r="T48" s="3195">
        <f>G48</f>
        <v>27550</v>
      </c>
      <c r="U48" s="3195"/>
      <c r="V48" s="3195">
        <f>I48</f>
        <v>25635</v>
      </c>
      <c r="W48" s="3195"/>
      <c r="X48" s="446"/>
      <c r="Y48" s="781"/>
      <c r="Z48" s="446"/>
      <c r="AA48" s="446"/>
      <c r="AB48" s="446"/>
      <c r="AC48" s="630"/>
    </row>
    <row r="49" spans="1:29" ht="15.75" thickBot="1">
      <c r="A49" s="486" t="s">
        <v>2669</v>
      </c>
      <c r="B49" s="487"/>
      <c r="C49" s="1412">
        <f>R50</f>
        <v>24704</v>
      </c>
      <c r="D49" s="1413"/>
      <c r="E49" s="1414">
        <f>R49</f>
        <v>27171</v>
      </c>
      <c r="F49" s="1414"/>
      <c r="G49" s="1412">
        <f>T49</f>
        <v>24803</v>
      </c>
      <c r="H49" s="1413"/>
      <c r="I49" s="1414">
        <f>V49</f>
        <v>22137</v>
      </c>
      <c r="J49" s="489"/>
      <c r="K49" s="784"/>
      <c r="L49" s="1143"/>
      <c r="M49" s="1131"/>
      <c r="N49" s="1131"/>
      <c r="O49" s="1131"/>
      <c r="P49" s="3205" t="str">
        <f>A49</f>
        <v>比较价值（元/平方米）</v>
      </c>
      <c r="Q49" s="3194"/>
      <c r="R49" s="3195">
        <f>IF(F1="售价",ROUND(PRODUCT(R48,AA7:AA47),0),ROUND(PRODUCT(R48,AA7:AA47),1))</f>
        <v>27171</v>
      </c>
      <c r="S49" s="3195"/>
      <c r="T49" s="3195">
        <f>IF(F1="售价",ROUND(PRODUCT(T48,AB7:AB47),0),ROUND(PRODUCT(T48,AB7:AB47),1))</f>
        <v>24803</v>
      </c>
      <c r="U49" s="3195"/>
      <c r="V49" s="3195">
        <f>IF(F1="售价",ROUND(PRODUCT(V48,AC7:AC47),0),ROUND(PRODUCT(V48,AC7:AC47),1))</f>
        <v>22137</v>
      </c>
      <c r="W49" s="3195"/>
      <c r="X49" s="446"/>
      <c r="Y49" s="446"/>
      <c r="Z49" s="446"/>
      <c r="AA49" s="446"/>
      <c r="AB49" s="446"/>
      <c r="AC49" s="630"/>
    </row>
    <row r="50" spans="1:29" ht="15.75" thickBot="1">
      <c r="A50" s="492" t="s">
        <v>2670</v>
      </c>
      <c r="B50" s="493"/>
      <c r="C50" s="1416">
        <f>R50</f>
        <v>24704</v>
      </c>
      <c r="D50" s="1416"/>
      <c r="E50" s="1416"/>
      <c r="F50" s="1416"/>
      <c r="G50" s="1416"/>
      <c r="H50" s="1416"/>
      <c r="I50" s="1416"/>
      <c r="J50" s="494"/>
      <c r="K50" s="785"/>
      <c r="L50" s="1143"/>
      <c r="M50" s="1131"/>
      <c r="N50" s="1131"/>
      <c r="O50" s="1131"/>
      <c r="P50" s="3237" t="str">
        <f>A50</f>
        <v>估价对象XX用房的比较价值（楼面单价，元/平方米）</v>
      </c>
      <c r="Q50" s="3238"/>
      <c r="R50" s="3239">
        <f>IF(F1="售价",ROUND(AVERAGE(R49:V49),0),ROUND(AVERAGE(R49:V49),1))</f>
        <v>24704</v>
      </c>
      <c r="S50" s="3239"/>
      <c r="T50" s="3239"/>
      <c r="U50" s="3239"/>
      <c r="V50" s="3239"/>
      <c r="W50" s="323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0.10135806558463067</v>
      </c>
      <c r="F53" s="500" t="str">
        <f>IF(OR(E53&gt;=0.3,E53&lt;=-0.3),"超过30%","")</f>
        <v/>
      </c>
      <c r="G53" s="499">
        <f>IF(G48&lt;G49,G49/G48-1,G48/G49-1)</f>
        <v>0.11075273152441234</v>
      </c>
      <c r="H53" s="500" t="str">
        <f>IF(OR(G53&gt;=0.3,G53&lt;=-0.3),"超过30%","")</f>
        <v/>
      </c>
      <c r="I53" s="499">
        <f>IF(I48&lt;I49,I49/I48-1,I48/I49-1)</f>
        <v>0.15801599132673805</v>
      </c>
      <c r="J53" s="500" t="str">
        <f>IF(OR(I53&gt;=0.3,I53&lt;=-0.3),"超过30%","")</f>
        <v/>
      </c>
      <c r="K53" s="1105"/>
      <c r="L53" s="1106"/>
      <c r="M53" s="1144"/>
      <c r="N53" s="1144"/>
      <c r="O53" s="1144"/>
    </row>
    <row r="54" spans="1:29" ht="13.5" customHeight="1">
      <c r="A54" s="1144"/>
      <c r="B54" s="1144"/>
      <c r="C54" s="497" t="s">
        <v>2672</v>
      </c>
      <c r="D54" s="501"/>
      <c r="E54" s="499">
        <f>IF(E49&lt;G49,G49/E49-1,E49/G49-1)</f>
        <v>9.5472321896544754E-2</v>
      </c>
      <c r="F54" s="500" t="str">
        <f>IF(OR(E54&gt;=0.2,E54&lt;=-0.2),"超过20%","")</f>
        <v/>
      </c>
      <c r="G54" s="499">
        <f>IF(G49&lt;I49,I49/G49-1,G49/I49-1)</f>
        <v>0.1204318561684059</v>
      </c>
      <c r="H54" s="500" t="str">
        <f>IF(OR(G54&gt;=0.2,G54&lt;=-0.2),"超过20%","")</f>
        <v/>
      </c>
      <c r="I54" s="499">
        <f>IF(I49&lt;E49,E49/I49-1,I49/E49-1)</f>
        <v>0.22740208700365905</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3"/>
      <c r="Q58" s="504"/>
    </row>
    <row r="59" spans="1:29" s="508" customFormat="1" ht="15">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2588</v>
      </c>
      <c r="B64" s="528" t="s">
        <v>2554</v>
      </c>
      <c r="C64" s="529" t="str">
        <f>C9</f>
        <v>公寓</v>
      </c>
      <c r="D64" s="3320" t="s">
        <v>3309</v>
      </c>
      <c r="E64" s="530"/>
      <c r="F64" s="530"/>
      <c r="G64" s="530"/>
      <c r="H64" s="530"/>
      <c r="I64" s="530"/>
      <c r="J64" s="530"/>
      <c r="K64" s="531"/>
      <c r="L64" s="532"/>
      <c r="M64" s="533"/>
      <c r="N64" s="1152"/>
      <c r="O64" s="1152"/>
      <c r="P64" s="2676"/>
      <c r="Q64" s="504"/>
    </row>
    <row r="65" spans="1:17" ht="15.75" thickBot="1">
      <c r="A65" s="534"/>
      <c r="B65" s="535"/>
      <c r="C65" s="536">
        <v>100</v>
      </c>
      <c r="D65" s="536">
        <v>102</v>
      </c>
      <c r="E65" s="536"/>
      <c r="F65" s="536"/>
      <c r="G65" s="536"/>
      <c r="H65" s="536"/>
      <c r="I65" s="536"/>
      <c r="J65" s="536"/>
      <c r="K65" s="536"/>
      <c r="L65" s="536"/>
      <c r="M65" s="537"/>
      <c r="N65" s="1153"/>
      <c r="O65" s="1153"/>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v>0</v>
      </c>
      <c r="D69" s="549">
        <v>1</v>
      </c>
      <c r="E69" s="549">
        <v>2</v>
      </c>
      <c r="F69" s="549">
        <v>3</v>
      </c>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7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7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76"/>
      <c r="Q86" s="504"/>
    </row>
    <row r="87" spans="1:17" s="117" customFormat="1" ht="27.75" thickTop="1">
      <c r="A87" s="579"/>
      <c r="B87" s="538" t="s">
        <v>2699</v>
      </c>
      <c r="C87" s="3321" t="s">
        <v>3324</v>
      </c>
      <c r="D87" s="3321" t="s">
        <v>3325</v>
      </c>
      <c r="E87" s="3321" t="s">
        <v>3315</v>
      </c>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76"/>
      <c r="Q88" s="504"/>
    </row>
    <row r="89" spans="1:17" s="117" customFormat="1" ht="15.75" thickTop="1">
      <c r="A89" s="579"/>
      <c r="B89" s="538" t="str">
        <f>B27</f>
        <v>楼层</v>
      </c>
      <c r="C89" s="3321" t="s">
        <v>3317</v>
      </c>
      <c r="D89" s="3321" t="s">
        <v>3316</v>
      </c>
      <c r="E89" s="3321" t="s">
        <v>3326</v>
      </c>
      <c r="F89" s="2628"/>
      <c r="G89" s="554"/>
      <c r="H89" s="554"/>
      <c r="I89" s="554"/>
      <c r="J89" s="554"/>
      <c r="K89" s="554"/>
      <c r="L89" s="554"/>
      <c r="M89" s="581"/>
      <c r="N89" s="1151"/>
      <c r="O89" s="1151"/>
      <c r="P89" s="2676"/>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9"/>
      <c r="B100" s="569"/>
      <c r="C100" s="570"/>
      <c r="D100" s="570"/>
      <c r="E100" s="570"/>
      <c r="F100" s="570"/>
      <c r="G100" s="591"/>
      <c r="H100" s="591"/>
      <c r="I100" s="591"/>
      <c r="J100" s="591"/>
      <c r="K100" s="591"/>
      <c r="L100" s="591"/>
      <c r="M100" s="592"/>
      <c r="N100" s="1153"/>
      <c r="O100" s="1153"/>
      <c r="P100" s="2676"/>
      <c r="Q100" s="504"/>
    </row>
    <row r="101" spans="1:17">
      <c r="A101" s="527" t="s">
        <v>2563</v>
      </c>
      <c r="B101" s="528" t="s">
        <v>2612</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76"/>
      <c r="Q102" s="504"/>
    </row>
    <row r="103" spans="1:17" ht="15.75"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77"/>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77"/>
      <c r="Q105" s="559"/>
    </row>
    <row r="106" spans="1:17" ht="15" thickTop="1">
      <c r="A106" s="599"/>
      <c r="B106" s="538" t="s">
        <v>2614</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76"/>
      <c r="Q107" s="504"/>
    </row>
    <row r="108" spans="1:17" ht="15" thickTop="1">
      <c r="A108" s="599"/>
      <c r="B108" s="538" t="s">
        <v>2616</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7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77"/>
      <c r="Q114" s="559"/>
    </row>
    <row r="115" spans="1:17" ht="15" thickTop="1">
      <c r="A115" s="599"/>
      <c r="B115" s="538" t="s">
        <v>2617</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76"/>
      <c r="Q116" s="504"/>
    </row>
    <row r="117" spans="1:17" ht="15" thickTop="1">
      <c r="A117" s="599"/>
      <c r="B117" s="538" t="s">
        <v>2618</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76"/>
      <c r="Q118" s="504"/>
    </row>
    <row r="119" spans="1:17" ht="15" thickTop="1">
      <c r="A119" s="599"/>
      <c r="B119" s="636" t="s">
        <v>2701</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7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2620</v>
      </c>
      <c r="C123" s="3321" t="s">
        <v>3321</v>
      </c>
      <c r="D123" s="3321" t="s">
        <v>3323</v>
      </c>
      <c r="E123" s="3321" t="s">
        <v>3327</v>
      </c>
      <c r="F123" s="3322" t="s">
        <v>3322</v>
      </c>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0.95</v>
      </c>
      <c r="C131" s="523"/>
      <c r="D131" s="523"/>
      <c r="E131" s="523"/>
      <c r="F131" s="523"/>
      <c r="G131" s="587"/>
      <c r="H131" s="587"/>
      <c r="I131" s="587"/>
      <c r="J131" s="587"/>
      <c r="K131" s="523"/>
      <c r="L131" s="524"/>
      <c r="M131" s="590"/>
      <c r="N131" s="1152"/>
      <c r="O131" s="1152"/>
      <c r="P131" s="2676"/>
      <c r="Q131" s="504"/>
    </row>
    <row r="132" spans="1:17" ht="15.75" thickBot="1">
      <c r="A132" s="2629"/>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8" zoomScale="70" zoomScaleNormal="7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v>401</v>
      </c>
      <c r="D1" s="1811" t="s">
        <v>70</v>
      </c>
      <c r="E1" s="1812" t="s">
        <v>1381</v>
      </c>
      <c r="F1" s="1282">
        <f ca="1">J53</f>
        <v>44.68</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217</v>
      </c>
      <c r="C2" s="1836" t="s">
        <v>1585</v>
      </c>
      <c r="D2" s="1928">
        <f ca="1">C40+J29+L46</f>
        <v>2173526</v>
      </c>
      <c r="E2" s="1837" t="s">
        <v>1586</v>
      </c>
      <c r="F2" s="1838"/>
      <c r="G2" s="1839"/>
      <c r="H2" s="1831"/>
      <c r="I2" s="1831"/>
      <c r="J2" s="1831"/>
      <c r="K2" s="1832"/>
      <c r="L2" s="1831"/>
      <c r="M2" s="1831"/>
    </row>
    <row r="3" spans="1:37" ht="18" customHeight="1" thickBot="1">
      <c r="A3" s="1840" t="s">
        <v>1587</v>
      </c>
      <c r="B3" s="1841">
        <f ca="1">IF(ISERROR(D2/F43),0,ROUND(D2/F43,0))</f>
        <v>19329</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1">
        <f ca="1">C6+C10+C12</f>
        <v>110958</v>
      </c>
      <c r="D5" s="1813" t="s">
        <v>1595</v>
      </c>
      <c r="E5" s="1292"/>
      <c r="F5" s="1293"/>
      <c r="G5" s="1842"/>
      <c r="H5" s="344">
        <v>1</v>
      </c>
      <c r="I5" s="345" t="s">
        <v>1594</v>
      </c>
      <c r="J5" s="1291">
        <f ca="1">J6+J10+J12</f>
        <v>0</v>
      </c>
      <c r="K5" s="1813" t="s">
        <v>1595</v>
      </c>
      <c r="L5" s="1292"/>
      <c r="M5" s="1293"/>
    </row>
    <row r="6" spans="1:37" ht="18" customHeight="1">
      <c r="A6" s="1290" t="s">
        <v>1031</v>
      </c>
      <c r="B6" s="3166" t="s">
        <v>1397</v>
      </c>
      <c r="C6" s="1295">
        <f ca="1">ROUND(F6*F8*F7*(1-F9),0)</f>
        <v>110819</v>
      </c>
      <c r="D6" s="164" t="s">
        <v>3027</v>
      </c>
      <c r="E6" s="347" t="s">
        <v>1399</v>
      </c>
      <c r="F6" s="348">
        <f ca="1">INDIRECT("'数据-取费表'!u"&amp;$G$1)</f>
        <v>3</v>
      </c>
      <c r="G6" s="1842"/>
      <c r="H6" s="1290" t="s">
        <v>1031</v>
      </c>
      <c r="I6" s="3166" t="s">
        <v>1397</v>
      </c>
      <c r="J6" s="346">
        <f ca="1">ROUND(M6*M8*M7*(1-M9),0)</f>
        <v>0</v>
      </c>
      <c r="K6" s="1825" t="s">
        <v>3028</v>
      </c>
      <c r="L6" s="347" t="s">
        <v>1399</v>
      </c>
      <c r="M6" s="348">
        <f ca="1">INDIRECT("'数据-取费表'!z"&amp;$G$1)</f>
        <v>0</v>
      </c>
    </row>
    <row r="7" spans="1:37" ht="18" customHeight="1">
      <c r="A7" s="1294"/>
      <c r="B7" s="3167"/>
      <c r="C7" s="1296"/>
      <c r="D7" s="352"/>
      <c r="E7" s="1297" t="s">
        <v>1400</v>
      </c>
      <c r="F7" s="348">
        <f ca="1">IF(INDIRECT("'数据-取费表'!ah"&amp;$G$1)="",INDIRECT("'数据-取费表'!k"&amp;$G$1),INDIRECT("'数据-取费表'!ah"&amp;$G$1))</f>
        <v>112.45</v>
      </c>
      <c r="G7" s="1842"/>
      <c r="H7" s="349"/>
      <c r="I7" s="3167"/>
      <c r="J7" s="351"/>
      <c r="K7" s="352"/>
      <c r="L7" s="347" t="s">
        <v>1400</v>
      </c>
      <c r="M7" s="348">
        <f ca="1">F7</f>
        <v>112.45</v>
      </c>
    </row>
    <row r="8" spans="1:37" ht="18" customHeight="1">
      <c r="A8" s="349"/>
      <c r="B8" s="3167"/>
      <c r="C8" s="351"/>
      <c r="D8" s="352"/>
      <c r="E8" s="347" t="s">
        <v>1401</v>
      </c>
      <c r="F8" s="348">
        <f ca="1">INDIRECT("'数据-取费表'!ai"&amp;$G$1)</f>
        <v>365</v>
      </c>
      <c r="G8" s="1842"/>
      <c r="H8" s="349"/>
      <c r="I8" s="3167"/>
      <c r="J8" s="351"/>
      <c r="K8" s="352"/>
      <c r="L8" s="347" t="s">
        <v>1401</v>
      </c>
      <c r="M8" s="348">
        <f ca="1">INDIRECT("'数据-取费表'!ai"&amp;$G$1)</f>
        <v>365</v>
      </c>
    </row>
    <row r="9" spans="1:37" ht="18" customHeight="1">
      <c r="A9" s="349"/>
      <c r="B9" s="3168"/>
      <c r="C9" s="351"/>
      <c r="D9" s="352"/>
      <c r="E9" s="347" t="s">
        <v>1402</v>
      </c>
      <c r="F9" s="357">
        <f ca="1">INDIRECT("'数据-取费表'!w"&amp;$G$1)</f>
        <v>0.1</v>
      </c>
      <c r="G9" s="1842"/>
      <c r="H9" s="349"/>
      <c r="I9" s="3168"/>
      <c r="J9" s="351"/>
      <c r="K9" s="352"/>
      <c r="L9" s="358" t="s">
        <v>1402</v>
      </c>
      <c r="M9" s="359">
        <f ca="1">INDIRECT("'数据-取费表'!ab"&amp;$G$1)</f>
        <v>0</v>
      </c>
    </row>
    <row r="10" spans="1:37" ht="18" customHeight="1">
      <c r="A10" s="1290" t="s">
        <v>1035</v>
      </c>
      <c r="B10" s="1814" t="s">
        <v>1403</v>
      </c>
      <c r="C10" s="361">
        <f ca="1">ROUND(IF(F10="押一",C6/12*F11,IF(F10="押二",C6/12*2*F11,IF(F10="押三",C6/12*3*F11,C11*F11))),0)</f>
        <v>139</v>
      </c>
      <c r="D10" s="1815" t="s">
        <v>3038</v>
      </c>
      <c r="E10" s="358" t="s">
        <v>1404</v>
      </c>
      <c r="F10" s="1365" t="s">
        <v>3298</v>
      </c>
      <c r="G10" s="1842"/>
      <c r="H10" s="1290" t="s">
        <v>1035</v>
      </c>
      <c r="I10" s="1814" t="s">
        <v>1403</v>
      </c>
      <c r="J10" s="346">
        <f ca="1">ROUND(IF(M10="押一",J6/12*M11,IF(M10="押二",J6/12*2*M11,IF(M10="押三",J6/12*3*M11,J11*M11))),0)</f>
        <v>0</v>
      </c>
      <c r="K10" s="1826" t="s">
        <v>3040</v>
      </c>
      <c r="L10" s="358" t="s">
        <v>1404</v>
      </c>
      <c r="M10" s="1365"/>
    </row>
    <row r="11" spans="1:37" ht="18" customHeight="1">
      <c r="A11" s="353"/>
      <c r="B11" s="1816" t="s">
        <v>1596</v>
      </c>
      <c r="C11" s="1178"/>
      <c r="D11" s="352"/>
      <c r="E11" s="358" t="s">
        <v>1406</v>
      </c>
      <c r="F11" s="359">
        <f ca="1">'数据-取费表'!B39</f>
        <v>1.4999999999999999E-2</v>
      </c>
      <c r="G11" s="1842"/>
      <c r="H11" s="1298"/>
      <c r="I11" s="1816" t="s">
        <v>1597</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475119</v>
      </c>
      <c r="D13" s="1330" t="s">
        <v>1409</v>
      </c>
      <c r="E13" s="1330" t="s">
        <v>1410</v>
      </c>
      <c r="F13" s="1331">
        <f ca="1">INDIRECT("'数据-取费表'!y"&amp;$G$1)</f>
        <v>0.98</v>
      </c>
      <c r="G13" s="1842"/>
      <c r="H13" s="1328">
        <v>2</v>
      </c>
      <c r="I13" s="1329" t="s">
        <v>1408</v>
      </c>
      <c r="J13" s="1289">
        <f ca="1">ROUND(J14*J15,0)</f>
        <v>0</v>
      </c>
      <c r="K13" s="1336" t="s">
        <v>1409</v>
      </c>
      <c r="L13" s="1843"/>
      <c r="M13" s="1844"/>
    </row>
    <row r="14" spans="1:37" ht="18" customHeight="1">
      <c r="A14" s="1201" t="s">
        <v>1030</v>
      </c>
      <c r="B14" s="347" t="s">
        <v>1411</v>
      </c>
      <c r="C14" s="363">
        <f ca="1">ROUND(INDIRECT("'数据-取费表'!l"&amp;$G$1)*F43+'数据-取费表'!L14*INDIRECT("'数据-取费表'!S"&amp;$G$1),0)</f>
        <v>314860</v>
      </c>
      <c r="D14" s="1791" t="s">
        <v>1412</v>
      </c>
      <c r="E14" s="1785"/>
      <c r="F14" s="364"/>
      <c r="G14" s="1842"/>
      <c r="H14" s="1201" t="s">
        <v>1031</v>
      </c>
      <c r="I14" s="347" t="s">
        <v>1413</v>
      </c>
      <c r="J14" s="24">
        <f ca="1">C29</f>
        <v>484815</v>
      </c>
      <c r="K14" s="15"/>
      <c r="L14" s="979"/>
      <c r="M14" s="980"/>
    </row>
    <row r="15" spans="1:37" s="1849" customFormat="1" ht="18" customHeight="1" thickBot="1">
      <c r="A15" s="1201" t="s">
        <v>1032</v>
      </c>
      <c r="B15" s="347" t="s">
        <v>1414</v>
      </c>
      <c r="C15" s="24">
        <f ca="1">ROUND(C14*F15,0)</f>
        <v>9446</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8" t="s">
        <v>1026</v>
      </c>
      <c r="I16" s="1329" t="s">
        <v>1418</v>
      </c>
      <c r="J16" s="355">
        <f ca="1">ROUND(J17+J22+J23+J24,0)</f>
        <v>11399</v>
      </c>
      <c r="K16" s="1336" t="s">
        <v>1419</v>
      </c>
      <c r="L16" s="1337"/>
      <c r="M16" s="1293"/>
    </row>
    <row r="17" spans="1:37" s="1849" customFormat="1" ht="18" customHeight="1">
      <c r="A17" s="1201" t="s">
        <v>1384</v>
      </c>
      <c r="B17" s="347" t="s">
        <v>1420</v>
      </c>
      <c r="C17" s="24">
        <f ca="1">ROUND(F17*(F43+INDIRECT("'数据-取费表'!S"&amp;$G$1)),0)</f>
        <v>22490</v>
      </c>
      <c r="D17" s="347" t="s">
        <v>1421</v>
      </c>
      <c r="E17" s="347" t="s">
        <v>1422</v>
      </c>
      <c r="F17" s="26">
        <f>'数据-取费表'!B35</f>
        <v>200</v>
      </c>
      <c r="G17" s="1845"/>
      <c r="H17" s="1201" t="s">
        <v>1031</v>
      </c>
      <c r="I17" s="347" t="s">
        <v>1423</v>
      </c>
      <c r="J17" s="24">
        <f ca="1">ROUND(IF(项目基本情况!B11="自然人",J6*M17/(1+'数据-取费表'!C42),J18+J19+J20),0)</f>
        <v>4127</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4723</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351519</v>
      </c>
      <c r="D19" s="140" t="s">
        <v>1430</v>
      </c>
      <c r="E19" s="1809"/>
      <c r="F19" s="26"/>
      <c r="G19" s="1842"/>
      <c r="H19" s="1201" t="s">
        <v>1032</v>
      </c>
      <c r="I19" s="347" t="s">
        <v>1431</v>
      </c>
      <c r="J19" s="24">
        <f ca="1">IF(K19="按租金收入计税",ROUND(J6*M19/(1+'数据-取费表'!C42),0),ROUND(C29*M19*0.7,0))</f>
        <v>4072</v>
      </c>
      <c r="K19" s="1819" t="s">
        <v>1432</v>
      </c>
      <c r="L19" s="347" t="s">
        <v>1416</v>
      </c>
      <c r="M19" s="367">
        <f>IF(K19="按租金收入计税",'数据-取费表'!B51,'数据-取费表'!B50)</f>
        <v>1.2E-2</v>
      </c>
    </row>
    <row r="20" spans="1:37" s="1849" customFormat="1" ht="18" customHeight="1">
      <c r="A20" s="1201" t="s">
        <v>1035</v>
      </c>
      <c r="B20" s="347" t="s">
        <v>1433</v>
      </c>
      <c r="C20" s="24">
        <f ca="1">ROUND(C19*F20,0)</f>
        <v>7030</v>
      </c>
      <c r="D20" s="369" t="s">
        <v>1434</v>
      </c>
      <c r="E20" s="347" t="s">
        <v>1416</v>
      </c>
      <c r="F20" s="367">
        <f>'数据-取费表'!B37</f>
        <v>0.02</v>
      </c>
      <c r="G20" s="1845"/>
      <c r="H20" s="1201" t="s">
        <v>1383</v>
      </c>
      <c r="I20" s="164" t="s">
        <v>1435</v>
      </c>
      <c r="J20" s="25">
        <f ca="1">ROUND(M20*M21,0)</f>
        <v>55</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36.53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7272</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17031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ROUND(J5*M24,0)</f>
        <v>0</v>
      </c>
      <c r="K24" s="1341" t="s">
        <v>1453</v>
      </c>
      <c r="L24" s="1339" t="s">
        <v>1449</v>
      </c>
      <c r="M24" s="1335">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8" t="s">
        <v>1027</v>
      </c>
      <c r="I25" s="1343" t="s">
        <v>1457</v>
      </c>
      <c r="J25" s="355">
        <f ca="1">J5-J16</f>
        <v>-11399</v>
      </c>
      <c r="K25" s="1344" t="s">
        <v>1458</v>
      </c>
      <c r="L25" s="1345"/>
      <c r="M25" s="1346"/>
    </row>
    <row r="26" spans="1:37" ht="18" customHeight="1">
      <c r="A26" s="1201" t="s">
        <v>1030</v>
      </c>
      <c r="B26" s="347" t="s">
        <v>1459</v>
      </c>
      <c r="C26" s="24">
        <f ca="1">ROUND((C19+C20)*F26,0)</f>
        <v>71710</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484815</v>
      </c>
      <c r="D29" s="1341"/>
      <c r="E29" s="1339"/>
      <c r="F29" s="1342"/>
      <c r="G29" s="1845"/>
      <c r="H29" s="380" t="s">
        <v>1029</v>
      </c>
      <c r="I29" s="381" t="s">
        <v>1473</v>
      </c>
      <c r="J29" s="382">
        <f ca="1">ROUND(J26/(1+F40)^F41,0)</f>
        <v>0</v>
      </c>
      <c r="K29" s="383" t="s">
        <v>1474</v>
      </c>
      <c r="L29" s="384"/>
      <c r="M29" s="385">
        <f ca="1">INDIRECT("'数据-取费表'!k"&amp;$G$1)</f>
        <v>112.45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28729</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ROUND(IF(项目基本情况!B11="自然人",C6*F31/(1+'数据-取费表'!C42),C32+C33+C34),0)</f>
        <v>18525</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5805</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12665</v>
      </c>
      <c r="D33" s="1819" t="s">
        <v>3299</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f>
        <v>55</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36.53</v>
      </c>
      <c r="G35" s="1842"/>
      <c r="H35" s="745"/>
      <c r="I35" s="1851"/>
      <c r="J35" s="1852"/>
      <c r="K35" s="1853"/>
      <c r="L35" s="1850"/>
      <c r="M35" s="1850"/>
    </row>
    <row r="36" spans="1:18" ht="18" customHeight="1">
      <c r="A36" s="1351" t="s">
        <v>1035</v>
      </c>
      <c r="B36" s="347" t="s">
        <v>1443</v>
      </c>
      <c r="C36" s="24">
        <f ca="1">ROUND(C29*F36,0)</f>
        <v>7272</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713</v>
      </c>
      <c r="D37" s="1789" t="s">
        <v>1448</v>
      </c>
      <c r="E37" s="347" t="s">
        <v>1449</v>
      </c>
      <c r="F37" s="376">
        <f ca="1">INDIRECT("'数据-取费表'!Al"&amp;$G$1)</f>
        <v>1.5E-3</v>
      </c>
      <c r="G37" s="1842"/>
      <c r="H37" s="1850"/>
      <c r="I37" s="1851"/>
      <c r="J37" s="1852"/>
      <c r="K37" s="751"/>
      <c r="L37" s="1850"/>
      <c r="M37" s="1850"/>
    </row>
    <row r="38" spans="1:18" ht="18" customHeight="1" thickBot="1">
      <c r="A38" s="1338" t="s">
        <v>1387</v>
      </c>
      <c r="B38" s="1339" t="s">
        <v>1433</v>
      </c>
      <c r="C38" s="1340">
        <f ca="1">ROUND(C5*F38,1)</f>
        <v>2219.1999999999998</v>
      </c>
      <c r="D38" s="1341" t="s">
        <v>1453</v>
      </c>
      <c r="E38" s="1339" t="s">
        <v>1449</v>
      </c>
      <c r="F38" s="1335">
        <f ca="1">INDIRECT("'数据-取费表'!Am"&amp;$G$1)</f>
        <v>0.02</v>
      </c>
      <c r="G38" s="1842"/>
      <c r="H38" s="1850"/>
      <c r="I38" s="1851"/>
      <c r="J38" s="1852"/>
      <c r="K38" s="1856"/>
      <c r="L38" s="1850"/>
      <c r="M38" s="1850"/>
    </row>
    <row r="39" spans="1:18" ht="24.6" customHeight="1" thickTop="1">
      <c r="A39" s="1328" t="s">
        <v>1027</v>
      </c>
      <c r="B39" s="1343" t="s">
        <v>1477</v>
      </c>
      <c r="C39" s="355">
        <f ca="1">C5-C30</f>
        <v>82229</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2168460</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44.68</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19284</v>
      </c>
      <c r="D43" s="383" t="s">
        <v>1482</v>
      </c>
      <c r="E43" s="384" t="s">
        <v>1483</v>
      </c>
      <c r="F43" s="385">
        <f ca="1">INDIRECT("'数据-取费表'!k"&amp;$G$1)</f>
        <v>112.45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-3454415</v>
      </c>
      <c r="D45" s="1930" t="s">
        <v>1598</v>
      </c>
      <c r="E45" s="1857"/>
      <c r="F45" s="1857"/>
      <c r="O45" s="1860" t="s">
        <v>1513</v>
      </c>
      <c r="P45" s="1830"/>
      <c r="Q45" s="1830"/>
      <c r="R45" s="1830"/>
    </row>
    <row r="46" spans="1:18" s="1833" customFormat="1" ht="13.5" thickBot="1">
      <c r="A46" s="1861" t="s">
        <v>1514</v>
      </c>
      <c r="C46" s="1862">
        <f ca="1">ROUND(C45/10000,0)</f>
        <v>-345</v>
      </c>
      <c r="D46" s="1863" t="str">
        <f>C2</f>
        <v>万元</v>
      </c>
      <c r="I46" s="1864" t="s">
        <v>1515</v>
      </c>
      <c r="J46" s="1865"/>
      <c r="K46" s="1866"/>
      <c r="L46" s="1867">
        <f ca="1">IF(M47="住宅",0,IF(L48&gt;J51,L60,J60))</f>
        <v>5066</v>
      </c>
      <c r="O46" s="1868" t="s">
        <v>1516</v>
      </c>
      <c r="P46" s="1869" t="s">
        <v>1517</v>
      </c>
      <c r="Q46" s="1870" t="s">
        <v>1518</v>
      </c>
      <c r="R46" s="1870" t="s">
        <v>1519</v>
      </c>
    </row>
    <row r="47" spans="1:18" s="1833" customFormat="1" ht="13.5" thickBot="1">
      <c r="A47" s="1165" t="s">
        <v>1390</v>
      </c>
      <c r="B47" s="1197" t="s">
        <v>1391</v>
      </c>
      <c r="C47" s="1197" t="s">
        <v>1392</v>
      </c>
      <c r="D47" s="1197" t="s">
        <v>1393</v>
      </c>
      <c r="E47" s="1278" t="s">
        <v>1394</v>
      </c>
      <c r="F47" s="1279"/>
      <c r="G47" s="792"/>
      <c r="I47" s="1871" t="s">
        <v>1520</v>
      </c>
      <c r="J47" s="1872" t="s">
        <v>3300</v>
      </c>
      <c r="K47" s="1873" t="s">
        <v>1521</v>
      </c>
      <c r="L47" s="1874">
        <f ca="1">INDIRECT("'数据-取费表'!d"&amp;$G$1)</f>
        <v>50</v>
      </c>
      <c r="M47" s="1829" t="str">
        <f>IF(ISNUMBER(FIND("住宅",C1)),"住宅","非住宅")</f>
        <v>非住宅</v>
      </c>
      <c r="O47" s="1875" t="s">
        <v>1036</v>
      </c>
      <c r="P47" s="1876" t="s">
        <v>1522</v>
      </c>
      <c r="Q47" s="1877">
        <f ca="1">C40+J29</f>
        <v>2168460</v>
      </c>
      <c r="R47" s="1877" t="s">
        <v>1523</v>
      </c>
    </row>
    <row r="48" spans="1:18" s="1833" customFormat="1" ht="28.5" thickBot="1">
      <c r="A48" s="1359" t="s">
        <v>1131</v>
      </c>
      <c r="B48" s="345" t="s">
        <v>1395</v>
      </c>
      <c r="C48" s="1808">
        <f ca="1">C49+C53+C55</f>
        <v>0</v>
      </c>
      <c r="D48" s="1361"/>
      <c r="E48" s="1362"/>
      <c r="F48" s="1181"/>
      <c r="G48" s="792"/>
      <c r="H48" s="793"/>
      <c r="I48" s="1878" t="s">
        <v>1524</v>
      </c>
      <c r="J48" s="1879" t="s">
        <v>3301</v>
      </c>
      <c r="K48" s="1880" t="s">
        <v>1525</v>
      </c>
      <c r="L48" s="1881">
        <f ca="1">INDIRECT("'数据-取费表'!f"&amp;$G$1)</f>
        <v>44.68</v>
      </c>
      <c r="O48" s="1875" t="s">
        <v>1037</v>
      </c>
      <c r="P48" s="1876" t="s">
        <v>1526</v>
      </c>
      <c r="Q48" s="1877">
        <f ca="1">J60</f>
        <v>5066</v>
      </c>
      <c r="R48" s="1877" t="s">
        <v>1527</v>
      </c>
    </row>
    <row r="49" spans="1:18" s="1833" customFormat="1" ht="13.5" thickBot="1">
      <c r="A49" s="1194" t="s">
        <v>1132</v>
      </c>
      <c r="B49" s="1820" t="s">
        <v>1484</v>
      </c>
      <c r="C49" s="1363">
        <f ca="1">ROUND(F49*F51*F50*(1-F52),0)</f>
        <v>0</v>
      </c>
      <c r="D49" s="1275" t="s">
        <v>1398</v>
      </c>
      <c r="E49" s="1821" t="s">
        <v>1485</v>
      </c>
      <c r="F49" s="1280"/>
      <c r="G49" s="1882"/>
      <c r="H49" s="793"/>
      <c r="I49" s="1878" t="s">
        <v>1528</v>
      </c>
      <c r="J49" s="1883">
        <v>2018</v>
      </c>
      <c r="K49" s="1880" t="s">
        <v>1529</v>
      </c>
      <c r="L49" s="1884"/>
      <c r="O49" s="1885" t="s">
        <v>1038</v>
      </c>
      <c r="P49" s="1876" t="s">
        <v>1530</v>
      </c>
      <c r="Q49" s="1877">
        <f ca="1">C29</f>
        <v>484815</v>
      </c>
      <c r="R49" s="1877" t="s">
        <v>1523</v>
      </c>
    </row>
    <row r="50" spans="1:18" s="1833" customFormat="1" ht="13.5" thickBot="1">
      <c r="A50" s="1195"/>
      <c r="B50" s="1198"/>
      <c r="C50" s="1199"/>
      <c r="D50" s="1172"/>
      <c r="E50" s="1276" t="s">
        <v>1400</v>
      </c>
      <c r="F50" s="1277">
        <f ca="1">F7</f>
        <v>112.45</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59</v>
      </c>
      <c r="K51" s="1891" t="s">
        <v>1535</v>
      </c>
      <c r="L51" s="1892">
        <f ca="1">ROUND(-PV(INDIRECT("'数据-取费表'!h"&amp;$G$1),J51,(C39-C13*C76),0),0)</f>
        <v>909450</v>
      </c>
      <c r="M51" s="1893"/>
      <c r="O51" s="1885" t="s">
        <v>1040</v>
      </c>
      <c r="P51" s="1876" t="s">
        <v>1536</v>
      </c>
      <c r="Q51" s="1888">
        <f>J52</f>
        <v>8.5000000000000006E-2</v>
      </c>
      <c r="R51" s="1877"/>
    </row>
    <row r="52" spans="1:18" s="1833" customFormat="1" ht="13.5" thickBot="1">
      <c r="A52" s="1196"/>
      <c r="B52" s="1198"/>
      <c r="C52" s="1199"/>
      <c r="D52" s="1172"/>
      <c r="E52" s="1200" t="s">
        <v>1402</v>
      </c>
      <c r="F52" s="1274"/>
      <c r="I52" s="1894" t="s">
        <v>1537</v>
      </c>
      <c r="J52" s="1895">
        <v>8.5000000000000006E-2</v>
      </c>
      <c r="K52" s="1894" t="s">
        <v>1538</v>
      </c>
      <c r="L52" s="1895"/>
      <c r="O52" s="1885" t="s">
        <v>1041</v>
      </c>
      <c r="P52" s="1876" t="s">
        <v>1539</v>
      </c>
      <c r="Q52" s="1877">
        <f ca="1">J53</f>
        <v>44.68</v>
      </c>
      <c r="R52" s="1877" t="s">
        <v>1540</v>
      </c>
    </row>
    <row r="53" spans="1:18" s="1833" customFormat="1" ht="30.75" customHeight="1" thickBot="1">
      <c r="A53" s="1360" t="s">
        <v>1133</v>
      </c>
      <c r="B53" s="369" t="s">
        <v>1403</v>
      </c>
      <c r="C53" s="361">
        <f ca="1">ROUND(IF(F53="押一",C49/12*F11,IF(F53="押二",C49/12*2*F11,IF(F53="押三",C49/12*3*F11,C54*F11))),0)</f>
        <v>0</v>
      </c>
      <c r="D53" s="1815" t="s">
        <v>3041</v>
      </c>
      <c r="E53" s="358" t="s">
        <v>1404</v>
      </c>
      <c r="F53" s="1365"/>
      <c r="I53" s="1896" t="s">
        <v>1541</v>
      </c>
      <c r="J53" s="2942">
        <f ca="1">IF(M47="住宅",IF(D1="——",MAX(J51,L48),MAX(J51,L48-'数据-取费表'!B24)),IF(D1="——",MIN(J51,L48),MIN(J51,L48-'数据-取费表'!B24)))</f>
        <v>44.68</v>
      </c>
      <c r="K53" s="3164" t="s">
        <v>1542</v>
      </c>
      <c r="L53" s="3165"/>
      <c r="O53" s="1875" t="s">
        <v>1042</v>
      </c>
      <c r="P53" s="1876" t="s">
        <v>1543</v>
      </c>
      <c r="Q53" s="1877">
        <f ca="1">Q47+Q48</f>
        <v>2173526</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0.23899999999999999</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475119</v>
      </c>
      <c r="D56" s="1904"/>
      <c r="E56" s="1905"/>
      <c r="F56" s="1897"/>
      <c r="I56" s="1906" t="s">
        <v>1548</v>
      </c>
      <c r="J56" s="1907" t="s">
        <v>3302</v>
      </c>
      <c r="K56" s="1878" t="s">
        <v>1549</v>
      </c>
      <c r="L56" s="1881" t="str">
        <f ca="1">IF(L48&lt;J51,"——",L48-J51)</f>
        <v>——</v>
      </c>
      <c r="O56" s="1875" t="s">
        <v>1036</v>
      </c>
      <c r="P56" s="1876" t="s">
        <v>1522</v>
      </c>
      <c r="Q56" s="1877">
        <f ca="1">C40+J29</f>
        <v>2168460</v>
      </c>
      <c r="R56" s="1877" t="s">
        <v>1523</v>
      </c>
    </row>
    <row r="57" spans="1:18" s="1833" customFormat="1" ht="24.75" thickBot="1">
      <c r="A57" s="1908"/>
      <c r="B57" s="1169" t="s">
        <v>1472</v>
      </c>
      <c r="C57" s="282">
        <f ca="1">C29</f>
        <v>484815</v>
      </c>
      <c r="D57" s="1909"/>
      <c r="E57" s="1910"/>
      <c r="F57" s="1911"/>
      <c r="I57" s="1912" t="s">
        <v>1550</v>
      </c>
      <c r="J57" s="1913">
        <f ca="1">IF(OR(M47="住宅",J51&lt;L48,J56="是"),"——",J51-L48)</f>
        <v>14.32</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48764</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40779</v>
      </c>
      <c r="D59" s="1182" t="s">
        <v>1424</v>
      </c>
      <c r="E59" s="1183" t="s">
        <v>1425</v>
      </c>
      <c r="F59" s="368" t="str">
        <f ca="1">IF(项目基本情况!B11="企业","",IF(INDIRECT("'数据-取费表'!c"&amp;$G$1)="住宅",5%,IF(F49*F50*F51/12/(1+'数据-取费表'!C42)&gt;20000,12%,7%)))</f>
        <v/>
      </c>
      <c r="I59" s="1912" t="s">
        <v>1557</v>
      </c>
      <c r="J59" s="1913">
        <f ca="1">IF(OR(M47="住宅",J51&lt;L48,J56="是"),"——",ROUND(C29*J58,0))</f>
        <v>193926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f ca="1">IF(OR(M47="住宅",J51&lt;L48,J56="是"),"0",ROUND(J59/(1+J52)^J53,0))</f>
        <v>5066</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40724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55</v>
      </c>
      <c r="D62" s="1184" t="s">
        <v>1491</v>
      </c>
      <c r="E62" s="1169" t="s">
        <v>1492</v>
      </c>
      <c r="F62" s="371">
        <f t="shared" si="0"/>
        <v>1.5</v>
      </c>
      <c r="I62" s="1919" t="s">
        <v>1564</v>
      </c>
      <c r="J62" s="1920" t="s">
        <v>1565</v>
      </c>
      <c r="K62" s="1920" t="s">
        <v>1566</v>
      </c>
      <c r="L62" s="1920" t="s">
        <v>1567</v>
      </c>
      <c r="M62" s="1921" t="s">
        <v>1568</v>
      </c>
      <c r="O62" s="1875" t="s">
        <v>1042</v>
      </c>
      <c r="P62" s="1876" t="s">
        <v>1569</v>
      </c>
      <c r="Q62" s="1877">
        <f ca="1">Q56+Q57</f>
        <v>2168460</v>
      </c>
      <c r="R62" s="1877" t="s">
        <v>1043</v>
      </c>
    </row>
    <row r="63" spans="1:18" s="1833" customFormat="1" ht="13.5" thickBot="1">
      <c r="A63" s="372"/>
      <c r="B63" s="1175"/>
      <c r="C63" s="29"/>
      <c r="D63" s="1185"/>
      <c r="E63" s="1169" t="s">
        <v>1493</v>
      </c>
      <c r="F63" s="348">
        <f t="shared" ca="1" si="0"/>
        <v>36.53</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7272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713</v>
      </c>
      <c r="D65" s="1183" t="s">
        <v>1448</v>
      </c>
      <c r="E65" s="1169" t="s">
        <v>1449</v>
      </c>
      <c r="F65" s="376">
        <f t="shared" ca="1" si="0"/>
        <v>1.5E-3</v>
      </c>
      <c r="I65" s="1919" t="s">
        <v>1573</v>
      </c>
      <c r="J65" s="1920">
        <v>40</v>
      </c>
      <c r="K65" s="1920">
        <v>30</v>
      </c>
      <c r="L65" s="1920">
        <v>50</v>
      </c>
      <c r="M65" s="1922">
        <v>0.02</v>
      </c>
      <c r="O65" s="1875" t="s">
        <v>1036</v>
      </c>
      <c r="P65" s="1876" t="s">
        <v>1574</v>
      </c>
      <c r="Q65" s="1877">
        <f ca="1">C40+J29</f>
        <v>2168460</v>
      </c>
      <c r="R65" s="1877" t="s">
        <v>1523</v>
      </c>
    </row>
    <row r="66" spans="1:18" s="1833" customFormat="1" ht="16.5" thickBot="1">
      <c r="A66" s="1201" t="s">
        <v>1498</v>
      </c>
      <c r="B66" s="1169" t="s">
        <v>1433</v>
      </c>
      <c r="C66" s="24">
        <f ca="1">ROUND(C48*F66,0)</f>
        <v>0</v>
      </c>
      <c r="D66" s="1183" t="s">
        <v>1499</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-48764</v>
      </c>
      <c r="D67" s="1182" t="s">
        <v>1458</v>
      </c>
      <c r="E67" s="1187"/>
      <c r="F67" s="1188"/>
      <c r="O67" s="1885" t="s">
        <v>1038</v>
      </c>
      <c r="P67" s="1876" t="s">
        <v>1556</v>
      </c>
      <c r="Q67" s="1923">
        <f ca="1">L51</f>
        <v>909450</v>
      </c>
      <c r="R67" s="1877" t="s">
        <v>1576</v>
      </c>
    </row>
    <row r="68" spans="1:18" s="1833" customFormat="1" ht="16.5" thickBot="1">
      <c r="A68" s="1166" t="s">
        <v>1028</v>
      </c>
      <c r="B68" s="1167" t="s">
        <v>1479</v>
      </c>
      <c r="C68" s="346">
        <f ca="1">ROUND(C67*(1-((1+F70)/(1+F68))^F69)/(F68-F70),0)</f>
        <v>-1285955</v>
      </c>
      <c r="D68" s="1184" t="s">
        <v>1463</v>
      </c>
      <c r="E68" s="1169" t="s">
        <v>1464</v>
      </c>
      <c r="F68" s="357">
        <f ca="1">F40</f>
        <v>0.05</v>
      </c>
      <c r="O68" s="1885" t="s">
        <v>1039</v>
      </c>
      <c r="P68" s="1924" t="s">
        <v>1577</v>
      </c>
      <c r="Q68" s="1877">
        <f ca="1">ROUND(Q69-Q70*Q71,0)</f>
        <v>44219</v>
      </c>
      <c r="R68" s="1877" t="s">
        <v>1047</v>
      </c>
    </row>
    <row r="69" spans="1:18" s="1833" customFormat="1" ht="13.5" thickBot="1">
      <c r="A69" s="1170"/>
      <c r="B69" s="1171"/>
      <c r="C69" s="351"/>
      <c r="D69" s="1189" t="s">
        <v>1467</v>
      </c>
      <c r="E69" s="1169" t="s">
        <v>1468</v>
      </c>
      <c r="F69" s="379">
        <f ca="1">F41</f>
        <v>44.68</v>
      </c>
      <c r="O69" s="1885" t="s">
        <v>1044</v>
      </c>
      <c r="P69" s="1924" t="s">
        <v>1578</v>
      </c>
      <c r="Q69" s="1877">
        <f ca="1">C39</f>
        <v>82229</v>
      </c>
      <c r="R69" s="1877" t="s">
        <v>1523</v>
      </c>
    </row>
    <row r="70" spans="1:18" s="1833" customFormat="1" ht="13.5" thickBot="1">
      <c r="A70" s="1173"/>
      <c r="B70" s="1174"/>
      <c r="C70" s="355"/>
      <c r="D70" s="1185"/>
      <c r="E70" s="1169" t="s">
        <v>1471</v>
      </c>
      <c r="F70" s="1274">
        <f ca="1">F42</f>
        <v>2.5000000000000001E-2</v>
      </c>
      <c r="O70" s="1885" t="s">
        <v>1045</v>
      </c>
      <c r="P70" s="1924" t="s">
        <v>1579</v>
      </c>
      <c r="Q70" s="1877">
        <f ca="1">C13</f>
        <v>475119</v>
      </c>
      <c r="R70" s="1877" t="s">
        <v>1523</v>
      </c>
    </row>
    <row r="71" spans="1:18" s="1833" customFormat="1" ht="13.5" thickBot="1">
      <c r="A71" s="1190" t="s">
        <v>1029</v>
      </c>
      <c r="B71" s="1191" t="s">
        <v>1481</v>
      </c>
      <c r="C71" s="382">
        <f ca="1">ROUND(C68/F71,0)</f>
        <v>-11436</v>
      </c>
      <c r="D71" s="1192" t="s">
        <v>1482</v>
      </c>
      <c r="E71" s="1193" t="s">
        <v>1483</v>
      </c>
      <c r="F71" s="385">
        <f ca="1">F43</f>
        <v>112.45</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38010</v>
      </c>
      <c r="D75" s="1833"/>
      <c r="E75" s="1833"/>
      <c r="F75" s="1833"/>
      <c r="K75" s="1859"/>
      <c r="L75" s="1833"/>
      <c r="O75" s="1875" t="s">
        <v>1042</v>
      </c>
      <c r="P75" s="1876" t="s">
        <v>1543</v>
      </c>
      <c r="Q75" s="1877">
        <f ca="1">Q65+Q66</f>
        <v>2168460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2526</v>
      </c>
      <c r="B1" s="2555"/>
      <c r="C1" s="2555"/>
      <c r="D1" s="2555"/>
      <c r="E1" s="2556"/>
    </row>
    <row r="2" spans="1:6" ht="15.75">
      <c r="A2" s="2557" t="s">
        <v>2327</v>
      </c>
      <c r="B2" s="2558">
        <f ca="1">SUMIF(B6:B13,"&lt;&gt;#ref!",B6:B13)</f>
        <v>217</v>
      </c>
      <c r="C2" s="2559" t="s">
        <v>2519</v>
      </c>
      <c r="D2" s="2560" t="s">
        <v>2520</v>
      </c>
      <c r="E2" s="2561">
        <f>SUM(E6:E13)</f>
        <v>112.45</v>
      </c>
    </row>
    <row r="3" spans="1:6" ht="15.75">
      <c r="A3" s="2557" t="s">
        <v>1389</v>
      </c>
      <c r="B3" s="2558">
        <f ca="1">ROUND(B2*10000/E2,0)</f>
        <v>19297</v>
      </c>
      <c r="C3" s="2559" t="s">
        <v>2527</v>
      </c>
      <c r="D3" s="2562"/>
      <c r="E3" s="2563"/>
    </row>
    <row r="4" spans="1:6" ht="15.75">
      <c r="A4" s="2564"/>
      <c r="B4" s="2562"/>
      <c r="C4" s="2562"/>
      <c r="D4" s="2562"/>
      <c r="E4" s="2563"/>
    </row>
    <row r="5" spans="1:6" ht="15">
      <c r="A5" s="2565" t="s">
        <v>2521</v>
      </c>
      <c r="B5" s="3169" t="s">
        <v>2522</v>
      </c>
      <c r="C5" s="3169"/>
      <c r="D5" s="2566"/>
      <c r="E5" s="2567" t="s">
        <v>2523</v>
      </c>
      <c r="F5" s="2568" t="s">
        <v>2524</v>
      </c>
    </row>
    <row r="6" spans="1:6">
      <c r="A6" s="2569" t="str">
        <f>'数据-取费表'!AN6</f>
        <v>收益法 (元)</v>
      </c>
      <c r="B6" s="2568">
        <f ca="1">IF(F6="是",'数据-取费表'!AO6,0)</f>
        <v>217</v>
      </c>
      <c r="C6" s="2559" t="s">
        <v>2519</v>
      </c>
      <c r="D6" s="2562"/>
      <c r="E6" s="2570">
        <f>IF(OR(A6=0,F6="否"),0,'数据-取费表'!K6+'数据-取费表'!S6)</f>
        <v>112.45</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1072</v>
      </c>
      <c r="B1" s="3187"/>
      <c r="C1" s="3188"/>
      <c r="D1" s="3189">
        <f>SUM(I10,I15,I20,I21,I23)</f>
        <v>0</v>
      </c>
      <c r="E1" s="3189"/>
      <c r="F1" s="3189"/>
      <c r="G1" s="3189"/>
      <c r="H1" s="3189"/>
      <c r="I1" s="3190"/>
    </row>
    <row r="2" spans="1:9">
      <c r="A2" s="3176" t="s">
        <v>1073</v>
      </c>
      <c r="B2" s="3177" t="s">
        <v>1074</v>
      </c>
      <c r="C2" s="3177"/>
      <c r="D2" s="1300" t="s">
        <v>1075</v>
      </c>
      <c r="E2" s="1300" t="s">
        <v>1076</v>
      </c>
      <c r="F2" s="1300" t="s">
        <v>1077</v>
      </c>
      <c r="G2" s="1300" t="s">
        <v>1078</v>
      </c>
      <c r="H2" s="1300" t="s">
        <v>1079</v>
      </c>
      <c r="I2" s="1301" t="s">
        <v>1080</v>
      </c>
    </row>
    <row r="3" spans="1:9">
      <c r="A3" s="3176"/>
      <c r="B3" s="3177" t="s">
        <v>1081</v>
      </c>
      <c r="C3" s="3177"/>
      <c r="D3" s="1302"/>
      <c r="E3" s="1300"/>
      <c r="F3" s="1303"/>
      <c r="G3" s="1303"/>
      <c r="H3" s="1304"/>
      <c r="I3" s="1305">
        <f>ROUND(D3*E3*F3*G3*H3/10000,0)</f>
        <v>0</v>
      </c>
    </row>
    <row r="4" spans="1:9">
      <c r="A4" s="3176"/>
      <c r="B4" s="3177" t="s">
        <v>1082</v>
      </c>
      <c r="C4" s="3177"/>
      <c r="D4" s="1302"/>
      <c r="E4" s="1300"/>
      <c r="F4" s="1303"/>
      <c r="G4" s="1303"/>
      <c r="H4" s="1304"/>
      <c r="I4" s="1305">
        <f t="shared" ref="I4:I9" si="0">ROUND(D4*E4*F4*G4*H4/10000,0)</f>
        <v>0</v>
      </c>
    </row>
    <row r="5" spans="1:9">
      <c r="A5" s="3176"/>
      <c r="B5" s="3177" t="s">
        <v>1083</v>
      </c>
      <c r="C5" s="3177"/>
      <c r="D5" s="1302"/>
      <c r="E5" s="1300"/>
      <c r="F5" s="1303"/>
      <c r="G5" s="1303"/>
      <c r="H5" s="1304"/>
      <c r="I5" s="1305">
        <f t="shared" si="0"/>
        <v>0</v>
      </c>
    </row>
    <row r="6" spans="1:9">
      <c r="A6" s="3176"/>
      <c r="B6" s="3177" t="s">
        <v>1084</v>
      </c>
      <c r="C6" s="3177"/>
      <c r="D6" s="1302"/>
      <c r="E6" s="1300"/>
      <c r="F6" s="1303"/>
      <c r="G6" s="1303"/>
      <c r="H6" s="1304"/>
      <c r="I6" s="1305">
        <f t="shared" si="0"/>
        <v>0</v>
      </c>
    </row>
    <row r="7" spans="1:9">
      <c r="A7" s="3176"/>
      <c r="B7" s="3177" t="s">
        <v>1085</v>
      </c>
      <c r="C7" s="3177"/>
      <c r="D7" s="1302"/>
      <c r="E7" s="1300"/>
      <c r="F7" s="1303"/>
      <c r="G7" s="1303"/>
      <c r="H7" s="1304"/>
      <c r="I7" s="1305">
        <f t="shared" si="0"/>
        <v>0</v>
      </c>
    </row>
    <row r="8" spans="1:9">
      <c r="A8" s="3176"/>
      <c r="B8" s="3177" t="s">
        <v>1086</v>
      </c>
      <c r="C8" s="3177"/>
      <c r="D8" s="1302"/>
      <c r="E8" s="1300"/>
      <c r="F8" s="1303"/>
      <c r="G8" s="1303"/>
      <c r="H8" s="1304"/>
      <c r="I8" s="1305">
        <f t="shared" si="0"/>
        <v>0</v>
      </c>
    </row>
    <row r="9" spans="1:9">
      <c r="A9" s="3176"/>
      <c r="B9" s="3177" t="s">
        <v>1087</v>
      </c>
      <c r="C9" s="3177"/>
      <c r="D9" s="1302"/>
      <c r="E9" s="1300"/>
      <c r="F9" s="1303"/>
      <c r="G9" s="1303"/>
      <c r="H9" s="1304"/>
      <c r="I9" s="1305">
        <f t="shared" si="0"/>
        <v>0</v>
      </c>
    </row>
    <row r="10" spans="1:9">
      <c r="A10" s="3176"/>
      <c r="B10" s="3178" t="s">
        <v>1088</v>
      </c>
      <c r="C10" s="3178"/>
      <c r="D10" s="1306"/>
      <c r="E10" s="1306" t="e">
        <f>ROUND(D1*10000/D10/H9,0)</f>
        <v>#DIV/0!</v>
      </c>
      <c r="F10" s="1307"/>
      <c r="G10" s="1307"/>
      <c r="H10" s="1308"/>
      <c r="I10" s="1309">
        <f>SUM(I3:I9)</f>
        <v>0</v>
      </c>
    </row>
    <row r="11" spans="1:9" ht="14.25">
      <c r="A11" s="3176" t="s">
        <v>1089</v>
      </c>
      <c r="B11" s="3177" t="s">
        <v>1090</v>
      </c>
      <c r="C11" s="3177"/>
      <c r="D11" s="1302" t="s">
        <v>1091</v>
      </c>
      <c r="E11" s="1302" t="s">
        <v>1092</v>
      </c>
      <c r="F11" s="1303" t="s">
        <v>1093</v>
      </c>
      <c r="G11" s="1303" t="s">
        <v>1079</v>
      </c>
      <c r="H11" s="1310" t="s">
        <v>1094</v>
      </c>
      <c r="I11" s="1301" t="s">
        <v>1080</v>
      </c>
    </row>
    <row r="12" spans="1:9">
      <c r="A12" s="3176"/>
      <c r="B12" s="3177" t="s">
        <v>1095</v>
      </c>
      <c r="C12" s="3177"/>
      <c r="D12" s="1302"/>
      <c r="E12" s="1302"/>
      <c r="F12" s="1303"/>
      <c r="G12" s="1304"/>
      <c r="H12" s="1311"/>
      <c r="I12" s="1301">
        <f>ROUND(D12*E12*F12*G12/10000,0)</f>
        <v>0</v>
      </c>
    </row>
    <row r="13" spans="1:9">
      <c r="A13" s="3176"/>
      <c r="B13" s="3177" t="s">
        <v>1096</v>
      </c>
      <c r="C13" s="3177"/>
      <c r="D13" s="1302"/>
      <c r="E13" s="1302"/>
      <c r="F13" s="1303"/>
      <c r="G13" s="1304"/>
      <c r="H13" s="1311"/>
      <c r="I13" s="1301">
        <f>ROUND(D13*E13*F13*G13/10000,0)</f>
        <v>0</v>
      </c>
    </row>
    <row r="14" spans="1:9">
      <c r="A14" s="3176"/>
      <c r="B14" s="3177" t="s">
        <v>1097</v>
      </c>
      <c r="C14" s="3177"/>
      <c r="D14" s="1302"/>
      <c r="E14" s="1302"/>
      <c r="F14" s="1303"/>
      <c r="G14" s="1304"/>
      <c r="H14" s="1311"/>
      <c r="I14" s="1301">
        <f>ROUND(D14*E14*F14*G14/10000,0)</f>
        <v>0</v>
      </c>
    </row>
    <row r="15" spans="1:9">
      <c r="A15" s="3176"/>
      <c r="B15" s="3178" t="s">
        <v>1088</v>
      </c>
      <c r="C15" s="3178"/>
      <c r="D15" s="1306"/>
      <c r="E15" s="1306">
        <f>SUM(E12:E14)</f>
        <v>0</v>
      </c>
      <c r="F15" s="1307"/>
      <c r="G15" s="1304"/>
      <c r="H15" s="1311"/>
      <c r="I15" s="1312">
        <f>SUM(I12:I14)</f>
        <v>0</v>
      </c>
    </row>
    <row r="16" spans="1:9" ht="24">
      <c r="A16" s="3176" t="s">
        <v>1098</v>
      </c>
      <c r="B16" s="3177" t="s">
        <v>1099</v>
      </c>
      <c r="C16" s="3177"/>
      <c r="D16" s="1302" t="s">
        <v>1075</v>
      </c>
      <c r="E16" s="1313" t="s">
        <v>1100</v>
      </c>
      <c r="F16" s="1303" t="s">
        <v>1101</v>
      </c>
      <c r="G16" s="1304" t="s">
        <v>1079</v>
      </c>
      <c r="H16" s="1310" t="s">
        <v>1094</v>
      </c>
      <c r="I16" s="1301" t="s">
        <v>1080</v>
      </c>
    </row>
    <row r="17" spans="1:9" ht="14.25">
      <c r="A17" s="3176"/>
      <c r="B17" s="3177" t="s">
        <v>1102</v>
      </c>
      <c r="C17" s="3177"/>
      <c r="D17" s="1302"/>
      <c r="E17" s="1302"/>
      <c r="F17" s="1303"/>
      <c r="G17" s="1304"/>
      <c r="H17" s="1314"/>
      <c r="I17" s="1315">
        <f>ROUND(D17*E17*F17*G17/10000,0)</f>
        <v>0</v>
      </c>
    </row>
    <row r="18" spans="1:9" ht="14.25">
      <c r="A18" s="3176"/>
      <c r="B18" s="3177" t="s">
        <v>1103</v>
      </c>
      <c r="C18" s="3177"/>
      <c r="D18" s="1302"/>
      <c r="E18" s="1302"/>
      <c r="F18" s="1303"/>
      <c r="G18" s="1304"/>
      <c r="H18" s="1314"/>
      <c r="I18" s="1315">
        <f>ROUND(D18*E18*F18*G18/10000,0)</f>
        <v>0</v>
      </c>
    </row>
    <row r="19" spans="1:9" ht="14.25">
      <c r="A19" s="3176"/>
      <c r="B19" s="3177" t="s">
        <v>1104</v>
      </c>
      <c r="C19" s="3177"/>
      <c r="D19" s="1302"/>
      <c r="E19" s="1302"/>
      <c r="F19" s="1303"/>
      <c r="G19" s="1304"/>
      <c r="H19" s="1314"/>
      <c r="I19" s="1315">
        <f>ROUND(D19*E19*F19*G19/10000,0)</f>
        <v>0</v>
      </c>
    </row>
    <row r="20" spans="1:9">
      <c r="A20" s="3176"/>
      <c r="B20" s="3178" t="s">
        <v>1088</v>
      </c>
      <c r="C20" s="3178"/>
      <c r="D20" s="1306">
        <f>SUM(D17:D19)</f>
        <v>0</v>
      </c>
      <c r="E20" s="1306"/>
      <c r="F20" s="1307"/>
      <c r="G20" s="1304"/>
      <c r="H20" s="1311"/>
      <c r="I20" s="1312">
        <f>SUM(I17:I19)</f>
        <v>0</v>
      </c>
    </row>
    <row r="21" spans="1:9">
      <c r="A21" s="3176" t="s">
        <v>1105</v>
      </c>
      <c r="B21" s="3179"/>
      <c r="C21" s="3179"/>
      <c r="D21" s="3179"/>
      <c r="E21" s="3179"/>
      <c r="F21" s="3179"/>
      <c r="G21" s="3179"/>
      <c r="H21" s="1756">
        <v>0.1</v>
      </c>
      <c r="I21" s="1309">
        <f>ROUND(I10*H21,0)</f>
        <v>0</v>
      </c>
    </row>
    <row r="22" spans="1:9" ht="14.25">
      <c r="A22" s="3180" t="s">
        <v>1106</v>
      </c>
      <c r="B22" s="3181"/>
      <c r="C22" s="3182"/>
      <c r="D22" s="1316" t="s">
        <v>1107</v>
      </c>
      <c r="E22" s="1316" t="s">
        <v>1108</v>
      </c>
      <c r="F22" s="1317" t="s">
        <v>1109</v>
      </c>
      <c r="G22" s="1317" t="s">
        <v>1110</v>
      </c>
      <c r="H22" s="1310" t="s">
        <v>1111</v>
      </c>
      <c r="I22" s="1301" t="s">
        <v>1112</v>
      </c>
    </row>
    <row r="23" spans="1:9" ht="14.25" thickBot="1">
      <c r="A23" s="3183"/>
      <c r="B23" s="3184"/>
      <c r="C23" s="3185"/>
      <c r="D23" s="1318"/>
      <c r="E23" s="1318"/>
      <c r="F23" s="1318"/>
      <c r="G23" s="1319"/>
      <c r="H23" s="1320"/>
      <c r="I23" s="1321">
        <f>ROUND(E23*D23*F23*(1-G23)/10000,0)</f>
        <v>0</v>
      </c>
    </row>
    <row r="26" spans="1:9">
      <c r="A26" s="1322" t="s">
        <v>1113</v>
      </c>
      <c r="B26" s="1322"/>
      <c r="C26" s="1322"/>
      <c r="D26" s="1322"/>
      <c r="E26" s="3173">
        <f>C27-C30-C31-C32</f>
        <v>0</v>
      </c>
      <c r="F26" s="3173"/>
      <c r="G26" s="3173"/>
      <c r="H26" s="1736" t="s">
        <v>1335</v>
      </c>
    </row>
    <row r="27" spans="1:9">
      <c r="A27" s="1323">
        <v>1</v>
      </c>
      <c r="B27" s="1324" t="s">
        <v>1114</v>
      </c>
      <c r="C27" s="1324">
        <f>C28+C29</f>
        <v>0</v>
      </c>
      <c r="D27" s="1324"/>
      <c r="E27" s="3174"/>
      <c r="F27" s="3174"/>
      <c r="G27" s="3174"/>
    </row>
    <row r="28" spans="1:9">
      <c r="A28" s="1325" t="s">
        <v>1115</v>
      </c>
      <c r="B28" s="1324" t="s">
        <v>1116</v>
      </c>
      <c r="C28" s="1324"/>
      <c r="D28" s="1324"/>
      <c r="E28" s="3174"/>
      <c r="F28" s="3174"/>
      <c r="G28" s="3174"/>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75"/>
      <c r="F32" s="3175"/>
      <c r="G32" s="3175"/>
    </row>
    <row r="33" spans="1:7" hidden="1">
      <c r="A33" s="3170" t="s">
        <v>1125</v>
      </c>
      <c r="B33" s="3171"/>
      <c r="C33" s="3171"/>
      <c r="D33" s="3172"/>
      <c r="E33" s="3173"/>
      <c r="F33" s="3173"/>
      <c r="G33" s="3173"/>
    </row>
    <row r="34" spans="1:7" hidden="1">
      <c r="A34" s="1327">
        <v>1</v>
      </c>
      <c r="B34" s="1324" t="s">
        <v>1126</v>
      </c>
      <c r="C34" s="1324"/>
      <c r="D34" s="1324"/>
      <c r="E34" s="3174"/>
      <c r="F34" s="3174"/>
      <c r="G34" s="3174"/>
    </row>
    <row r="35" spans="1:7" hidden="1">
      <c r="A35" s="1327">
        <v>2</v>
      </c>
      <c r="B35" s="1324" t="s">
        <v>1127</v>
      </c>
      <c r="C35" s="1324"/>
      <c r="D35" s="1324"/>
      <c r="E35" s="3174"/>
      <c r="F35" s="3174"/>
      <c r="G35" s="3174"/>
    </row>
    <row r="36" spans="1:7" hidden="1">
      <c r="A36" s="1327">
        <v>3</v>
      </c>
      <c r="B36" s="1324" t="s">
        <v>1128</v>
      </c>
      <c r="C36" s="1324"/>
      <c r="D36" s="1324"/>
      <c r="E36" s="3174"/>
      <c r="F36" s="3174"/>
      <c r="G36" s="3174"/>
    </row>
    <row r="37" spans="1:7" hidden="1">
      <c r="A37" s="1327">
        <v>4</v>
      </c>
      <c r="B37" s="1324" t="s">
        <v>1129</v>
      </c>
      <c r="C37" s="1324"/>
      <c r="D37" s="1324"/>
      <c r="E37" s="3174"/>
      <c r="F37" s="3174"/>
      <c r="G37" s="3174"/>
    </row>
    <row r="38" spans="1:7" hidden="1">
      <c r="A38" s="3170" t="s">
        <v>1130</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9"/>
      <c r="D2" s="1364"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16206.229999999998</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1"/>
    </row>
    <row r="4" spans="1:29" ht="15">
      <c r="A4" s="401" t="s">
        <v>2535</v>
      </c>
      <c r="B4" s="402"/>
      <c r="C4" s="3209" t="s">
        <v>2536</v>
      </c>
      <c r="D4" s="3210"/>
      <c r="E4" s="3211" t="s">
        <v>2537</v>
      </c>
      <c r="F4" s="3212"/>
      <c r="G4" s="3209" t="s">
        <v>2538</v>
      </c>
      <c r="H4" s="3210"/>
      <c r="I4" s="3209" t="s">
        <v>2539</v>
      </c>
      <c r="J4" s="3210"/>
      <c r="K4" s="2589" t="s">
        <v>2540</v>
      </c>
      <c r="L4" s="1130"/>
      <c r="M4" s="1131"/>
      <c r="N4" s="1131"/>
      <c r="O4" s="1131"/>
      <c r="P4" s="3213" t="s">
        <v>2541</v>
      </c>
      <c r="Q4" s="3214"/>
      <c r="R4" s="3219" t="s">
        <v>2537</v>
      </c>
      <c r="S4" s="3220"/>
      <c r="T4" s="3219" t="s">
        <v>2538</v>
      </c>
      <c r="U4" s="3220"/>
      <c r="V4" s="3225" t="s">
        <v>2539</v>
      </c>
      <c r="W4" s="3225"/>
      <c r="X4" s="1804"/>
      <c r="Y4" s="3219" t="s">
        <v>2541</v>
      </c>
      <c r="Z4" s="3220"/>
      <c r="AA4" s="3206" t="s">
        <v>2537</v>
      </c>
      <c r="AB4" s="3206" t="s">
        <v>2538</v>
      </c>
      <c r="AC4" s="3206" t="s">
        <v>2539</v>
      </c>
    </row>
    <row r="5" spans="1:29" ht="15">
      <c r="A5" s="404"/>
      <c r="B5" s="405"/>
      <c r="C5" s="3228" t="s">
        <v>2542</v>
      </c>
      <c r="D5" s="3229"/>
      <c r="E5" s="3235" t="s">
        <v>2543</v>
      </c>
      <c r="F5" s="3236"/>
      <c r="G5" s="3228" t="s">
        <v>2544</v>
      </c>
      <c r="H5" s="3229"/>
      <c r="I5" s="3228" t="s">
        <v>2545</v>
      </c>
      <c r="J5" s="3229"/>
      <c r="K5" s="2590"/>
      <c r="L5" s="1130"/>
      <c r="M5" s="1131"/>
      <c r="N5" s="1131"/>
      <c r="O5" s="1131"/>
      <c r="P5" s="3215"/>
      <c r="Q5" s="3216"/>
      <c r="R5" s="3221"/>
      <c r="S5" s="3222"/>
      <c r="T5" s="3221"/>
      <c r="U5" s="3222"/>
      <c r="V5" s="3225"/>
      <c r="W5" s="3225"/>
      <c r="X5" s="1804"/>
      <c r="Y5" s="3221"/>
      <c r="Z5" s="3222"/>
      <c r="AA5" s="3207"/>
      <c r="AB5" s="3207"/>
      <c r="AC5" s="3207"/>
    </row>
    <row r="6" spans="1:29" ht="15.75" thickBot="1">
      <c r="A6" s="406"/>
      <c r="B6" s="407"/>
      <c r="C6" s="3226" t="s">
        <v>2546</v>
      </c>
      <c r="D6" s="3227"/>
      <c r="E6" s="3233" t="s">
        <v>2546</v>
      </c>
      <c r="F6" s="3234"/>
      <c r="G6" s="3226" t="s">
        <v>2546</v>
      </c>
      <c r="H6" s="3227"/>
      <c r="I6" s="3226" t="s">
        <v>2546</v>
      </c>
      <c r="J6" s="3227"/>
      <c r="K6" s="2590" t="s">
        <v>2547</v>
      </c>
      <c r="L6" s="1130"/>
      <c r="M6" s="1131"/>
      <c r="N6" s="1131"/>
      <c r="O6" s="1131"/>
      <c r="P6" s="3217"/>
      <c r="Q6" s="3218"/>
      <c r="R6" s="3221"/>
      <c r="S6" s="3222"/>
      <c r="T6" s="3223"/>
      <c r="U6" s="3224"/>
      <c r="V6" s="3225"/>
      <c r="W6" s="3225"/>
      <c r="X6" s="1804"/>
      <c r="Y6" s="3223"/>
      <c r="Z6" s="3224"/>
      <c r="AA6" s="3208"/>
      <c r="AB6" s="3208"/>
      <c r="AC6" s="3208"/>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30" t="s">
        <v>2549</v>
      </c>
      <c r="Q7" s="3232"/>
      <c r="R7" s="770" t="s">
        <v>23</v>
      </c>
      <c r="S7" s="771">
        <f t="shared" ref="S7:S15" si="0">F7</f>
        <v>0</v>
      </c>
      <c r="T7" s="770" t="s">
        <v>23</v>
      </c>
      <c r="U7" s="771">
        <f t="shared" ref="U7:U15" si="1">H7</f>
        <v>0</v>
      </c>
      <c r="V7" s="770" t="s">
        <v>23</v>
      </c>
      <c r="W7" s="771">
        <f t="shared" ref="W7:W15" si="2">J7</f>
        <v>0</v>
      </c>
      <c r="X7" s="772"/>
      <c r="Y7" s="3230" t="s">
        <v>2549</v>
      </c>
      <c r="Z7" s="3231"/>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30" t="s">
        <v>2552</v>
      </c>
      <c r="Q8" s="3231"/>
      <c r="R8" s="770" t="s">
        <v>23</v>
      </c>
      <c r="S8" s="771">
        <f t="shared" si="0"/>
        <v>0</v>
      </c>
      <c r="T8" s="770" t="s">
        <v>23</v>
      </c>
      <c r="U8" s="771">
        <f t="shared" si="1"/>
        <v>0</v>
      </c>
      <c r="V8" s="770" t="s">
        <v>23</v>
      </c>
      <c r="W8" s="771">
        <f t="shared" si="2"/>
        <v>0</v>
      </c>
      <c r="X8" s="772"/>
      <c r="Y8" s="3230" t="s">
        <v>2552</v>
      </c>
      <c r="Z8" s="323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5" t="s">
        <v>2555</v>
      </c>
      <c r="Q9" s="1786"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86"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5"/>
      <c r="Q12" s="1786">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5"/>
      <c r="Q13" s="1786">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5"/>
      <c r="Q14" s="1786">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3" t="s">
        <v>2560</v>
      </c>
      <c r="Q15" s="1801" t="str">
        <f t="shared" si="6"/>
        <v>居住社区成熟度</v>
      </c>
      <c r="R15" s="774" t="s">
        <v>21</v>
      </c>
      <c r="S15" s="775">
        <f t="shared" si="0"/>
        <v>100</v>
      </c>
      <c r="T15" s="774" t="s">
        <v>21</v>
      </c>
      <c r="U15" s="775">
        <f t="shared" si="1"/>
        <v>100</v>
      </c>
      <c r="V15" s="774" t="s">
        <v>21</v>
      </c>
      <c r="W15" s="775">
        <f t="shared" si="2"/>
        <v>100</v>
      </c>
      <c r="X15" s="1804"/>
      <c r="Y15" s="3196"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04"/>
      <c r="Q16" s="1801"/>
      <c r="R16" s="774"/>
      <c r="S16" s="775"/>
      <c r="T16" s="774"/>
      <c r="U16" s="775"/>
      <c r="V16" s="774"/>
      <c r="W16" s="775"/>
      <c r="X16" s="1804"/>
      <c r="Y16" s="3197"/>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4"/>
      <c r="Q17" s="1801" t="str">
        <f>B17</f>
        <v>交通便捷度</v>
      </c>
      <c r="R17" s="774" t="s">
        <v>21</v>
      </c>
      <c r="S17" s="775">
        <f>F17</f>
        <v>100</v>
      </c>
      <c r="T17" s="774" t="s">
        <v>21</v>
      </c>
      <c r="U17" s="775">
        <f>H17</f>
        <v>100</v>
      </c>
      <c r="V17" s="774" t="s">
        <v>21</v>
      </c>
      <c r="W17" s="775">
        <f>J17</f>
        <v>100</v>
      </c>
      <c r="X17" s="1804"/>
      <c r="Y17" s="3197"/>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04"/>
      <c r="Q18" s="1801"/>
      <c r="R18" s="774"/>
      <c r="S18" s="775"/>
      <c r="T18" s="774"/>
      <c r="U18" s="775"/>
      <c r="V18" s="774"/>
      <c r="W18" s="775"/>
      <c r="X18" s="1804"/>
      <c r="Y18" s="3197"/>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4"/>
      <c r="Q19" s="1801" t="str">
        <f>B19</f>
        <v>公共配套设施</v>
      </c>
      <c r="R19" s="774" t="s">
        <v>21</v>
      </c>
      <c r="S19" s="775">
        <f>F19</f>
        <v>100</v>
      </c>
      <c r="T19" s="774" t="s">
        <v>21</v>
      </c>
      <c r="U19" s="775">
        <f>H19</f>
        <v>100</v>
      </c>
      <c r="V19" s="774" t="s">
        <v>21</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04"/>
      <c r="Q20" s="1801"/>
      <c r="R20" s="774"/>
      <c r="S20" s="775"/>
      <c r="T20" s="774"/>
      <c r="U20" s="775"/>
      <c r="V20" s="774"/>
      <c r="W20" s="775"/>
      <c r="X20" s="1804"/>
      <c r="Y20" s="3197"/>
      <c r="Z20" s="1805"/>
      <c r="AA20" s="1802">
        <v>1</v>
      </c>
      <c r="AB20" s="1802">
        <v>1</v>
      </c>
      <c r="AC20" s="1802">
        <v>1</v>
      </c>
    </row>
    <row r="21" spans="1:29" ht="28.5">
      <c r="A21" s="428"/>
      <c r="B21" s="1383"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8"/>
      <c r="G22" s="2604"/>
      <c r="H22" s="448"/>
      <c r="I22" s="447"/>
      <c r="J22" s="448"/>
      <c r="K22" s="2605"/>
      <c r="L22" s="1140"/>
      <c r="M22" s="1131"/>
      <c r="N22" s="1131"/>
      <c r="O22" s="1131"/>
      <c r="P22" s="3204"/>
      <c r="Q22" s="1801"/>
      <c r="R22" s="774"/>
      <c r="S22" s="775"/>
      <c r="T22" s="774"/>
      <c r="U22" s="775"/>
      <c r="V22" s="774"/>
      <c r="W22" s="775"/>
      <c r="X22" s="1804"/>
      <c r="Y22" s="3197"/>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4"/>
      <c r="Q23" s="1801" t="str">
        <f>B23</f>
        <v>自然及人文环境</v>
      </c>
      <c r="R23" s="774" t="s">
        <v>21</v>
      </c>
      <c r="S23" s="775">
        <f>F23</f>
        <v>100</v>
      </c>
      <c r="T23" s="774" t="s">
        <v>21</v>
      </c>
      <c r="U23" s="775">
        <f>H23</f>
        <v>100</v>
      </c>
      <c r="V23" s="774" t="s">
        <v>21</v>
      </c>
      <c r="W23" s="775">
        <f>J23</f>
        <v>100</v>
      </c>
      <c r="X23" s="1804"/>
      <c r="Y23" s="3197"/>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04"/>
      <c r="Q24" s="1801"/>
      <c r="R24" s="774"/>
      <c r="S24" s="775"/>
      <c r="T24" s="774"/>
      <c r="U24" s="775"/>
      <c r="V24" s="774"/>
      <c r="W24" s="775"/>
      <c r="X24" s="1804"/>
      <c r="Y24" s="3197"/>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04"/>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197"/>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04"/>
      <c r="Q26" s="1801" t="str">
        <f t="shared" si="11"/>
        <v>朝向</v>
      </c>
      <c r="R26" s="774" t="s">
        <v>21</v>
      </c>
      <c r="S26" s="775">
        <f t="shared" si="12"/>
        <v>100</v>
      </c>
      <c r="T26" s="774" t="s">
        <v>21</v>
      </c>
      <c r="U26" s="775">
        <f t="shared" si="13"/>
        <v>100</v>
      </c>
      <c r="V26" s="774" t="s">
        <v>21</v>
      </c>
      <c r="W26" s="775">
        <f t="shared" si="14"/>
        <v>100</v>
      </c>
      <c r="X26" s="1804"/>
      <c r="Y26" s="3197"/>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04"/>
      <c r="Q27" s="1786">
        <f t="shared" si="11"/>
        <v>111</v>
      </c>
      <c r="R27" s="770" t="s">
        <v>21</v>
      </c>
      <c r="S27" s="771">
        <f t="shared" si="12"/>
        <v>100</v>
      </c>
      <c r="T27" s="770" t="s">
        <v>21</v>
      </c>
      <c r="U27" s="771">
        <f t="shared" si="13"/>
        <v>100</v>
      </c>
      <c r="V27" s="770" t="s">
        <v>21</v>
      </c>
      <c r="W27" s="771">
        <f t="shared" si="14"/>
        <v>100</v>
      </c>
      <c r="X27" s="772"/>
      <c r="Y27" s="3197"/>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04"/>
      <c r="Q28" s="1801">
        <f t="shared" si="11"/>
        <v>111</v>
      </c>
      <c r="R28" s="774" t="s">
        <v>21</v>
      </c>
      <c r="S28" s="775">
        <f t="shared" si="12"/>
        <v>100</v>
      </c>
      <c r="T28" s="774" t="s">
        <v>21</v>
      </c>
      <c r="U28" s="775">
        <f t="shared" si="13"/>
        <v>100</v>
      </c>
      <c r="V28" s="774" t="s">
        <v>21</v>
      </c>
      <c r="W28" s="775">
        <f t="shared" si="14"/>
        <v>100</v>
      </c>
      <c r="X28" s="1804"/>
      <c r="Y28" s="3197"/>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04"/>
      <c r="Q29" s="1801">
        <f t="shared" si="11"/>
        <v>111</v>
      </c>
      <c r="R29" s="774" t="s">
        <v>21</v>
      </c>
      <c r="S29" s="775">
        <f t="shared" si="12"/>
        <v>100</v>
      </c>
      <c r="T29" s="774" t="s">
        <v>21</v>
      </c>
      <c r="U29" s="775">
        <f t="shared" si="13"/>
        <v>100</v>
      </c>
      <c r="V29" s="774" t="s">
        <v>21</v>
      </c>
      <c r="W29" s="775">
        <f t="shared" si="14"/>
        <v>100</v>
      </c>
      <c r="X29" s="1804"/>
      <c r="Y29" s="3197"/>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04"/>
      <c r="Q30" s="1801">
        <f t="shared" si="11"/>
        <v>111</v>
      </c>
      <c r="R30" s="774" t="s">
        <v>21</v>
      </c>
      <c r="S30" s="775">
        <f t="shared" si="12"/>
        <v>100</v>
      </c>
      <c r="T30" s="774" t="s">
        <v>21</v>
      </c>
      <c r="U30" s="775">
        <f t="shared" si="13"/>
        <v>100</v>
      </c>
      <c r="V30" s="774" t="s">
        <v>21</v>
      </c>
      <c r="W30" s="775">
        <f t="shared" si="14"/>
        <v>100</v>
      </c>
      <c r="X30" s="1804"/>
      <c r="Y30" s="3197"/>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04"/>
      <c r="Q31" s="1801">
        <f t="shared" si="11"/>
        <v>111</v>
      </c>
      <c r="R31" s="774" t="s">
        <v>21</v>
      </c>
      <c r="S31" s="775">
        <f t="shared" si="12"/>
        <v>100</v>
      </c>
      <c r="T31" s="774" t="s">
        <v>21</v>
      </c>
      <c r="U31" s="775">
        <f t="shared" si="13"/>
        <v>100</v>
      </c>
      <c r="V31" s="774" t="s">
        <v>21</v>
      </c>
      <c r="W31" s="775">
        <f t="shared" si="14"/>
        <v>100</v>
      </c>
      <c r="X31" s="1804"/>
      <c r="Y31" s="3197"/>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198" t="s">
        <v>2565</v>
      </c>
      <c r="Q32" s="1801" t="str">
        <f t="shared" si="11"/>
        <v>建筑类型</v>
      </c>
      <c r="R32" s="774" t="s">
        <v>21</v>
      </c>
      <c r="S32" s="775">
        <f t="shared" si="12"/>
        <v>100</v>
      </c>
      <c r="T32" s="774" t="s">
        <v>21</v>
      </c>
      <c r="U32" s="775">
        <f t="shared" si="13"/>
        <v>100</v>
      </c>
      <c r="V32" s="774" t="s">
        <v>21</v>
      </c>
      <c r="W32" s="775">
        <f t="shared" si="14"/>
        <v>100</v>
      </c>
      <c r="X32" s="1804"/>
      <c r="Y32" s="3201"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199"/>
      <c r="Q34" s="1801" t="str">
        <f t="shared" si="11"/>
        <v>建筑结构</v>
      </c>
      <c r="R34" s="774" t="s">
        <v>21</v>
      </c>
      <c r="S34" s="775">
        <f t="shared" si="12"/>
        <v>100</v>
      </c>
      <c r="T34" s="774" t="s">
        <v>21</v>
      </c>
      <c r="U34" s="775">
        <f t="shared" si="13"/>
        <v>100</v>
      </c>
      <c r="V34" s="774" t="s">
        <v>21</v>
      </c>
      <c r="W34" s="775">
        <f t="shared" si="14"/>
        <v>100</v>
      </c>
      <c r="X34" s="1804"/>
      <c r="Y34" s="3201"/>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199"/>
      <c r="Q35" s="1801" t="str">
        <f t="shared" si="11"/>
        <v>建筑品质</v>
      </c>
      <c r="R35" s="774" t="s">
        <v>21</v>
      </c>
      <c r="S35" s="775">
        <f t="shared" si="12"/>
        <v>100</v>
      </c>
      <c r="T35" s="774" t="s">
        <v>21</v>
      </c>
      <c r="U35" s="775">
        <f t="shared" si="13"/>
        <v>100</v>
      </c>
      <c r="V35" s="774" t="s">
        <v>21</v>
      </c>
      <c r="W35" s="775">
        <f t="shared" si="14"/>
        <v>100</v>
      </c>
      <c r="X35" s="1804"/>
      <c r="Y35" s="3201"/>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199"/>
      <c r="Q36" s="1801" t="str">
        <f t="shared" si="11"/>
        <v>公共部分装修</v>
      </c>
      <c r="R36" s="774" t="s">
        <v>21</v>
      </c>
      <c r="S36" s="775">
        <f t="shared" si="12"/>
        <v>100</v>
      </c>
      <c r="T36" s="774" t="s">
        <v>21</v>
      </c>
      <c r="U36" s="775">
        <f t="shared" si="13"/>
        <v>100</v>
      </c>
      <c r="V36" s="774" t="s">
        <v>21</v>
      </c>
      <c r="W36" s="775">
        <f t="shared" si="14"/>
        <v>100</v>
      </c>
      <c r="X36" s="1804"/>
      <c r="Y36" s="3201"/>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9"/>
      <c r="Q37" s="1786"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199" t="s">
        <v>2565</v>
      </c>
      <c r="Q38" s="1801" t="str">
        <f t="shared" si="11"/>
        <v>物业管理</v>
      </c>
      <c r="R38" s="774" t="s">
        <v>21</v>
      </c>
      <c r="S38" s="775">
        <f t="shared" si="12"/>
        <v>100</v>
      </c>
      <c r="T38" s="774" t="s">
        <v>21</v>
      </c>
      <c r="U38" s="775">
        <f t="shared" si="13"/>
        <v>100</v>
      </c>
      <c r="V38" s="774" t="s">
        <v>21</v>
      </c>
      <c r="W38" s="775">
        <f t="shared" si="14"/>
        <v>100</v>
      </c>
      <c r="X38" s="1804"/>
      <c r="Y38" s="3201"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199"/>
      <c r="Q39" s="1801" t="str">
        <f t="shared" si="11"/>
        <v>市政基础设施</v>
      </c>
      <c r="R39" s="774" t="s">
        <v>21</v>
      </c>
      <c r="S39" s="775">
        <f t="shared" si="12"/>
        <v>100</v>
      </c>
      <c r="T39" s="774" t="s">
        <v>21</v>
      </c>
      <c r="U39" s="775">
        <f t="shared" si="13"/>
        <v>100</v>
      </c>
      <c r="V39" s="774" t="s">
        <v>21</v>
      </c>
      <c r="W39" s="775">
        <f t="shared" si="14"/>
        <v>100</v>
      </c>
      <c r="X39" s="1804"/>
      <c r="Y39" s="3201"/>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199"/>
      <c r="Q40" s="1801" t="str">
        <f t="shared" si="11"/>
        <v>房型</v>
      </c>
      <c r="R40" s="774" t="s">
        <v>21</v>
      </c>
      <c r="S40" s="775">
        <f t="shared" si="12"/>
        <v>100</v>
      </c>
      <c r="T40" s="774" t="s">
        <v>21</v>
      </c>
      <c r="U40" s="775">
        <f t="shared" si="13"/>
        <v>100</v>
      </c>
      <c r="V40" s="774" t="s">
        <v>21</v>
      </c>
      <c r="W40" s="775">
        <f t="shared" si="14"/>
        <v>100</v>
      </c>
      <c r="X40" s="1804"/>
      <c r="Y40" s="3201"/>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199"/>
      <c r="Q42" s="1801" t="str">
        <f t="shared" si="11"/>
        <v>内部装修</v>
      </c>
      <c r="R42" s="774" t="s">
        <v>21</v>
      </c>
      <c r="S42" s="775">
        <f t="shared" si="12"/>
        <v>100</v>
      </c>
      <c r="T42" s="774" t="s">
        <v>21</v>
      </c>
      <c r="U42" s="775">
        <f t="shared" si="13"/>
        <v>100</v>
      </c>
      <c r="V42" s="774" t="s">
        <v>21</v>
      </c>
      <c r="W42" s="775">
        <f t="shared" si="14"/>
        <v>100</v>
      </c>
      <c r="X42" s="1804"/>
      <c r="Y42" s="3201"/>
      <c r="Z42" s="1805" t="str">
        <f t="shared" si="18"/>
        <v>内部装修</v>
      </c>
      <c r="AA42" s="1802">
        <f t="shared" si="15"/>
        <v>1</v>
      </c>
      <c r="AB42" s="1802">
        <f t="shared" si="16"/>
        <v>1</v>
      </c>
      <c r="AC42" s="1802">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199"/>
      <c r="Q43" s="1801" t="str">
        <f t="shared" si="11"/>
        <v>内部装修维护情况</v>
      </c>
      <c r="R43" s="774" t="s">
        <v>21</v>
      </c>
      <c r="S43" s="775">
        <f t="shared" si="12"/>
        <v>100</v>
      </c>
      <c r="T43" s="774" t="s">
        <v>21</v>
      </c>
      <c r="U43" s="775">
        <f t="shared" si="13"/>
        <v>100</v>
      </c>
      <c r="V43" s="774" t="s">
        <v>21</v>
      </c>
      <c r="W43" s="775">
        <f t="shared" si="14"/>
        <v>100</v>
      </c>
      <c r="X43" s="1804"/>
      <c r="Y43" s="3201"/>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199"/>
      <c r="Q44" s="1786">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199"/>
      <c r="Q45" s="1801">
        <f t="shared" si="11"/>
        <v>111</v>
      </c>
      <c r="R45" s="774" t="s">
        <v>21</v>
      </c>
      <c r="S45" s="775">
        <f t="shared" si="12"/>
        <v>100</v>
      </c>
      <c r="T45" s="774" t="s">
        <v>21</v>
      </c>
      <c r="U45" s="775">
        <f t="shared" si="13"/>
        <v>100</v>
      </c>
      <c r="V45" s="774" t="s">
        <v>21</v>
      </c>
      <c r="W45" s="775">
        <f t="shared" si="14"/>
        <v>100</v>
      </c>
      <c r="X45" s="1804"/>
      <c r="Y45" s="3201"/>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0"/>
      <c r="Q46" s="1801">
        <f t="shared" si="11"/>
        <v>111</v>
      </c>
      <c r="R46" s="774" t="s">
        <v>20</v>
      </c>
      <c r="S46" s="775">
        <f t="shared" si="12"/>
        <v>100</v>
      </c>
      <c r="T46" s="774" t="s">
        <v>20</v>
      </c>
      <c r="U46" s="775">
        <f t="shared" si="13"/>
        <v>100</v>
      </c>
      <c r="V46" s="774" t="s">
        <v>20</v>
      </c>
      <c r="W46" s="775">
        <f t="shared" si="14"/>
        <v>100</v>
      </c>
      <c r="X46" s="1804"/>
      <c r="Y46" s="3202"/>
      <c r="Z46" s="1805">
        <f t="shared" si="18"/>
        <v>111</v>
      </c>
      <c r="AA46" s="1802">
        <f t="shared" si="15"/>
        <v>1</v>
      </c>
      <c r="AB46" s="1802">
        <f t="shared" si="16"/>
        <v>1</v>
      </c>
      <c r="AC46" s="1802">
        <f t="shared" si="17"/>
        <v>1</v>
      </c>
    </row>
    <row r="47" spans="1:29" ht="15">
      <c r="A47" s="479" t="s">
        <v>2577</v>
      </c>
      <c r="B47" s="480"/>
      <c r="C47" s="1406" t="s">
        <v>19</v>
      </c>
      <c r="D47" s="1407"/>
      <c r="E47" s="1408"/>
      <c r="F47" s="1409"/>
      <c r="G47" s="1410"/>
      <c r="H47" s="1411"/>
      <c r="I47" s="1408"/>
      <c r="J47" s="1411"/>
      <c r="K47" s="2614"/>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15"/>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16"/>
      <c r="L49" s="1143"/>
      <c r="M49" s="1144"/>
      <c r="N49" s="1144"/>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1"/>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1606</v>
      </c>
    </row>
    <row r="6" spans="1:1" ht="18.75">
      <c r="A6" s="1940" t="s">
        <v>1607</v>
      </c>
    </row>
    <row r="7" spans="1:1" ht="18">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估价对象为北京市出让国有建设用地使用权及在建建筑物房地产，为所有。根据《国有土地使用证》[]，估价对象（分摊）出让国有建设用地使用权面积为5264.7平方米，建筑面积为16206.23平方米。</v>
      </c>
    </row>
    <row r="8" spans="1:1" ht="57.75">
      <c r="A8" s="1941" t="s">
        <v>1608</v>
      </c>
    </row>
    <row r="9" spans="1:1" ht="18.75">
      <c r="A9" s="1940" t="s">
        <v>1609</v>
      </c>
    </row>
    <row r="10" spans="1:1" ht="18">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2019年4月15日</v>
      </c>
    </row>
    <row r="16" spans="1:1" ht="18.75">
      <c r="A16" s="1943" t="s">
        <v>1613</v>
      </c>
    </row>
    <row r="17" spans="1:1" ht="75">
      <c r="A17" s="1938" t="s">
        <v>1614</v>
      </c>
    </row>
    <row r="18" spans="1:1" ht="36">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本次评估采用的主估价方法为基准地价系数修正法和基准地价系数修正法。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7" t="e">
        <f ca="1">IF(C2="——",ROUND(C49*D3/10000,0),ROUND(C49*D3/10000,0)-D2)</f>
        <v>#DIV/0!</v>
      </c>
      <c r="C2" s="2579"/>
      <c r="D2" s="1364"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16206.229999999998</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25" t="s">
        <v>2648</v>
      </c>
      <c r="AC4" s="3206" t="s">
        <v>2649</v>
      </c>
    </row>
    <row r="5" spans="1:29"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25"/>
      <c r="AC5" s="3207"/>
    </row>
    <row r="6" spans="1:29" ht="15.75" thickBot="1">
      <c r="A6" s="406"/>
      <c r="B6" s="407"/>
      <c r="C6" s="3226" t="s">
        <v>2546</v>
      </c>
      <c r="D6" s="3227"/>
      <c r="E6" s="3233" t="s">
        <v>2546</v>
      </c>
      <c r="F6" s="3234"/>
      <c r="G6" s="3226" t="s">
        <v>2546</v>
      </c>
      <c r="H6" s="3227"/>
      <c r="I6" s="3226" t="s">
        <v>2546</v>
      </c>
      <c r="J6" s="3227"/>
      <c r="K6" s="610" t="s">
        <v>2547</v>
      </c>
      <c r="L6" s="1130"/>
      <c r="M6" s="1131"/>
      <c r="N6" s="1131"/>
      <c r="O6" s="1131"/>
      <c r="P6" s="3217"/>
      <c r="Q6" s="3218"/>
      <c r="R6" s="3221"/>
      <c r="S6" s="3222"/>
      <c r="T6" s="3223"/>
      <c r="U6" s="3224"/>
      <c r="V6" s="3225"/>
      <c r="W6" s="3225"/>
      <c r="X6" s="1804"/>
      <c r="Y6" s="3223"/>
      <c r="Z6" s="3224"/>
      <c r="AA6" s="3208"/>
      <c r="AB6" s="3225"/>
      <c r="AC6" s="3208"/>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2555</v>
      </c>
      <c r="Q9" s="1786"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86"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86">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3" t="s">
        <v>2560</v>
      </c>
      <c r="Q15" s="1801" t="str">
        <f t="shared" si="6"/>
        <v>商业繁华度</v>
      </c>
      <c r="R15" s="774" t="s">
        <v>17</v>
      </c>
      <c r="S15" s="775">
        <f t="shared" si="0"/>
        <v>100</v>
      </c>
      <c r="T15" s="774" t="s">
        <v>17</v>
      </c>
      <c r="U15" s="775">
        <f t="shared" si="1"/>
        <v>100</v>
      </c>
      <c r="V15" s="774" t="s">
        <v>17</v>
      </c>
      <c r="W15" s="775">
        <f t="shared" si="2"/>
        <v>100</v>
      </c>
      <c r="X15" s="1804"/>
      <c r="Y15" s="3196"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04"/>
      <c r="Q16" s="1801"/>
      <c r="R16" s="774"/>
      <c r="S16" s="775"/>
      <c r="T16" s="774"/>
      <c r="U16" s="775"/>
      <c r="V16" s="774"/>
      <c r="W16" s="775"/>
      <c r="X16" s="1804"/>
      <c r="Y16" s="3197"/>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4"/>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04"/>
      <c r="Q18" s="1801"/>
      <c r="R18" s="774"/>
      <c r="S18" s="775"/>
      <c r="T18" s="774"/>
      <c r="U18" s="775"/>
      <c r="V18" s="774"/>
      <c r="W18" s="775"/>
      <c r="X18" s="1804"/>
      <c r="Y18" s="3197"/>
      <c r="Z18" s="1805"/>
      <c r="AA18" s="1802">
        <v>1</v>
      </c>
      <c r="AB18" s="1802">
        <v>1</v>
      </c>
      <c r="AC18" s="1802">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4"/>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04"/>
      <c r="Q20" s="1801"/>
      <c r="R20" s="774"/>
      <c r="S20" s="775"/>
      <c r="T20" s="774"/>
      <c r="U20" s="775"/>
      <c r="V20" s="774"/>
      <c r="W20" s="775"/>
      <c r="X20" s="1804"/>
      <c r="Y20" s="3197"/>
      <c r="Z20" s="1805"/>
      <c r="AA20" s="1802">
        <v>1</v>
      </c>
      <c r="AB20" s="1802">
        <v>1</v>
      </c>
      <c r="AC20" s="1802">
        <v>1</v>
      </c>
    </row>
    <row r="21" spans="1:29" ht="28.5">
      <c r="A21" s="428"/>
      <c r="B21" s="1383"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1"/>
      <c r="P22" s="3204"/>
      <c r="Q22" s="1801"/>
      <c r="R22" s="774"/>
      <c r="S22" s="775"/>
      <c r="T22" s="774"/>
      <c r="U22" s="775"/>
      <c r="V22" s="774"/>
      <c r="W22" s="775"/>
      <c r="X22" s="1804"/>
      <c r="Y22" s="3197"/>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4"/>
      <c r="Q23" s="1801" t="str">
        <f>B23</f>
        <v>自然及人文环境</v>
      </c>
      <c r="R23" s="774" t="s">
        <v>17</v>
      </c>
      <c r="S23" s="775">
        <f>F23</f>
        <v>100</v>
      </c>
      <c r="T23" s="774" t="s">
        <v>17</v>
      </c>
      <c r="U23" s="775">
        <f>H23</f>
        <v>100</v>
      </c>
      <c r="V23" s="774" t="s">
        <v>17</v>
      </c>
      <c r="W23" s="775">
        <f>J23</f>
        <v>100</v>
      </c>
      <c r="X23" s="1804"/>
      <c r="Y23" s="3197"/>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04"/>
      <c r="Q24" s="1801"/>
      <c r="R24" s="774"/>
      <c r="S24" s="775"/>
      <c r="T24" s="774"/>
      <c r="U24" s="775"/>
      <c r="V24" s="774"/>
      <c r="W24" s="775"/>
      <c r="X24" s="1804"/>
      <c r="Y24" s="3197"/>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4"/>
      <c r="Q25" s="1801" t="str">
        <f t="shared" ref="Q25:Q46" si="11">B25</f>
        <v>临街状况</v>
      </c>
      <c r="R25" s="774" t="s">
        <v>17</v>
      </c>
      <c r="S25" s="775">
        <f>F25</f>
        <v>100</v>
      </c>
      <c r="T25" s="774" t="s">
        <v>17</v>
      </c>
      <c r="U25" s="775">
        <f>H25</f>
        <v>100</v>
      </c>
      <c r="V25" s="774" t="s">
        <v>17</v>
      </c>
      <c r="W25" s="775">
        <f>J25</f>
        <v>100</v>
      </c>
      <c r="X25" s="1804"/>
      <c r="Y25" s="3197"/>
      <c r="Z25" s="1805" t="str">
        <f>Q25</f>
        <v>临街状况</v>
      </c>
      <c r="AA25" s="1802">
        <f t="shared" si="3"/>
        <v>1</v>
      </c>
      <c r="AB25" s="1802">
        <f t="shared" si="4"/>
        <v>1</v>
      </c>
      <c r="AC25" s="1802">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4"/>
      <c r="Q26" s="1801" t="str">
        <f t="shared" si="11"/>
        <v>平面位置/可视性</v>
      </c>
      <c r="R26" s="774" t="s">
        <v>17</v>
      </c>
      <c r="S26" s="775">
        <f>F26</f>
        <v>100</v>
      </c>
      <c r="T26" s="774" t="s">
        <v>17</v>
      </c>
      <c r="U26" s="775">
        <f>H26</f>
        <v>100</v>
      </c>
      <c r="V26" s="774" t="s">
        <v>17</v>
      </c>
      <c r="W26" s="775">
        <f>J26</f>
        <v>100</v>
      </c>
      <c r="X26" s="1804"/>
      <c r="Y26" s="3197"/>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04"/>
      <c r="Q27" s="1786" t="str">
        <f t="shared" si="11"/>
        <v>人流量</v>
      </c>
      <c r="R27" s="770" t="s">
        <v>17</v>
      </c>
      <c r="S27" s="771">
        <f>F27</f>
        <v>100</v>
      </c>
      <c r="T27" s="770" t="s">
        <v>17</v>
      </c>
      <c r="U27" s="771">
        <f>H27</f>
        <v>100</v>
      </c>
      <c r="V27" s="770" t="s">
        <v>17</v>
      </c>
      <c r="W27" s="771">
        <f>J27</f>
        <v>100</v>
      </c>
      <c r="X27" s="772"/>
      <c r="Y27" s="3197"/>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4"/>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197"/>
      <c r="Z28" s="1805" t="str">
        <f t="shared" ref="Z28:Z46" si="15">Q28</f>
        <v>楼层</v>
      </c>
      <c r="AA28" s="1802">
        <f t="shared" si="3"/>
        <v>1</v>
      </c>
      <c r="AB28" s="1802">
        <f t="shared" si="4"/>
        <v>1</v>
      </c>
      <c r="AC28" s="1802">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4"/>
      <c r="Q29" s="1801">
        <f t="shared" si="11"/>
        <v>111</v>
      </c>
      <c r="R29" s="774" t="s">
        <v>17</v>
      </c>
      <c r="S29" s="775">
        <f t="shared" si="12"/>
        <v>100</v>
      </c>
      <c r="T29" s="774" t="s">
        <v>17</v>
      </c>
      <c r="U29" s="775">
        <f t="shared" si="13"/>
        <v>100</v>
      </c>
      <c r="V29" s="774" t="s">
        <v>17</v>
      </c>
      <c r="W29" s="775">
        <f t="shared" si="14"/>
        <v>100</v>
      </c>
      <c r="X29" s="1804"/>
      <c r="Y29" s="3197"/>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4"/>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4"/>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198" t="s">
        <v>2565</v>
      </c>
      <c r="Q32" s="1801" t="str">
        <f t="shared" si="11"/>
        <v>商业类型</v>
      </c>
      <c r="R32" s="774" t="s">
        <v>17</v>
      </c>
      <c r="S32" s="775">
        <f t="shared" si="12"/>
        <v>100</v>
      </c>
      <c r="T32" s="774" t="s">
        <v>17</v>
      </c>
      <c r="U32" s="775">
        <f t="shared" si="13"/>
        <v>100</v>
      </c>
      <c r="V32" s="774" t="s">
        <v>17</v>
      </c>
      <c r="W32" s="775">
        <f t="shared" si="14"/>
        <v>100</v>
      </c>
      <c r="X32" s="1804"/>
      <c r="Y32" s="3201"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199"/>
      <c r="Q34" s="1801" t="str">
        <f t="shared" si="11"/>
        <v>建筑结构</v>
      </c>
      <c r="R34" s="774" t="s">
        <v>17</v>
      </c>
      <c r="S34" s="775">
        <f t="shared" si="12"/>
        <v>100</v>
      </c>
      <c r="T34" s="774" t="s">
        <v>17</v>
      </c>
      <c r="U34" s="775">
        <f t="shared" si="13"/>
        <v>100</v>
      </c>
      <c r="V34" s="774" t="s">
        <v>17</v>
      </c>
      <c r="W34" s="775">
        <f t="shared" si="14"/>
        <v>100</v>
      </c>
      <c r="X34" s="1804"/>
      <c r="Y34" s="3201"/>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199"/>
      <c r="Q35" s="1801" t="str">
        <f t="shared" si="11"/>
        <v>公共部分装修</v>
      </c>
      <c r="R35" s="774" t="s">
        <v>17</v>
      </c>
      <c r="S35" s="775">
        <f t="shared" si="12"/>
        <v>100</v>
      </c>
      <c r="T35" s="774" t="s">
        <v>17</v>
      </c>
      <c r="U35" s="775">
        <f t="shared" si="13"/>
        <v>100</v>
      </c>
      <c r="V35" s="774" t="s">
        <v>17</v>
      </c>
      <c r="W35" s="775">
        <f t="shared" si="14"/>
        <v>100</v>
      </c>
      <c r="X35" s="1804"/>
      <c r="Y35" s="3201"/>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9"/>
      <c r="Q36" s="1801" t="str">
        <f t="shared" si="11"/>
        <v>成新度</v>
      </c>
      <c r="R36" s="774" t="s">
        <v>17</v>
      </c>
      <c r="S36" s="775" t="e">
        <f t="shared" si="12"/>
        <v>#N/A</v>
      </c>
      <c r="T36" s="774" t="s">
        <v>17</v>
      </c>
      <c r="U36" s="775" t="e">
        <f t="shared" si="13"/>
        <v>#N/A</v>
      </c>
      <c r="V36" s="774" t="s">
        <v>17</v>
      </c>
      <c r="W36" s="775" t="e">
        <f t="shared" si="14"/>
        <v>#N/A</v>
      </c>
      <c r="X36" s="1804"/>
      <c r="Y36" s="3201"/>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199"/>
      <c r="Q37" s="1786"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199" t="s">
        <v>2565</v>
      </c>
      <c r="Q38" s="1801" t="str">
        <f t="shared" si="11"/>
        <v>业态</v>
      </c>
      <c r="R38" s="774" t="s">
        <v>17</v>
      </c>
      <c r="S38" s="775">
        <f t="shared" si="12"/>
        <v>100</v>
      </c>
      <c r="T38" s="774" t="s">
        <v>17</v>
      </c>
      <c r="U38" s="775">
        <f t="shared" si="13"/>
        <v>100</v>
      </c>
      <c r="V38" s="774" t="s">
        <v>17</v>
      </c>
      <c r="W38" s="775">
        <f t="shared" si="14"/>
        <v>100</v>
      </c>
      <c r="X38" s="1804"/>
      <c r="Y38" s="3201"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199"/>
      <c r="Q39" s="1801" t="str">
        <f t="shared" si="11"/>
        <v>层高</v>
      </c>
      <c r="R39" s="774" t="s">
        <v>17</v>
      </c>
      <c r="S39" s="775">
        <f t="shared" si="12"/>
        <v>100</v>
      </c>
      <c r="T39" s="774" t="s">
        <v>17</v>
      </c>
      <c r="U39" s="775">
        <f t="shared" si="13"/>
        <v>100</v>
      </c>
      <c r="V39" s="774" t="s">
        <v>17</v>
      </c>
      <c r="W39" s="775">
        <f t="shared" si="14"/>
        <v>100</v>
      </c>
      <c r="X39" s="1804"/>
      <c r="Y39" s="3201"/>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9"/>
      <c r="Q40" s="1801" t="str">
        <f t="shared" si="11"/>
        <v>单套建筑面积</v>
      </c>
      <c r="R40" s="774" t="s">
        <v>17</v>
      </c>
      <c r="S40" s="775">
        <f t="shared" si="12"/>
        <v>100</v>
      </c>
      <c r="T40" s="774" t="s">
        <v>17</v>
      </c>
      <c r="U40" s="775">
        <f t="shared" si="13"/>
        <v>100</v>
      </c>
      <c r="V40" s="774" t="s">
        <v>17</v>
      </c>
      <c r="W40" s="775">
        <f t="shared" si="14"/>
        <v>100</v>
      </c>
      <c r="X40" s="1804"/>
      <c r="Y40" s="3201"/>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199"/>
      <c r="Q42" s="1801" t="str">
        <f t="shared" si="11"/>
        <v>内部装修</v>
      </c>
      <c r="R42" s="774" t="s">
        <v>17</v>
      </c>
      <c r="S42" s="775">
        <f t="shared" si="12"/>
        <v>100</v>
      </c>
      <c r="T42" s="774" t="s">
        <v>17</v>
      </c>
      <c r="U42" s="775">
        <f t="shared" si="13"/>
        <v>100</v>
      </c>
      <c r="V42" s="774" t="s">
        <v>17</v>
      </c>
      <c r="W42" s="775">
        <f t="shared" si="14"/>
        <v>100</v>
      </c>
      <c r="X42" s="1804"/>
      <c r="Y42" s="3201"/>
      <c r="Z42" s="1805" t="str">
        <f t="shared" si="15"/>
        <v>内部装修</v>
      </c>
      <c r="AA42" s="1802">
        <f t="shared" si="3"/>
        <v>1</v>
      </c>
      <c r="AB42" s="1802">
        <f t="shared" si="4"/>
        <v>1</v>
      </c>
      <c r="AC42" s="1802">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199"/>
      <c r="Q43" s="1801" t="str">
        <f t="shared" si="11"/>
        <v>内部装修维护情况</v>
      </c>
      <c r="R43" s="774" t="s">
        <v>17</v>
      </c>
      <c r="S43" s="775">
        <f t="shared" si="12"/>
        <v>100</v>
      </c>
      <c r="T43" s="774" t="s">
        <v>17</v>
      </c>
      <c r="U43" s="775">
        <f t="shared" si="13"/>
        <v>100</v>
      </c>
      <c r="V43" s="774" t="s">
        <v>17</v>
      </c>
      <c r="W43" s="775">
        <f t="shared" si="14"/>
        <v>100</v>
      </c>
      <c r="X43" s="1804"/>
      <c r="Y43" s="3201"/>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9"/>
      <c r="Q44" s="1786">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9"/>
      <c r="Q45" s="1801">
        <f t="shared" si="11"/>
        <v>111</v>
      </c>
      <c r="R45" s="774" t="s">
        <v>17</v>
      </c>
      <c r="S45" s="775">
        <f t="shared" si="12"/>
        <v>100</v>
      </c>
      <c r="T45" s="774" t="s">
        <v>17</v>
      </c>
      <c r="U45" s="775">
        <f t="shared" si="13"/>
        <v>100</v>
      </c>
      <c r="V45" s="774" t="s">
        <v>17</v>
      </c>
      <c r="W45" s="775">
        <f t="shared" si="14"/>
        <v>100</v>
      </c>
      <c r="X45" s="1804"/>
      <c r="Y45" s="3201"/>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0"/>
      <c r="Q46" s="1801">
        <f t="shared" si="11"/>
        <v>111</v>
      </c>
      <c r="R46" s="774" t="s">
        <v>17</v>
      </c>
      <c r="S46" s="775">
        <f t="shared" si="12"/>
        <v>100</v>
      </c>
      <c r="T46" s="774" t="s">
        <v>17</v>
      </c>
      <c r="U46" s="775">
        <f t="shared" si="13"/>
        <v>100</v>
      </c>
      <c r="V46" s="774" t="s">
        <v>17</v>
      </c>
      <c r="W46" s="775">
        <f t="shared" si="14"/>
        <v>100</v>
      </c>
      <c r="X46" s="1804"/>
      <c r="Y46" s="3202"/>
      <c r="Z46" s="1805">
        <f t="shared" si="15"/>
        <v>111</v>
      </c>
      <c r="AA46" s="1802">
        <f t="shared" si="3"/>
        <v>1</v>
      </c>
      <c r="AB46" s="1802">
        <f t="shared" si="4"/>
        <v>1</v>
      </c>
      <c r="AC46" s="1802">
        <f t="shared" si="5"/>
        <v>1</v>
      </c>
    </row>
    <row r="47" spans="1:29" ht="15">
      <c r="A47" s="479" t="s">
        <v>2577</v>
      </c>
      <c r="B47" s="480"/>
      <c r="C47" s="1406" t="s">
        <v>1</v>
      </c>
      <c r="D47" s="1407"/>
      <c r="E47" s="1408"/>
      <c r="F47" s="1409"/>
      <c r="G47" s="1410"/>
      <c r="H47" s="1411"/>
      <c r="I47" s="1408"/>
      <c r="J47" s="1411"/>
      <c r="K47" s="783"/>
      <c r="L47" s="1143"/>
      <c r="M47" s="1144"/>
      <c r="N47" s="1131"/>
      <c r="O47" s="1144"/>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16206.229999999998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07" t="s">
        <v>2648</v>
      </c>
      <c r="AC4" s="3206" t="s">
        <v>2649</v>
      </c>
    </row>
    <row r="5" spans="1:29"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07"/>
      <c r="AC5" s="3207"/>
    </row>
    <row r="6" spans="1:29" ht="15.75" thickBot="1">
      <c r="A6" s="406"/>
      <c r="B6" s="407"/>
      <c r="C6" s="3226" t="s">
        <v>2546</v>
      </c>
      <c r="D6" s="3227"/>
      <c r="E6" s="3233" t="s">
        <v>2546</v>
      </c>
      <c r="F6" s="3234"/>
      <c r="G6" s="3226" t="s">
        <v>2546</v>
      </c>
      <c r="H6" s="3227"/>
      <c r="I6" s="3226" t="s">
        <v>2546</v>
      </c>
      <c r="J6" s="3227"/>
      <c r="K6" s="610" t="s">
        <v>2547</v>
      </c>
      <c r="L6" s="1130"/>
      <c r="M6" s="1131"/>
      <c r="N6" s="1131"/>
      <c r="O6" s="1131"/>
      <c r="P6" s="3217"/>
      <c r="Q6" s="3218"/>
      <c r="R6" s="3221"/>
      <c r="S6" s="3222"/>
      <c r="T6" s="3223"/>
      <c r="U6" s="3224"/>
      <c r="V6" s="3225"/>
      <c r="W6" s="3225"/>
      <c r="X6" s="1804"/>
      <c r="Y6" s="3223"/>
      <c r="Z6" s="3224"/>
      <c r="AA6" s="3208"/>
      <c r="AB6" s="3208"/>
      <c r="AC6" s="3208"/>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2560</v>
      </c>
      <c r="Q15" s="1801" t="str">
        <f t="shared" si="6"/>
        <v>产业集聚程度</v>
      </c>
      <c r="R15" s="774" t="s">
        <v>17</v>
      </c>
      <c r="S15" s="775">
        <f t="shared" si="0"/>
        <v>100</v>
      </c>
      <c r="T15" s="774" t="s">
        <v>17</v>
      </c>
      <c r="U15" s="775">
        <f t="shared" si="1"/>
        <v>100</v>
      </c>
      <c r="V15" s="774" t="s">
        <v>17</v>
      </c>
      <c r="W15" s="775">
        <f t="shared" si="2"/>
        <v>100</v>
      </c>
      <c r="X15" s="1804"/>
      <c r="Y15" s="3196"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197"/>
      <c r="Q16" s="1801"/>
      <c r="R16" s="774"/>
      <c r="S16" s="775"/>
      <c r="T16" s="774"/>
      <c r="U16" s="775"/>
      <c r="V16" s="774"/>
      <c r="W16" s="775"/>
      <c r="X16" s="1804"/>
      <c r="Y16" s="3197"/>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197"/>
      <c r="Q18" s="1801"/>
      <c r="R18" s="774"/>
      <c r="S18" s="775"/>
      <c r="T18" s="774"/>
      <c r="U18" s="775"/>
      <c r="V18" s="774"/>
      <c r="W18" s="775"/>
      <c r="X18" s="1804"/>
      <c r="Y18" s="3197"/>
      <c r="Z18" s="1805"/>
      <c r="AA18" s="1802">
        <v>1</v>
      </c>
      <c r="AB18" s="1802">
        <v>1</v>
      </c>
      <c r="AC18" s="1802">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197"/>
      <c r="Q20" s="1801"/>
      <c r="R20" s="774"/>
      <c r="S20" s="775"/>
      <c r="T20" s="774"/>
      <c r="U20" s="775"/>
      <c r="V20" s="774"/>
      <c r="W20" s="775"/>
      <c r="X20" s="1804"/>
      <c r="Y20" s="3197"/>
      <c r="Z20" s="1805"/>
      <c r="AA20" s="1802">
        <v>1</v>
      </c>
      <c r="AB20" s="1802">
        <v>1</v>
      </c>
      <c r="AC20" s="1802">
        <v>1</v>
      </c>
    </row>
    <row r="21" spans="1:29" ht="28.5">
      <c r="A21" s="428"/>
      <c r="B21" s="1383"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9"/>
      <c r="P22" s="3197"/>
      <c r="Q22" s="1801"/>
      <c r="R22" s="774"/>
      <c r="S22" s="775"/>
      <c r="T22" s="774"/>
      <c r="U22" s="775"/>
      <c r="V22" s="774"/>
      <c r="W22" s="775"/>
      <c r="X22" s="1804"/>
      <c r="Y22" s="3197"/>
      <c r="Z22" s="1805"/>
      <c r="AA22" s="1802">
        <v>1</v>
      </c>
      <c r="AB22" s="1802">
        <v>1</v>
      </c>
      <c r="AC22" s="1802">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1802">
        <f t="shared" si="5"/>
        <v>1</v>
      </c>
    </row>
    <row r="24" spans="1:29" ht="15">
      <c r="A24" s="428"/>
      <c r="B24" s="1383"/>
      <c r="C24" s="447"/>
      <c r="D24" s="448"/>
      <c r="E24" s="2598"/>
      <c r="F24" s="449"/>
      <c r="G24" s="2597"/>
      <c r="H24" s="448"/>
      <c r="I24" s="2598"/>
      <c r="J24" s="448"/>
      <c r="K24" s="615"/>
      <c r="L24" s="1140"/>
      <c r="M24" s="1131"/>
      <c r="N24" s="1131"/>
      <c r="O24" s="1139"/>
      <c r="P24" s="3197"/>
      <c r="Q24" s="1801"/>
      <c r="R24" s="774"/>
      <c r="S24" s="775"/>
      <c r="T24" s="774"/>
      <c r="U24" s="775"/>
      <c r="V24" s="774"/>
      <c r="W24" s="775"/>
      <c r="X24" s="1804"/>
      <c r="Y24" s="3197"/>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1">
        <f>B25</f>
        <v>111</v>
      </c>
      <c r="R25" s="774" t="s">
        <v>17</v>
      </c>
      <c r="S25" s="775">
        <f>F25</f>
        <v>100</v>
      </c>
      <c r="T25" s="774" t="s">
        <v>17</v>
      </c>
      <c r="U25" s="775">
        <f>H25</f>
        <v>100</v>
      </c>
      <c r="V25" s="774" t="s">
        <v>17</v>
      </c>
      <c r="W25" s="775">
        <f>J25</f>
        <v>100</v>
      </c>
      <c r="X25" s="1804"/>
      <c r="Y25" s="3197"/>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1">
        <f t="shared" ref="Q26:Q40" si="11">B26</f>
        <v>111</v>
      </c>
      <c r="R26" s="774" t="s">
        <v>17</v>
      </c>
      <c r="S26" s="775">
        <f>F26</f>
        <v>100</v>
      </c>
      <c r="T26" s="774" t="s">
        <v>17</v>
      </c>
      <c r="U26" s="775">
        <f>H26</f>
        <v>100</v>
      </c>
      <c r="V26" s="774" t="s">
        <v>17</v>
      </c>
      <c r="W26" s="775">
        <f>J26</f>
        <v>100</v>
      </c>
      <c r="X26" s="1804"/>
      <c r="Y26" s="3197"/>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86">
        <f t="shared" si="11"/>
        <v>111</v>
      </c>
      <c r="R27" s="770" t="s">
        <v>17</v>
      </c>
      <c r="S27" s="771">
        <f>F27</f>
        <v>100</v>
      </c>
      <c r="T27" s="770" t="s">
        <v>17</v>
      </c>
      <c r="U27" s="771">
        <f>H27</f>
        <v>100</v>
      </c>
      <c r="V27" s="770" t="s">
        <v>17</v>
      </c>
      <c r="W27" s="771">
        <f>J27</f>
        <v>100</v>
      </c>
      <c r="X27" s="772"/>
      <c r="Y27" s="3197"/>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1">
        <f t="shared" si="11"/>
        <v>111</v>
      </c>
      <c r="R28" s="774" t="s">
        <v>17</v>
      </c>
      <c r="S28" s="775">
        <f t="shared" ref="S28:S40" si="12">F28</f>
        <v>100</v>
      </c>
      <c r="T28" s="774" t="s">
        <v>17</v>
      </c>
      <c r="U28" s="775">
        <f t="shared" ref="U28:U40" si="13">H28</f>
        <v>100</v>
      </c>
      <c r="V28" s="774" t="s">
        <v>17</v>
      </c>
      <c r="W28" s="775">
        <f t="shared" ref="W28:W40" si="14">J28</f>
        <v>100</v>
      </c>
      <c r="X28" s="1804"/>
      <c r="Y28" s="3197"/>
      <c r="Z28" s="1805">
        <f t="shared" ref="Z28:Z40" si="15">Q28</f>
        <v>111</v>
      </c>
      <c r="AA28" s="1802">
        <f t="shared" si="3"/>
        <v>1</v>
      </c>
      <c r="AB28" s="1802">
        <f t="shared" si="4"/>
        <v>1</v>
      </c>
      <c r="AC28" s="1802">
        <f t="shared" si="5"/>
        <v>1</v>
      </c>
    </row>
    <row r="29" spans="1:29" ht="28.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52" t="s">
        <v>2565</v>
      </c>
      <c r="Q29" s="1801" t="str">
        <f t="shared" si="11"/>
        <v>建筑类型</v>
      </c>
      <c r="R29" s="774" t="s">
        <v>17</v>
      </c>
      <c r="S29" s="775">
        <f t="shared" si="12"/>
        <v>100</v>
      </c>
      <c r="T29" s="774" t="s">
        <v>17</v>
      </c>
      <c r="U29" s="775">
        <f t="shared" si="13"/>
        <v>100</v>
      </c>
      <c r="V29" s="774" t="s">
        <v>17</v>
      </c>
      <c r="W29" s="775">
        <f t="shared" si="14"/>
        <v>100</v>
      </c>
      <c r="X29" s="1804"/>
      <c r="Y29" s="3201"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1"/>
      <c r="Q31" s="1801" t="str">
        <f t="shared" si="11"/>
        <v>建筑结构</v>
      </c>
      <c r="R31" s="774" t="s">
        <v>17</v>
      </c>
      <c r="S31" s="775">
        <f t="shared" si="12"/>
        <v>100</v>
      </c>
      <c r="T31" s="774" t="s">
        <v>17</v>
      </c>
      <c r="U31" s="775">
        <f t="shared" si="13"/>
        <v>100</v>
      </c>
      <c r="V31" s="774" t="s">
        <v>17</v>
      </c>
      <c r="W31" s="775">
        <f t="shared" si="14"/>
        <v>100</v>
      </c>
      <c r="X31" s="1804"/>
      <c r="Y31" s="3201"/>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1"/>
      <c r="Q32" s="1801" t="str">
        <f t="shared" si="11"/>
        <v>公共部分装修</v>
      </c>
      <c r="R32" s="774" t="s">
        <v>17</v>
      </c>
      <c r="S32" s="775">
        <f t="shared" si="12"/>
        <v>100</v>
      </c>
      <c r="T32" s="774" t="s">
        <v>17</v>
      </c>
      <c r="U32" s="775">
        <f t="shared" si="13"/>
        <v>100</v>
      </c>
      <c r="V32" s="774" t="s">
        <v>17</v>
      </c>
      <c r="W32" s="775">
        <f t="shared" si="14"/>
        <v>100</v>
      </c>
      <c r="X32" s="1804"/>
      <c r="Y32" s="3201"/>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1"/>
      <c r="Q33" s="1801" t="str">
        <f t="shared" si="11"/>
        <v>成新度</v>
      </c>
      <c r="R33" s="774" t="s">
        <v>17</v>
      </c>
      <c r="S33" s="775" t="e">
        <f t="shared" si="12"/>
        <v>#N/A</v>
      </c>
      <c r="T33" s="774" t="s">
        <v>17</v>
      </c>
      <c r="U33" s="775" t="e">
        <f t="shared" si="13"/>
        <v>#N/A</v>
      </c>
      <c r="V33" s="774" t="s">
        <v>17</v>
      </c>
      <c r="W33" s="775" t="e">
        <f t="shared" si="14"/>
        <v>#N/A</v>
      </c>
      <c r="X33" s="1804"/>
      <c r="Y33" s="3201"/>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1"/>
      <c r="Q34" s="1786"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1" t="s">
        <v>2565</v>
      </c>
      <c r="Q35" s="1801" t="str">
        <f t="shared" si="11"/>
        <v>市政基础设施</v>
      </c>
      <c r="R35" s="774" t="s">
        <v>17</v>
      </c>
      <c r="S35" s="775">
        <f t="shared" si="12"/>
        <v>100</v>
      </c>
      <c r="T35" s="774" t="s">
        <v>17</v>
      </c>
      <c r="U35" s="775">
        <f t="shared" si="13"/>
        <v>100</v>
      </c>
      <c r="V35" s="774" t="s">
        <v>17</v>
      </c>
      <c r="W35" s="775">
        <f t="shared" si="14"/>
        <v>100</v>
      </c>
      <c r="X35" s="1804"/>
      <c r="Y35" s="3201"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1"/>
      <c r="Q36" s="1801" t="str">
        <f t="shared" si="11"/>
        <v>内部装修</v>
      </c>
      <c r="R36" s="774" t="s">
        <v>17</v>
      </c>
      <c r="S36" s="775">
        <f t="shared" si="12"/>
        <v>100</v>
      </c>
      <c r="T36" s="774" t="s">
        <v>17</v>
      </c>
      <c r="U36" s="775">
        <f t="shared" si="13"/>
        <v>100</v>
      </c>
      <c r="V36" s="774" t="s">
        <v>17</v>
      </c>
      <c r="W36" s="775">
        <f t="shared" si="14"/>
        <v>100</v>
      </c>
      <c r="X36" s="1804"/>
      <c r="Y36" s="3201"/>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1"/>
      <c r="Q37" s="1801" t="str">
        <f t="shared" si="11"/>
        <v>内部装修状况</v>
      </c>
      <c r="R37" s="774" t="s">
        <v>17</v>
      </c>
      <c r="S37" s="775">
        <f t="shared" si="12"/>
        <v>100</v>
      </c>
      <c r="T37" s="774" t="s">
        <v>17</v>
      </c>
      <c r="U37" s="775">
        <f t="shared" si="13"/>
        <v>100</v>
      </c>
      <c r="V37" s="774" t="s">
        <v>17</v>
      </c>
      <c r="W37" s="775">
        <f t="shared" si="14"/>
        <v>100</v>
      </c>
      <c r="X37" s="1804"/>
      <c r="Y37" s="3201"/>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1801">
        <f t="shared" si="11"/>
        <v>111</v>
      </c>
      <c r="R39" s="774" t="s">
        <v>17</v>
      </c>
      <c r="S39" s="775">
        <f t="shared" si="12"/>
        <v>100</v>
      </c>
      <c r="T39" s="774" t="s">
        <v>17</v>
      </c>
      <c r="U39" s="775">
        <f t="shared" si="13"/>
        <v>100</v>
      </c>
      <c r="V39" s="774" t="s">
        <v>17</v>
      </c>
      <c r="W39" s="775">
        <f t="shared" si="14"/>
        <v>100</v>
      </c>
      <c r="X39" s="1804"/>
      <c r="Y39" s="3201"/>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2"/>
      <c r="Q40" s="1801">
        <f t="shared" si="11"/>
        <v>111</v>
      </c>
      <c r="R40" s="774" t="s">
        <v>17</v>
      </c>
      <c r="S40" s="775">
        <f t="shared" si="12"/>
        <v>100</v>
      </c>
      <c r="T40" s="774" t="s">
        <v>17</v>
      </c>
      <c r="U40" s="775">
        <f t="shared" si="13"/>
        <v>100</v>
      </c>
      <c r="V40" s="774" t="s">
        <v>17</v>
      </c>
      <c r="W40" s="775">
        <f t="shared" si="14"/>
        <v>100</v>
      </c>
      <c r="X40" s="1804"/>
      <c r="Y40" s="3202"/>
      <c r="Z40" s="1805">
        <f t="shared" si="15"/>
        <v>111</v>
      </c>
      <c r="AA40" s="1802">
        <f t="shared" si="3"/>
        <v>1</v>
      </c>
      <c r="AB40" s="1802">
        <f t="shared" si="4"/>
        <v>1</v>
      </c>
      <c r="AC40" s="1802">
        <f t="shared" si="5"/>
        <v>1</v>
      </c>
    </row>
    <row r="41" spans="1:29" ht="15">
      <c r="A41" s="479" t="s">
        <v>2577</v>
      </c>
      <c r="B41" s="480"/>
      <c r="C41" s="1406" t="s">
        <v>1</v>
      </c>
      <c r="D41" s="1407"/>
      <c r="E41" s="1408"/>
      <c r="F41" s="1409"/>
      <c r="G41" s="1410"/>
      <c r="H41" s="1411"/>
      <c r="I41" s="1408"/>
      <c r="J41" s="1411"/>
      <c r="K41" s="783"/>
      <c r="L41" s="1143"/>
      <c r="M41" s="1144"/>
      <c r="N41" s="1131"/>
      <c r="O41" s="1144"/>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07" t="s">
        <v>2648</v>
      </c>
      <c r="AC4" s="3206" t="s">
        <v>2649</v>
      </c>
    </row>
    <row r="5" spans="1:29"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07"/>
      <c r="AC5" s="3207"/>
    </row>
    <row r="6" spans="1:29" ht="15.75" thickBot="1">
      <c r="A6" s="406"/>
      <c r="B6" s="407"/>
      <c r="C6" s="3226" t="s">
        <v>2546</v>
      </c>
      <c r="D6" s="3227"/>
      <c r="E6" s="3233" t="s">
        <v>2546</v>
      </c>
      <c r="F6" s="3234"/>
      <c r="G6" s="3226" t="s">
        <v>2546</v>
      </c>
      <c r="H6" s="3227"/>
      <c r="I6" s="3226" t="s">
        <v>2546</v>
      </c>
      <c r="J6" s="3227"/>
      <c r="K6" s="610" t="s">
        <v>2547</v>
      </c>
      <c r="L6" s="1130"/>
      <c r="M6" s="1131"/>
      <c r="N6" s="1131"/>
      <c r="O6" s="1131"/>
      <c r="P6" s="3217"/>
      <c r="Q6" s="3218"/>
      <c r="R6" s="3221"/>
      <c r="S6" s="3222"/>
      <c r="T6" s="3223"/>
      <c r="U6" s="3224"/>
      <c r="V6" s="3225"/>
      <c r="W6" s="3225"/>
      <c r="X6" s="1804"/>
      <c r="Y6" s="3223"/>
      <c r="Z6" s="3224"/>
      <c r="AA6" s="3208"/>
      <c r="AB6" s="3208"/>
      <c r="AC6" s="3208"/>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2549</v>
      </c>
      <c r="Q7" s="3232"/>
      <c r="R7" s="770" t="s">
        <v>17</v>
      </c>
      <c r="S7" s="771">
        <f t="shared" ref="S7:S14" si="0">F7</f>
        <v>0</v>
      </c>
      <c r="T7" s="770" t="s">
        <v>17</v>
      </c>
      <c r="U7" s="771">
        <f t="shared" ref="U7:U14" si="1">H7</f>
        <v>0</v>
      </c>
      <c r="V7" s="770" t="s">
        <v>17</v>
      </c>
      <c r="W7" s="771">
        <f t="shared" ref="W7:W14" si="2">J7</f>
        <v>0</v>
      </c>
      <c r="X7" s="772"/>
      <c r="Y7" s="3230" t="s">
        <v>2549</v>
      </c>
      <c r="Z7" s="323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2555</v>
      </c>
      <c r="Q9" s="1786"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86">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2559</v>
      </c>
      <c r="B14" s="629" t="s">
        <v>2709</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2560</v>
      </c>
      <c r="Q14" s="1801" t="str">
        <f t="shared" si="6"/>
        <v>交通便捷度</v>
      </c>
      <c r="R14" s="774" t="s">
        <v>17</v>
      </c>
      <c r="S14" s="775">
        <f t="shared" si="0"/>
        <v>100</v>
      </c>
      <c r="T14" s="774" t="s">
        <v>17</v>
      </c>
      <c r="U14" s="775">
        <f t="shared" si="1"/>
        <v>100</v>
      </c>
      <c r="V14" s="774" t="s">
        <v>17</v>
      </c>
      <c r="W14" s="775">
        <f t="shared" si="2"/>
        <v>100</v>
      </c>
      <c r="X14" s="1804"/>
      <c r="Y14" s="3196"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197"/>
      <c r="Q15" s="1801"/>
      <c r="R15" s="774"/>
      <c r="S15" s="775"/>
      <c r="T15" s="774"/>
      <c r="U15" s="775"/>
      <c r="V15" s="774"/>
      <c r="W15" s="775"/>
      <c r="X15" s="1804"/>
      <c r="Y15" s="3197"/>
      <c r="Z15" s="1805"/>
      <c r="AA15" s="1802">
        <v>1</v>
      </c>
      <c r="AB15" s="1802">
        <v>1</v>
      </c>
      <c r="AC15" s="1802">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197"/>
      <c r="Q17" s="1801"/>
      <c r="R17" s="774"/>
      <c r="S17" s="775"/>
      <c r="T17" s="774"/>
      <c r="U17" s="775"/>
      <c r="V17" s="774"/>
      <c r="W17" s="775"/>
      <c r="X17" s="1804"/>
      <c r="Y17" s="3197"/>
      <c r="Z17" s="1805"/>
      <c r="AA17" s="1802">
        <v>1</v>
      </c>
      <c r="AB17" s="1802">
        <v>1</v>
      </c>
      <c r="AC17" s="1802">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2"/>
      <c r="L19" s="1140"/>
      <c r="M19" s="1131"/>
      <c r="N19" s="1131"/>
      <c r="O19" s="1131"/>
      <c r="P19" s="3197"/>
      <c r="Q19" s="1801"/>
      <c r="R19" s="774"/>
      <c r="S19" s="775"/>
      <c r="T19" s="774"/>
      <c r="U19" s="775"/>
      <c r="V19" s="774"/>
      <c r="W19" s="775"/>
      <c r="X19" s="1804"/>
      <c r="Y19" s="3197"/>
      <c r="Z19" s="1805"/>
      <c r="AA19" s="1802">
        <v>1</v>
      </c>
      <c r="AB19" s="1802">
        <v>1</v>
      </c>
      <c r="AC19" s="1802">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197"/>
      <c r="Q21" s="1801"/>
      <c r="R21" s="774"/>
      <c r="S21" s="775"/>
      <c r="T21" s="774"/>
      <c r="U21" s="775"/>
      <c r="V21" s="774"/>
      <c r="W21" s="775"/>
      <c r="X21" s="1804"/>
      <c r="Y21" s="3197"/>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1">
        <f t="shared" ref="Q24:Q36"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652" t="s">
        <v>2563</v>
      </c>
      <c r="B26" s="70" t="s">
        <v>2712</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2"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01"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1"/>
      <c r="Q28" s="1801" t="str">
        <f t="shared" si="11"/>
        <v>公共部分装修</v>
      </c>
      <c r="R28" s="774" t="s">
        <v>17</v>
      </c>
      <c r="S28" s="775">
        <f t="shared" si="12"/>
        <v>100</v>
      </c>
      <c r="T28" s="774" t="s">
        <v>17</v>
      </c>
      <c r="U28" s="775">
        <f t="shared" si="13"/>
        <v>100</v>
      </c>
      <c r="V28" s="774" t="s">
        <v>17</v>
      </c>
      <c r="W28" s="775">
        <f t="shared" si="14"/>
        <v>100</v>
      </c>
      <c r="X28" s="1804"/>
      <c r="Y28" s="3201"/>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1"/>
      <c r="Q29" s="1801" t="str">
        <f t="shared" si="11"/>
        <v>成新率</v>
      </c>
      <c r="R29" s="774" t="s">
        <v>17</v>
      </c>
      <c r="S29" s="775" t="e">
        <f t="shared" si="12"/>
        <v>#N/A</v>
      </c>
      <c r="T29" s="774" t="s">
        <v>17</v>
      </c>
      <c r="U29" s="775" t="e">
        <f t="shared" si="13"/>
        <v>#N/A</v>
      </c>
      <c r="V29" s="774" t="s">
        <v>17</v>
      </c>
      <c r="W29" s="775" t="e">
        <f t="shared" si="14"/>
        <v>#N/A</v>
      </c>
      <c r="X29" s="1804"/>
      <c r="Y29" s="3201"/>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1"/>
      <c r="Q30" s="1801" t="str">
        <f t="shared" si="11"/>
        <v>物业等级</v>
      </c>
      <c r="R30" s="774" t="s">
        <v>17</v>
      </c>
      <c r="S30" s="775">
        <f t="shared" si="12"/>
        <v>100</v>
      </c>
      <c r="T30" s="774" t="s">
        <v>17</v>
      </c>
      <c r="U30" s="775">
        <f t="shared" si="13"/>
        <v>100</v>
      </c>
      <c r="V30" s="774" t="s">
        <v>17</v>
      </c>
      <c r="W30" s="775">
        <f t="shared" si="14"/>
        <v>100</v>
      </c>
      <c r="X30" s="1804"/>
      <c r="Y30" s="3201"/>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1"/>
      <c r="Q31" s="1786"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1" t="s">
        <v>2565</v>
      </c>
      <c r="Q32" s="1801" t="str">
        <f t="shared" si="11"/>
        <v>车位类型</v>
      </c>
      <c r="R32" s="774" t="s">
        <v>17</v>
      </c>
      <c r="S32" s="775">
        <f t="shared" si="12"/>
        <v>100</v>
      </c>
      <c r="T32" s="774" t="s">
        <v>17</v>
      </c>
      <c r="U32" s="775">
        <f t="shared" si="13"/>
        <v>100</v>
      </c>
      <c r="V32" s="774" t="s">
        <v>17</v>
      </c>
      <c r="W32" s="775">
        <f t="shared" si="14"/>
        <v>100</v>
      </c>
      <c r="X32" s="1804"/>
      <c r="Y32" s="3201"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1"/>
      <c r="Q33" s="1801" t="str">
        <f t="shared" si="11"/>
        <v>是否直接入户</v>
      </c>
      <c r="R33" s="774" t="s">
        <v>17</v>
      </c>
      <c r="S33" s="775">
        <f t="shared" si="12"/>
        <v>100</v>
      </c>
      <c r="T33" s="774" t="s">
        <v>17</v>
      </c>
      <c r="U33" s="775">
        <f t="shared" si="13"/>
        <v>100</v>
      </c>
      <c r="V33" s="774" t="s">
        <v>17</v>
      </c>
      <c r="W33" s="775">
        <f t="shared" si="14"/>
        <v>100</v>
      </c>
      <c r="X33" s="1804"/>
      <c r="Y33" s="3201"/>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1"/>
      <c r="Q34" s="1801">
        <f t="shared" si="11"/>
        <v>111</v>
      </c>
      <c r="R34" s="774" t="s">
        <v>17</v>
      </c>
      <c r="S34" s="775">
        <f t="shared" si="12"/>
        <v>100</v>
      </c>
      <c r="T34" s="774" t="s">
        <v>17</v>
      </c>
      <c r="U34" s="775">
        <f t="shared" si="13"/>
        <v>100</v>
      </c>
      <c r="V34" s="774" t="s">
        <v>17</v>
      </c>
      <c r="W34" s="775">
        <f t="shared" si="14"/>
        <v>100</v>
      </c>
      <c r="X34" s="1804"/>
      <c r="Y34" s="3201"/>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1"/>
      <c r="Q36" s="1801">
        <f t="shared" si="11"/>
        <v>111</v>
      </c>
      <c r="R36" s="774" t="s">
        <v>17</v>
      </c>
      <c r="S36" s="775">
        <f t="shared" si="12"/>
        <v>100</v>
      </c>
      <c r="T36" s="774" t="s">
        <v>17</v>
      </c>
      <c r="U36" s="775">
        <f t="shared" si="13"/>
        <v>100</v>
      </c>
      <c r="V36" s="774" t="s">
        <v>17</v>
      </c>
      <c r="W36" s="775">
        <f t="shared" si="14"/>
        <v>100</v>
      </c>
      <c r="X36" s="1804"/>
      <c r="Y36" s="3201"/>
      <c r="Z36" s="1805">
        <f t="shared" si="15"/>
        <v>111</v>
      </c>
      <c r="AA36" s="1802">
        <f t="shared" si="3"/>
        <v>1</v>
      </c>
      <c r="AB36" s="1802">
        <f t="shared" si="4"/>
        <v>1</v>
      </c>
      <c r="AC36" s="1802">
        <f t="shared" si="5"/>
        <v>1</v>
      </c>
    </row>
    <row r="37" spans="1:29" ht="15">
      <c r="A37" s="479" t="s">
        <v>2720</v>
      </c>
      <c r="B37" s="2687" t="s">
        <v>2721</v>
      </c>
      <c r="C37" s="1406" t="s">
        <v>1</v>
      </c>
      <c r="D37" s="1407"/>
      <c r="E37" s="1408"/>
      <c r="F37" s="1409"/>
      <c r="G37" s="1410"/>
      <c r="H37" s="1411"/>
      <c r="I37" s="1408"/>
      <c r="J37" s="1411"/>
      <c r="K37" s="619"/>
      <c r="L37" s="1143"/>
      <c r="M37" s="1144"/>
      <c r="N37" s="1131"/>
      <c r="O37" s="1144"/>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07" t="s">
        <v>2648</v>
      </c>
      <c r="AC4" s="3206" t="s">
        <v>2649</v>
      </c>
    </row>
    <row r="5" spans="1:29"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07"/>
      <c r="AC5" s="3207"/>
    </row>
    <row r="6" spans="1:29" ht="15.75" thickBot="1">
      <c r="A6" s="406"/>
      <c r="B6" s="407"/>
      <c r="C6" s="3226" t="s">
        <v>2546</v>
      </c>
      <c r="D6" s="3227"/>
      <c r="E6" s="3233" t="s">
        <v>2546</v>
      </c>
      <c r="F6" s="3234"/>
      <c r="G6" s="3226" t="s">
        <v>2546</v>
      </c>
      <c r="H6" s="3227"/>
      <c r="I6" s="3226" t="s">
        <v>2546</v>
      </c>
      <c r="J6" s="3227"/>
      <c r="K6" s="610" t="s">
        <v>2547</v>
      </c>
      <c r="L6" s="1130"/>
      <c r="M6" s="1131"/>
      <c r="N6" s="1131"/>
      <c r="O6" s="1131"/>
      <c r="P6" s="3217"/>
      <c r="Q6" s="3218"/>
      <c r="R6" s="3221"/>
      <c r="S6" s="3222"/>
      <c r="T6" s="3223"/>
      <c r="U6" s="3224"/>
      <c r="V6" s="3225"/>
      <c r="W6" s="3225"/>
      <c r="X6" s="1804"/>
      <c r="Y6" s="3223"/>
      <c r="Z6" s="3224"/>
      <c r="AA6" s="3208"/>
      <c r="AB6" s="3208"/>
      <c r="AC6" s="3208"/>
    </row>
    <row r="7" spans="1:29" s="117" customFormat="1" ht="15.75" thickBot="1">
      <c r="A7" s="408" t="s">
        <v>2548</v>
      </c>
      <c r="B7" s="409"/>
      <c r="C7" s="410">
        <f>'数据-取费表'!B2</f>
        <v>43570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230" t="s">
        <v>2549</v>
      </c>
      <c r="Q7" s="3232"/>
      <c r="R7" s="770" t="s">
        <v>17</v>
      </c>
      <c r="S7" s="771">
        <f t="shared" ref="S7:S14" si="0">F7</f>
        <v>0</v>
      </c>
      <c r="T7" s="770" t="s">
        <v>17</v>
      </c>
      <c r="U7" s="771">
        <f t="shared" ref="U7:U14" si="1">H7</f>
        <v>0</v>
      </c>
      <c r="V7" s="770" t="s">
        <v>17</v>
      </c>
      <c r="W7" s="771">
        <f t="shared" ref="W7:W14" si="2">J7</f>
        <v>0</v>
      </c>
      <c r="X7" s="772"/>
      <c r="Y7" s="3230" t="s">
        <v>2549</v>
      </c>
      <c r="Z7" s="323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2555</v>
      </c>
      <c r="Q9" s="1786"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86">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2559</v>
      </c>
      <c r="B14" s="69" t="s">
        <v>2709</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2560</v>
      </c>
      <c r="Q14" s="1801" t="str">
        <f t="shared" si="6"/>
        <v>交通便捷度</v>
      </c>
      <c r="R14" s="774" t="s">
        <v>17</v>
      </c>
      <c r="S14" s="775">
        <f t="shared" si="0"/>
        <v>100</v>
      </c>
      <c r="T14" s="774" t="s">
        <v>17</v>
      </c>
      <c r="U14" s="775">
        <f t="shared" si="1"/>
        <v>100</v>
      </c>
      <c r="V14" s="774" t="s">
        <v>17</v>
      </c>
      <c r="W14" s="775">
        <f t="shared" si="2"/>
        <v>100</v>
      </c>
      <c r="X14" s="1804"/>
      <c r="Y14" s="3196"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197"/>
      <c r="Q15" s="1801"/>
      <c r="R15" s="774"/>
      <c r="S15" s="775"/>
      <c r="T15" s="774"/>
      <c r="U15" s="775"/>
      <c r="V15" s="774"/>
      <c r="W15" s="775"/>
      <c r="X15" s="1804"/>
      <c r="Y15" s="3197"/>
      <c r="Z15" s="1805"/>
      <c r="AA15" s="1802">
        <v>1</v>
      </c>
      <c r="AB15" s="1802">
        <v>1</v>
      </c>
      <c r="AC15" s="1802">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197"/>
      <c r="Q17" s="1801"/>
      <c r="R17" s="774"/>
      <c r="S17" s="775"/>
      <c r="T17" s="774"/>
      <c r="U17" s="775"/>
      <c r="V17" s="774"/>
      <c r="W17" s="775"/>
      <c r="X17" s="1804"/>
      <c r="Y17" s="3197"/>
      <c r="Z17" s="1805"/>
      <c r="AA17" s="1802">
        <v>1</v>
      </c>
      <c r="AB17" s="1802">
        <v>1</v>
      </c>
      <c r="AC17" s="1802">
        <v>1</v>
      </c>
    </row>
    <row r="18" spans="1:29" ht="28.5">
      <c r="A18" s="428"/>
      <c r="B18" s="1383"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28"/>
      <c r="B19" s="1383"/>
      <c r="C19" s="2601"/>
      <c r="D19" s="450"/>
      <c r="E19" s="2601"/>
      <c r="F19" s="453"/>
      <c r="G19" s="2601"/>
      <c r="H19" s="448"/>
      <c r="I19" s="447"/>
      <c r="J19" s="448"/>
      <c r="K19" s="1382"/>
      <c r="L19" s="1140"/>
      <c r="M19" s="1131"/>
      <c r="N19" s="1131"/>
      <c r="O19" s="1139"/>
      <c r="P19" s="3197"/>
      <c r="Q19" s="1801"/>
      <c r="R19" s="774"/>
      <c r="S19" s="775"/>
      <c r="T19" s="774"/>
      <c r="U19" s="775"/>
      <c r="V19" s="774"/>
      <c r="W19" s="775"/>
      <c r="X19" s="1804"/>
      <c r="Y19" s="3197"/>
      <c r="Z19" s="1805"/>
      <c r="AA19" s="1802">
        <v>1</v>
      </c>
      <c r="AB19" s="1802">
        <v>1</v>
      </c>
      <c r="AC19" s="1802">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197"/>
      <c r="Q21" s="1801"/>
      <c r="R21" s="774"/>
      <c r="S21" s="775"/>
      <c r="T21" s="774"/>
      <c r="U21" s="775"/>
      <c r="V21" s="774"/>
      <c r="W21" s="775"/>
      <c r="X21" s="1804"/>
      <c r="Y21" s="3197"/>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1">
        <f t="shared" ref="Q24:Q34"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431"/>
      <c r="B25" s="2593">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466" t="s">
        <v>2563</v>
      </c>
      <c r="B26" s="71" t="s">
        <v>2714</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52"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01"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1"/>
      <c r="Q28" s="1801" t="str">
        <f t="shared" si="11"/>
        <v>物业等级</v>
      </c>
      <c r="R28" s="774" t="s">
        <v>17</v>
      </c>
      <c r="S28" s="775">
        <f t="shared" si="12"/>
        <v>100</v>
      </c>
      <c r="T28" s="774" t="s">
        <v>17</v>
      </c>
      <c r="U28" s="775">
        <f t="shared" si="13"/>
        <v>100</v>
      </c>
      <c r="V28" s="774" t="s">
        <v>17</v>
      </c>
      <c r="W28" s="775">
        <f t="shared" si="14"/>
        <v>100</v>
      </c>
      <c r="X28" s="1804"/>
      <c r="Y28" s="3201"/>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1"/>
      <c r="Q29" s="1801" t="str">
        <f t="shared" si="11"/>
        <v>有无电梯</v>
      </c>
      <c r="R29" s="774" t="s">
        <v>17</v>
      </c>
      <c r="S29" s="775">
        <f t="shared" si="12"/>
        <v>100</v>
      </c>
      <c r="T29" s="774" t="s">
        <v>17</v>
      </c>
      <c r="U29" s="775">
        <f t="shared" si="13"/>
        <v>100</v>
      </c>
      <c r="V29" s="774" t="s">
        <v>17</v>
      </c>
      <c r="W29" s="775">
        <f t="shared" si="14"/>
        <v>100</v>
      </c>
      <c r="X29" s="1804"/>
      <c r="Y29" s="3201"/>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1"/>
      <c r="Q30" s="1801" t="str">
        <f t="shared" si="11"/>
        <v>建筑面积</v>
      </c>
      <c r="R30" s="774" t="s">
        <v>17</v>
      </c>
      <c r="S30" s="775" t="e">
        <f t="shared" si="12"/>
        <v>#N/A</v>
      </c>
      <c r="T30" s="774" t="s">
        <v>17</v>
      </c>
      <c r="U30" s="775" t="e">
        <f t="shared" si="13"/>
        <v>#N/A</v>
      </c>
      <c r="V30" s="774" t="s">
        <v>17</v>
      </c>
      <c r="W30" s="775" t="e">
        <f t="shared" si="14"/>
        <v>#N/A</v>
      </c>
      <c r="X30" s="1804"/>
      <c r="Y30" s="3201"/>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1"/>
      <c r="Q31" s="1786"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1" t="s">
        <v>2565</v>
      </c>
      <c r="Q32" s="1801">
        <f t="shared" si="11"/>
        <v>111</v>
      </c>
      <c r="R32" s="774" t="s">
        <v>17</v>
      </c>
      <c r="S32" s="775">
        <f t="shared" si="12"/>
        <v>100</v>
      </c>
      <c r="T32" s="774" t="s">
        <v>17</v>
      </c>
      <c r="U32" s="775">
        <f t="shared" si="13"/>
        <v>100</v>
      </c>
      <c r="V32" s="774" t="s">
        <v>17</v>
      </c>
      <c r="W32" s="775">
        <f t="shared" si="14"/>
        <v>100</v>
      </c>
      <c r="X32" s="1804"/>
      <c r="Y32" s="3201"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1"/>
      <c r="Q33" s="1801">
        <f t="shared" si="11"/>
        <v>111</v>
      </c>
      <c r="R33" s="774" t="s">
        <v>17</v>
      </c>
      <c r="S33" s="775">
        <f t="shared" si="12"/>
        <v>100</v>
      </c>
      <c r="T33" s="774" t="s">
        <v>17</v>
      </c>
      <c r="U33" s="775">
        <f t="shared" si="13"/>
        <v>100</v>
      </c>
      <c r="V33" s="774" t="s">
        <v>17</v>
      </c>
      <c r="W33" s="775">
        <f t="shared" si="14"/>
        <v>100</v>
      </c>
      <c r="X33" s="1804"/>
      <c r="Y33" s="3201"/>
      <c r="Z33" s="1805">
        <f t="shared" si="15"/>
        <v>111</v>
      </c>
      <c r="AA33" s="1802">
        <f t="shared" si="3"/>
        <v>1</v>
      </c>
      <c r="AB33" s="1802">
        <f t="shared" si="4"/>
        <v>1</v>
      </c>
      <c r="AC33" s="1802">
        <f t="shared" si="5"/>
        <v>1</v>
      </c>
    </row>
    <row r="34" spans="1:29" ht="15.75" thickBot="1">
      <c r="A34" s="478"/>
      <c r="B34" s="2595">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01"/>
      <c r="Q34" s="1801">
        <f t="shared" si="11"/>
        <v>111</v>
      </c>
      <c r="R34" s="774" t="s">
        <v>17</v>
      </c>
      <c r="S34" s="775">
        <f t="shared" si="12"/>
        <v>100</v>
      </c>
      <c r="T34" s="774" t="s">
        <v>17</v>
      </c>
      <c r="U34" s="775">
        <f t="shared" si="13"/>
        <v>100</v>
      </c>
      <c r="V34" s="774" t="s">
        <v>17</v>
      </c>
      <c r="W34" s="775">
        <f t="shared" si="14"/>
        <v>100</v>
      </c>
      <c r="X34" s="1804"/>
      <c r="Y34" s="3201"/>
      <c r="Z34" s="1805">
        <f t="shared" si="15"/>
        <v>111</v>
      </c>
      <c r="AA34" s="1802">
        <f t="shared" si="3"/>
        <v>1</v>
      </c>
      <c r="AB34" s="1802">
        <f t="shared" si="4"/>
        <v>1</v>
      </c>
      <c r="AC34" s="1802">
        <f t="shared" si="5"/>
        <v>1</v>
      </c>
    </row>
    <row r="35" spans="1:29" ht="15">
      <c r="A35" s="479" t="s">
        <v>2577</v>
      </c>
      <c r="B35" s="480"/>
      <c r="C35" s="1406" t="s">
        <v>1</v>
      </c>
      <c r="D35" s="1407"/>
      <c r="E35" s="1408"/>
      <c r="F35" s="1409"/>
      <c r="G35" s="1410"/>
      <c r="H35" s="1411"/>
      <c r="I35" s="1408"/>
      <c r="J35" s="1411"/>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07" t="s">
        <v>2648</v>
      </c>
      <c r="AC4" s="3206" t="s">
        <v>2649</v>
      </c>
    </row>
    <row r="5" spans="1:30"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07"/>
      <c r="AC5" s="3207"/>
    </row>
    <row r="6" spans="1:30" ht="15.75" thickBot="1">
      <c r="A6" s="406"/>
      <c r="B6" s="407"/>
      <c r="C6" s="3226" t="s">
        <v>2546</v>
      </c>
      <c r="D6" s="3227"/>
      <c r="E6" s="3233" t="s">
        <v>2546</v>
      </c>
      <c r="F6" s="3234"/>
      <c r="G6" s="3226" t="s">
        <v>2546</v>
      </c>
      <c r="H6" s="3227"/>
      <c r="I6" s="3226" t="s">
        <v>2546</v>
      </c>
      <c r="J6" s="3227"/>
      <c r="K6" s="610" t="s">
        <v>2547</v>
      </c>
      <c r="L6" s="1130"/>
      <c r="M6" s="1131"/>
      <c r="N6" s="1131"/>
      <c r="O6" s="1131"/>
      <c r="P6" s="3217"/>
      <c r="Q6" s="3218"/>
      <c r="R6" s="3221"/>
      <c r="S6" s="3222"/>
      <c r="T6" s="3223"/>
      <c r="U6" s="3224"/>
      <c r="V6" s="3225"/>
      <c r="W6" s="3225"/>
      <c r="X6" s="1804"/>
      <c r="Y6" s="3223"/>
      <c r="Z6" s="3224"/>
      <c r="AA6" s="3208"/>
      <c r="AB6" s="3208"/>
      <c r="AC6" s="3208"/>
    </row>
    <row r="7" spans="1:30" s="117" customFormat="1" ht="15.75" thickBot="1">
      <c r="A7" s="408" t="s">
        <v>2548</v>
      </c>
      <c r="B7" s="409"/>
      <c r="C7" s="410">
        <f>'数据-取费表'!B2</f>
        <v>43570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45" si="3">D8/F8</f>
        <v>#DIV/0!</v>
      </c>
      <c r="AB8" s="773" t="e">
        <f t="shared" ref="AB8:AB45" si="4">D8/H8</f>
        <v>#DIV/0!</v>
      </c>
      <c r="AC8" s="773"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94"/>
      <c r="Q10" s="1786" t="str">
        <f t="shared" si="6"/>
        <v>土地使用年限（年）</v>
      </c>
      <c r="R10" s="770" t="s">
        <v>17</v>
      </c>
      <c r="S10" s="771">
        <f t="shared" si="0"/>
        <v>103</v>
      </c>
      <c r="T10" s="770" t="s">
        <v>17</v>
      </c>
      <c r="U10" s="771">
        <f t="shared" si="1"/>
        <v>103</v>
      </c>
      <c r="V10" s="770" t="s">
        <v>17</v>
      </c>
      <c r="W10" s="771">
        <f t="shared" si="2"/>
        <v>103</v>
      </c>
      <c r="X10" s="772"/>
      <c r="Y10" s="3017"/>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86"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2560</v>
      </c>
      <c r="Q15" s="1801" t="str">
        <f t="shared" si="6"/>
        <v>居住社区成熟度</v>
      </c>
      <c r="R15" s="774" t="s">
        <v>17</v>
      </c>
      <c r="S15" s="775">
        <f t="shared" si="0"/>
        <v>100</v>
      </c>
      <c r="T15" s="774" t="s">
        <v>17</v>
      </c>
      <c r="U15" s="775">
        <f t="shared" si="1"/>
        <v>100</v>
      </c>
      <c r="V15" s="774" t="s">
        <v>17</v>
      </c>
      <c r="W15" s="775">
        <f t="shared" si="2"/>
        <v>100</v>
      </c>
      <c r="X15" s="1804"/>
      <c r="Y15" s="3196" t="s">
        <v>2560</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197"/>
      <c r="Q16" s="1801"/>
      <c r="R16" s="774"/>
      <c r="S16" s="775"/>
      <c r="T16" s="774"/>
      <c r="U16" s="775"/>
      <c r="V16" s="774"/>
      <c r="W16" s="775"/>
      <c r="X16" s="1804"/>
      <c r="Y16" s="3197"/>
      <c r="Z16" s="1805"/>
      <c r="AA16" s="1802">
        <v>1</v>
      </c>
      <c r="AB16" s="1802">
        <v>1</v>
      </c>
      <c r="AC16" s="1802">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7"/>
      <c r="Q17" s="1801" t="str">
        <f>B17</f>
        <v>商业繁华度</v>
      </c>
      <c r="R17" s="774" t="s">
        <v>17</v>
      </c>
      <c r="S17" s="775">
        <f>F17</f>
        <v>100</v>
      </c>
      <c r="T17" s="774" t="s">
        <v>17</v>
      </c>
      <c r="U17" s="775">
        <f>H17</f>
        <v>100</v>
      </c>
      <c r="V17" s="774" t="s">
        <v>17</v>
      </c>
      <c r="W17" s="775">
        <f>J17</f>
        <v>100</v>
      </c>
      <c r="X17" s="1804"/>
      <c r="Y17" s="3197"/>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197"/>
      <c r="Q18" s="1801"/>
      <c r="R18" s="774"/>
      <c r="S18" s="775"/>
      <c r="T18" s="774"/>
      <c r="U18" s="775"/>
      <c r="V18" s="774"/>
      <c r="W18" s="775"/>
      <c r="X18" s="1804"/>
      <c r="Y18" s="3197"/>
      <c r="Z18" s="1805"/>
      <c r="AA18" s="1802">
        <v>1</v>
      </c>
      <c r="AB18" s="1802">
        <v>1</v>
      </c>
      <c r="AC18" s="1802">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01" t="str">
        <f>B19</f>
        <v>办公集聚程度</v>
      </c>
      <c r="R19" s="774" t="s">
        <v>17</v>
      </c>
      <c r="S19" s="775">
        <f>F19</f>
        <v>100</v>
      </c>
      <c r="T19" s="774" t="s">
        <v>17</v>
      </c>
      <c r="U19" s="775">
        <f>H19</f>
        <v>100</v>
      </c>
      <c r="V19" s="774" t="s">
        <v>17</v>
      </c>
      <c r="W19" s="775">
        <f>J19</f>
        <v>100</v>
      </c>
      <c r="X19" s="1804"/>
      <c r="Y19" s="3197"/>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197"/>
      <c r="Q20" s="1801"/>
      <c r="R20" s="774"/>
      <c r="S20" s="775"/>
      <c r="T20" s="774"/>
      <c r="U20" s="775"/>
      <c r="V20" s="774"/>
      <c r="W20" s="775"/>
      <c r="X20" s="1804"/>
      <c r="Y20" s="3197"/>
      <c r="Z20" s="1805"/>
      <c r="AA20" s="1802">
        <v>1</v>
      </c>
      <c r="AB20" s="1802">
        <v>1</v>
      </c>
      <c r="AC20" s="1802">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7"/>
      <c r="Q21" s="1801" t="str">
        <f>B21</f>
        <v>交通便捷度</v>
      </c>
      <c r="R21" s="774" t="s">
        <v>17</v>
      </c>
      <c r="S21" s="775">
        <f>F21</f>
        <v>100</v>
      </c>
      <c r="T21" s="774" t="s">
        <v>17</v>
      </c>
      <c r="U21" s="775">
        <f>H21</f>
        <v>100</v>
      </c>
      <c r="V21" s="774" t="s">
        <v>17</v>
      </c>
      <c r="W21" s="775">
        <f>J21</f>
        <v>100</v>
      </c>
      <c r="X21" s="1804"/>
      <c r="Y21" s="3197"/>
      <c r="Z21" s="1805" t="str">
        <f>Q21</f>
        <v>交通便捷度</v>
      </c>
      <c r="AA21" s="1802">
        <f t="shared" si="3"/>
        <v>1</v>
      </c>
      <c r="AB21" s="1802">
        <f t="shared" si="4"/>
        <v>1</v>
      </c>
      <c r="AC21" s="1802">
        <f t="shared" si="5"/>
        <v>1</v>
      </c>
    </row>
    <row r="22" spans="1:29" ht="15">
      <c r="A22" s="428"/>
      <c r="B22" s="1383"/>
      <c r="C22" s="447"/>
      <c r="D22" s="450"/>
      <c r="E22" s="2598"/>
      <c r="F22" s="448"/>
      <c r="G22" s="2598"/>
      <c r="H22" s="448"/>
      <c r="I22" s="2597"/>
      <c r="J22" s="448"/>
      <c r="K22" s="672"/>
      <c r="L22" s="1140"/>
      <c r="M22" s="1131"/>
      <c r="N22" s="1131"/>
      <c r="O22" s="1139"/>
      <c r="P22" s="3197"/>
      <c r="Q22" s="1801"/>
      <c r="R22" s="774"/>
      <c r="S22" s="775"/>
      <c r="T22" s="774"/>
      <c r="U22" s="775"/>
      <c r="V22" s="774"/>
      <c r="W22" s="775"/>
      <c r="X22" s="1804"/>
      <c r="Y22" s="3197"/>
      <c r="Z22" s="1805"/>
      <c r="AA22" s="1802">
        <v>1</v>
      </c>
      <c r="AB22" s="1802">
        <v>1</v>
      </c>
      <c r="AC22" s="1802">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7"/>
      <c r="Q23" s="1801" t="str">
        <f t="shared" ref="Q23:Q37" si="8">B23</f>
        <v>区域土地利用方向</v>
      </c>
      <c r="R23" s="774" t="s">
        <v>17</v>
      </c>
      <c r="S23" s="775">
        <f>F23</f>
        <v>100</v>
      </c>
      <c r="T23" s="774" t="s">
        <v>17</v>
      </c>
      <c r="U23" s="775">
        <f>H23</f>
        <v>100</v>
      </c>
      <c r="V23" s="774" t="s">
        <v>17</v>
      </c>
      <c r="W23" s="775">
        <f>J23</f>
        <v>100</v>
      </c>
      <c r="X23" s="1804"/>
      <c r="Y23" s="3197"/>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197"/>
      <c r="Q24" s="1801"/>
      <c r="R24" s="774"/>
      <c r="S24" s="775"/>
      <c r="T24" s="774"/>
      <c r="U24" s="775"/>
      <c r="V24" s="774"/>
      <c r="W24" s="775"/>
      <c r="X24" s="1804"/>
      <c r="Y24" s="3197"/>
      <c r="Z24" s="1805"/>
      <c r="AA24" s="1802"/>
      <c r="AB24" s="1802"/>
      <c r="AC24" s="1802"/>
    </row>
    <row r="25" spans="1:29" ht="57">
      <c r="A25" s="404"/>
      <c r="B25" s="1383"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7"/>
      <c r="Q25" s="1801" t="str">
        <f t="shared" si="8"/>
        <v>自然及人文环境状况</v>
      </c>
      <c r="R25" s="774" t="s">
        <v>17</v>
      </c>
      <c r="S25" s="775">
        <f>F25</f>
        <v>100</v>
      </c>
      <c r="T25" s="774" t="s">
        <v>17</v>
      </c>
      <c r="U25" s="775">
        <f>H25</f>
        <v>100</v>
      </c>
      <c r="V25" s="774" t="s">
        <v>17</v>
      </c>
      <c r="W25" s="775">
        <f>J25</f>
        <v>100</v>
      </c>
      <c r="X25" s="1804"/>
      <c r="Y25" s="3197"/>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197"/>
      <c r="Q26" s="1801"/>
      <c r="R26" s="774"/>
      <c r="S26" s="775"/>
      <c r="T26" s="774"/>
      <c r="U26" s="775"/>
      <c r="V26" s="774"/>
      <c r="W26" s="775"/>
      <c r="X26" s="1804"/>
      <c r="Y26" s="3197"/>
      <c r="Z26" s="1805"/>
      <c r="AA26" s="1802">
        <v>1</v>
      </c>
      <c r="AB26" s="1802">
        <v>1</v>
      </c>
      <c r="AC26" s="1802">
        <v>1</v>
      </c>
    </row>
    <row r="27" spans="1:29" s="117" customFormat="1" ht="42.75">
      <c r="A27" s="649"/>
      <c r="B27" s="1383"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7"/>
      <c r="Q27" s="1786" t="str">
        <f t="shared" si="8"/>
        <v>公共配套设施</v>
      </c>
      <c r="R27" s="770" t="s">
        <v>17</v>
      </c>
      <c r="S27" s="771">
        <f>F27</f>
        <v>100</v>
      </c>
      <c r="T27" s="770" t="s">
        <v>17</v>
      </c>
      <c r="U27" s="771">
        <f>H27</f>
        <v>100</v>
      </c>
      <c r="V27" s="770" t="s">
        <v>17</v>
      </c>
      <c r="W27" s="771">
        <f>J27</f>
        <v>100</v>
      </c>
      <c r="X27" s="772"/>
      <c r="Y27" s="3197"/>
      <c r="Z27" s="55" t="str">
        <f>Q27</f>
        <v>公共配套设施</v>
      </c>
      <c r="AA27" s="1802">
        <f>D27/F27</f>
        <v>1</v>
      </c>
      <c r="AB27" s="1802">
        <f>D27/H27</f>
        <v>1</v>
      </c>
      <c r="AC27" s="1802">
        <f>D27/J27</f>
        <v>1</v>
      </c>
    </row>
    <row r="28" spans="1:29" s="117" customFormat="1" ht="15">
      <c r="A28" s="649"/>
      <c r="B28" s="456"/>
      <c r="C28" s="2692"/>
      <c r="D28" s="448"/>
      <c r="E28" s="2604"/>
      <c r="F28" s="448"/>
      <c r="G28" s="2604"/>
      <c r="H28" s="448"/>
      <c r="I28" s="447"/>
      <c r="J28" s="448"/>
      <c r="K28" s="672"/>
      <c r="L28" s="1132"/>
      <c r="M28" s="1133"/>
      <c r="N28" s="1133"/>
      <c r="O28" s="1134"/>
      <c r="P28" s="3197"/>
      <c r="Q28" s="1786"/>
      <c r="R28" s="770"/>
      <c r="S28" s="771"/>
      <c r="T28" s="770"/>
      <c r="U28" s="771"/>
      <c r="V28" s="770"/>
      <c r="W28" s="771"/>
      <c r="X28" s="772"/>
      <c r="Y28" s="3197"/>
      <c r="Z28" s="55"/>
      <c r="AA28" s="1802">
        <v>1</v>
      </c>
      <c r="AB28" s="1802">
        <v>1</v>
      </c>
      <c r="AC28" s="1802">
        <v>1</v>
      </c>
    </row>
    <row r="29" spans="1:29" s="117" customFormat="1" ht="28.5">
      <c r="A29" s="649"/>
      <c r="B29" s="1383"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7"/>
      <c r="Q29" s="1786" t="str">
        <f t="shared" ref="Q29" si="9">B29</f>
        <v>基础设施水平</v>
      </c>
      <c r="R29" s="770" t="s">
        <v>17</v>
      </c>
      <c r="S29" s="771">
        <f>F29</f>
        <v>100</v>
      </c>
      <c r="T29" s="770" t="s">
        <v>17</v>
      </c>
      <c r="U29" s="771">
        <f>H29</f>
        <v>100</v>
      </c>
      <c r="V29" s="770" t="s">
        <v>17</v>
      </c>
      <c r="W29" s="771">
        <f>J29</f>
        <v>100</v>
      </c>
      <c r="X29" s="772"/>
      <c r="Y29" s="3197"/>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2"/>
      <c r="M30" s="1133"/>
      <c r="N30" s="1133"/>
      <c r="O30" s="1134"/>
      <c r="P30" s="3197"/>
      <c r="Q30" s="1786"/>
      <c r="R30" s="770"/>
      <c r="S30" s="771"/>
      <c r="T30" s="770"/>
      <c r="U30" s="771"/>
      <c r="V30" s="770"/>
      <c r="W30" s="771"/>
      <c r="X30" s="772"/>
      <c r="Y30" s="3197"/>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197"/>
      <c r="Z31" s="1805" t="str">
        <f t="shared" ref="Z31:Z45" si="13">Q31</f>
        <v>临街状况</v>
      </c>
      <c r="AA31" s="1802">
        <f t="shared" si="3"/>
        <v>1</v>
      </c>
      <c r="AB31" s="1802">
        <f t="shared" si="4"/>
        <v>1</v>
      </c>
      <c r="AC31" s="1802">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01" t="str">
        <f t="shared" si="8"/>
        <v>毗邻道路的类型与等级</v>
      </c>
      <c r="R32" s="774" t="s">
        <v>17</v>
      </c>
      <c r="S32" s="775">
        <f t="shared" si="10"/>
        <v>100</v>
      </c>
      <c r="T32" s="774" t="s">
        <v>17</v>
      </c>
      <c r="U32" s="775">
        <f t="shared" si="11"/>
        <v>100</v>
      </c>
      <c r="V32" s="774" t="s">
        <v>17</v>
      </c>
      <c r="W32" s="775">
        <f t="shared" si="12"/>
        <v>100</v>
      </c>
      <c r="X32" s="1804"/>
      <c r="Y32" s="3197"/>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197"/>
      <c r="Q33" s="1801"/>
      <c r="R33" s="774"/>
      <c r="S33" s="775"/>
      <c r="T33" s="774"/>
      <c r="U33" s="775"/>
      <c r="V33" s="774"/>
      <c r="W33" s="775"/>
      <c r="X33" s="1804"/>
      <c r="Y33" s="3197"/>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1" t="str">
        <f t="shared" si="8"/>
        <v>土地级别</v>
      </c>
      <c r="R34" s="774" t="s">
        <v>17</v>
      </c>
      <c r="S34" s="775">
        <f t="shared" si="10"/>
        <v>100</v>
      </c>
      <c r="T34" s="774" t="s">
        <v>17</v>
      </c>
      <c r="U34" s="775">
        <f t="shared" si="11"/>
        <v>100</v>
      </c>
      <c r="V34" s="774" t="s">
        <v>17</v>
      </c>
      <c r="W34" s="775">
        <f t="shared" si="12"/>
        <v>100</v>
      </c>
      <c r="X34" s="1804"/>
      <c r="Y34" s="3197"/>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1">
        <f t="shared" si="8"/>
        <v>111</v>
      </c>
      <c r="R35" s="774" t="s">
        <v>17</v>
      </c>
      <c r="S35" s="775">
        <f t="shared" si="10"/>
        <v>100</v>
      </c>
      <c r="T35" s="774" t="s">
        <v>17</v>
      </c>
      <c r="U35" s="775">
        <f t="shared" si="11"/>
        <v>100</v>
      </c>
      <c r="V35" s="774" t="s">
        <v>17</v>
      </c>
      <c r="W35" s="775">
        <f t="shared" si="12"/>
        <v>100</v>
      </c>
      <c r="X35" s="1804"/>
      <c r="Y35" s="3197"/>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2" t="s">
        <v>2565</v>
      </c>
      <c r="Q36" s="1801">
        <f t="shared" si="8"/>
        <v>111</v>
      </c>
      <c r="R36" s="774" t="s">
        <v>17</v>
      </c>
      <c r="S36" s="775">
        <f t="shared" si="10"/>
        <v>100</v>
      </c>
      <c r="T36" s="774" t="s">
        <v>17</v>
      </c>
      <c r="U36" s="775">
        <f t="shared" si="11"/>
        <v>100</v>
      </c>
      <c r="V36" s="774" t="s">
        <v>17</v>
      </c>
      <c r="W36" s="775">
        <f t="shared" si="12"/>
        <v>100</v>
      </c>
      <c r="X36" s="1804"/>
      <c r="Y36" s="3201" t="s">
        <v>2565</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1"/>
      <c r="Q37" s="1801">
        <f t="shared" si="8"/>
        <v>111</v>
      </c>
      <c r="R37" s="777" t="s">
        <v>17</v>
      </c>
      <c r="S37" s="778">
        <f t="shared" si="10"/>
        <v>100</v>
      </c>
      <c r="T37" s="777" t="s">
        <v>17</v>
      </c>
      <c r="U37" s="778">
        <f t="shared" si="11"/>
        <v>100</v>
      </c>
      <c r="V37" s="777" t="s">
        <v>17</v>
      </c>
      <c r="W37" s="778">
        <f t="shared" si="12"/>
        <v>100</v>
      </c>
      <c r="X37" s="779"/>
      <c r="Y37" s="3201"/>
      <c r="Z37" s="780">
        <f t="shared" si="13"/>
        <v>111</v>
      </c>
      <c r="AA37" s="1802">
        <f t="shared" si="3"/>
        <v>1</v>
      </c>
      <c r="AB37" s="1802">
        <f t="shared" si="4"/>
        <v>1</v>
      </c>
      <c r="AC37" s="1802">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1"/>
      <c r="Q38" s="1801" t="str">
        <f>B38</f>
        <v>宗地面积</v>
      </c>
      <c r="R38" s="774" t="s">
        <v>17</v>
      </c>
      <c r="S38" s="775" t="e">
        <f t="shared" si="10"/>
        <v>#N/A</v>
      </c>
      <c r="T38" s="774" t="s">
        <v>17</v>
      </c>
      <c r="U38" s="775" t="e">
        <f t="shared" si="11"/>
        <v>#N/A</v>
      </c>
      <c r="V38" s="774" t="s">
        <v>17</v>
      </c>
      <c r="W38" s="775" t="e">
        <f t="shared" si="12"/>
        <v>#N/A</v>
      </c>
      <c r="X38" s="1804"/>
      <c r="Y38" s="3201"/>
      <c r="Z38" s="1805" t="str">
        <f t="shared" si="13"/>
        <v>宗地面积</v>
      </c>
      <c r="AA38" s="1802" t="e">
        <f t="shared" si="3"/>
        <v>#N/A</v>
      </c>
      <c r="AB38" s="1802" t="e">
        <f t="shared" si="4"/>
        <v>#N/A</v>
      </c>
      <c r="AC38" s="1802"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1"/>
      <c r="Q39" s="1801" t="str">
        <f t="shared" ref="Q39:Q45" si="14">B39</f>
        <v>宗地形状</v>
      </c>
      <c r="R39" s="774" t="s">
        <v>17</v>
      </c>
      <c r="S39" s="775">
        <f t="shared" si="10"/>
        <v>100</v>
      </c>
      <c r="T39" s="774" t="s">
        <v>17</v>
      </c>
      <c r="U39" s="775">
        <f t="shared" si="11"/>
        <v>100</v>
      </c>
      <c r="V39" s="774" t="s">
        <v>17</v>
      </c>
      <c r="W39" s="775">
        <f t="shared" si="12"/>
        <v>100</v>
      </c>
      <c r="X39" s="1804"/>
      <c r="Y39" s="3201"/>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1"/>
      <c r="Q40" s="1801" t="str">
        <f t="shared" si="14"/>
        <v>临街宽度及深度</v>
      </c>
      <c r="R40" s="774" t="s">
        <v>17</v>
      </c>
      <c r="S40" s="775">
        <f t="shared" si="10"/>
        <v>100</v>
      </c>
      <c r="T40" s="774" t="s">
        <v>17</v>
      </c>
      <c r="U40" s="775">
        <f t="shared" si="11"/>
        <v>100</v>
      </c>
      <c r="V40" s="774" t="s">
        <v>17</v>
      </c>
      <c r="W40" s="775">
        <f t="shared" si="12"/>
        <v>100</v>
      </c>
      <c r="X40" s="1804"/>
      <c r="Y40" s="3201"/>
      <c r="Z40" s="1805" t="str">
        <f t="shared" si="13"/>
        <v>临街宽度及深度</v>
      </c>
      <c r="AA40" s="1802">
        <f t="shared" si="3"/>
        <v>1</v>
      </c>
      <c r="AB40" s="1802">
        <f t="shared" si="4"/>
        <v>1</v>
      </c>
      <c r="AC40" s="1802">
        <f t="shared" si="5"/>
        <v>1</v>
      </c>
    </row>
    <row r="41" spans="1:29" s="117" customFormat="1" ht="15">
      <c r="A41" s="473"/>
      <c r="B41" s="422" t="s">
        <v>2754</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01"/>
      <c r="Q41" s="1801"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1" t="s">
        <v>2565</v>
      </c>
      <c r="Q42" s="1801" t="str">
        <f t="shared" si="14"/>
        <v>工程地质条件</v>
      </c>
      <c r="R42" s="774" t="s">
        <v>17</v>
      </c>
      <c r="S42" s="775">
        <f t="shared" si="10"/>
        <v>100</v>
      </c>
      <c r="T42" s="774" t="s">
        <v>17</v>
      </c>
      <c r="U42" s="775">
        <f t="shared" si="11"/>
        <v>100</v>
      </c>
      <c r="V42" s="774" t="s">
        <v>17</v>
      </c>
      <c r="W42" s="775">
        <f t="shared" si="12"/>
        <v>100</v>
      </c>
      <c r="X42" s="1804"/>
      <c r="Y42" s="3201" t="s">
        <v>2565</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1"/>
      <c r="Q43" s="1801">
        <f t="shared" si="14"/>
        <v>111</v>
      </c>
      <c r="R43" s="774" t="s">
        <v>17</v>
      </c>
      <c r="S43" s="775">
        <f t="shared" si="10"/>
        <v>100</v>
      </c>
      <c r="T43" s="774" t="s">
        <v>17</v>
      </c>
      <c r="U43" s="775">
        <f t="shared" si="11"/>
        <v>100</v>
      </c>
      <c r="V43" s="774" t="s">
        <v>17</v>
      </c>
      <c r="W43" s="775">
        <f t="shared" si="12"/>
        <v>100</v>
      </c>
      <c r="X43" s="1804"/>
      <c r="Y43" s="3201"/>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1"/>
      <c r="Q44" s="1801">
        <f t="shared" si="14"/>
        <v>111</v>
      </c>
      <c r="R44" s="774" t="s">
        <v>17</v>
      </c>
      <c r="S44" s="775">
        <f t="shared" si="10"/>
        <v>100</v>
      </c>
      <c r="T44" s="774" t="s">
        <v>17</v>
      </c>
      <c r="U44" s="775">
        <f t="shared" si="11"/>
        <v>100</v>
      </c>
      <c r="V44" s="774" t="s">
        <v>17</v>
      </c>
      <c r="W44" s="775">
        <f t="shared" si="12"/>
        <v>100</v>
      </c>
      <c r="X44" s="1804"/>
      <c r="Y44" s="3201"/>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1"/>
      <c r="Q45" s="1801">
        <f t="shared" si="14"/>
        <v>111</v>
      </c>
      <c r="R45" s="777" t="s">
        <v>17</v>
      </c>
      <c r="S45" s="778">
        <f t="shared" si="10"/>
        <v>100</v>
      </c>
      <c r="T45" s="777" t="s">
        <v>17</v>
      </c>
      <c r="U45" s="778">
        <f t="shared" si="11"/>
        <v>100</v>
      </c>
      <c r="V45" s="777" t="s">
        <v>17</v>
      </c>
      <c r="W45" s="778">
        <f t="shared" si="12"/>
        <v>100</v>
      </c>
      <c r="X45" s="779"/>
      <c r="Y45" s="3201"/>
      <c r="Z45" s="780">
        <f t="shared" si="13"/>
        <v>111</v>
      </c>
      <c r="AA45" s="1802">
        <f t="shared" si="3"/>
        <v>1</v>
      </c>
      <c r="AB45" s="1802">
        <f t="shared" si="4"/>
        <v>1</v>
      </c>
      <c r="AC45" s="1802">
        <f t="shared" si="5"/>
        <v>1</v>
      </c>
    </row>
    <row r="46" spans="1:29" ht="15">
      <c r="A46" s="479" t="s">
        <v>2720</v>
      </c>
      <c r="B46" s="2696" t="s">
        <v>2756</v>
      </c>
      <c r="C46" s="682" t="s">
        <v>1</v>
      </c>
      <c r="D46" s="481"/>
      <c r="E46" s="482"/>
      <c r="F46" s="483"/>
      <c r="G46" s="484"/>
      <c r="H46" s="485"/>
      <c r="I46" s="482"/>
      <c r="J46" s="485"/>
      <c r="K46" s="783"/>
      <c r="L46" s="1143"/>
      <c r="M46" s="1144"/>
      <c r="N46" s="1131"/>
      <c r="O46" s="1144"/>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94" t="str">
        <f>A47</f>
        <v>比较价值（元/平方米）</v>
      </c>
      <c r="Q47" s="319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91" t="str">
        <f>A48</f>
        <v>估价对象XX用房的比较价值（楼面单价，元/平方米）</v>
      </c>
      <c r="Q48" s="3192"/>
      <c r="R48" s="3254" t="e">
        <f>ROUND(AVERAGE(R47:V47),0)</f>
        <v>#DIV/0!</v>
      </c>
      <c r="S48" s="3254"/>
      <c r="T48" s="3254"/>
      <c r="U48" s="3254"/>
      <c r="V48" s="3254"/>
      <c r="W48" s="325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7" t="s">
        <v>2760</v>
      </c>
      <c r="D55" s="2698" t="s">
        <v>2761</v>
      </c>
      <c r="E55" s="686" t="s">
        <v>2762</v>
      </c>
      <c r="F55" s="1107" t="s">
        <v>2763</v>
      </c>
      <c r="G55" s="3209" t="s">
        <v>2764</v>
      </c>
      <c r="H55" s="3255"/>
      <c r="I55" s="144" t="s">
        <v>2765</v>
      </c>
      <c r="J55" s="2699">
        <f>项目基本情况!F35</f>
        <v>0</v>
      </c>
      <c r="K55" s="2700" t="s">
        <v>2766</v>
      </c>
      <c r="L55" s="1106"/>
      <c r="M55" s="1144"/>
      <c r="N55" s="1144"/>
      <c r="O55" s="1144"/>
    </row>
    <row r="56" spans="1:15" s="692" customFormat="1">
      <c r="A56" s="688" t="s">
        <v>2767</v>
      </c>
      <c r="B56" s="689" t="e">
        <f>C48</f>
        <v>#DIV/0!</v>
      </c>
      <c r="C56" s="690">
        <v>1</v>
      </c>
      <c r="D56" s="1163">
        <v>1</v>
      </c>
      <c r="E56" s="690">
        <f>'数据-汇总表'!E8+'数据-汇总表'!E9</f>
        <v>16206.229999999998</v>
      </c>
      <c r="F56" s="1103" t="e">
        <f t="shared" ref="F56:F65" si="15">ROUND(B56*E56/10000,0)</f>
        <v>#DIV/0!</v>
      </c>
      <c r="G56" s="3205"/>
      <c r="H56" s="319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5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5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5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5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0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16206.229999999998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0"/>
      <c r="M4" s="1131"/>
      <c r="N4" s="1131"/>
      <c r="O4" s="1131"/>
      <c r="P4" s="3213" t="s">
        <v>2651</v>
      </c>
      <c r="Q4" s="3214"/>
      <c r="R4" s="3219" t="s">
        <v>2647</v>
      </c>
      <c r="S4" s="3220"/>
      <c r="T4" s="3219" t="s">
        <v>2648</v>
      </c>
      <c r="U4" s="3220"/>
      <c r="V4" s="3225" t="s">
        <v>2649</v>
      </c>
      <c r="W4" s="3225"/>
      <c r="X4" s="1804"/>
      <c r="Y4" s="3219" t="s">
        <v>2651</v>
      </c>
      <c r="Z4" s="3220"/>
      <c r="AA4" s="3206" t="s">
        <v>2647</v>
      </c>
      <c r="AB4" s="3207" t="s">
        <v>2648</v>
      </c>
      <c r="AC4" s="3206" t="s">
        <v>2649</v>
      </c>
    </row>
    <row r="5" spans="1:29" ht="15">
      <c r="A5" s="404"/>
      <c r="B5" s="405"/>
      <c r="C5" s="3228" t="s">
        <v>2542</v>
      </c>
      <c r="D5" s="3229"/>
      <c r="E5" s="3235" t="s">
        <v>2543</v>
      </c>
      <c r="F5" s="3236"/>
      <c r="G5" s="3228" t="s">
        <v>2544</v>
      </c>
      <c r="H5" s="3229"/>
      <c r="I5" s="3228" t="s">
        <v>2545</v>
      </c>
      <c r="J5" s="3229"/>
      <c r="K5" s="610"/>
      <c r="L5" s="1130"/>
      <c r="M5" s="1131"/>
      <c r="N5" s="1131"/>
      <c r="O5" s="1131"/>
      <c r="P5" s="3215"/>
      <c r="Q5" s="3216"/>
      <c r="R5" s="3221"/>
      <c r="S5" s="3222"/>
      <c r="T5" s="3221"/>
      <c r="U5" s="3222"/>
      <c r="V5" s="3225"/>
      <c r="W5" s="3225"/>
      <c r="X5" s="1804"/>
      <c r="Y5" s="3221"/>
      <c r="Z5" s="3222"/>
      <c r="AA5" s="3207"/>
      <c r="AB5" s="3207"/>
      <c r="AC5" s="3207"/>
    </row>
    <row r="6" spans="1:29" ht="15.75" thickBot="1">
      <c r="A6" s="406"/>
      <c r="B6" s="407"/>
      <c r="C6" s="3257" t="s">
        <v>2797</v>
      </c>
      <c r="D6" s="3258"/>
      <c r="E6" s="3259" t="s">
        <v>2797</v>
      </c>
      <c r="F6" s="3260"/>
      <c r="G6" s="3257" t="s">
        <v>2797</v>
      </c>
      <c r="H6" s="3258"/>
      <c r="I6" s="3257" t="s">
        <v>2797</v>
      </c>
      <c r="J6" s="3258"/>
      <c r="K6" s="610" t="s">
        <v>2547</v>
      </c>
      <c r="L6" s="1130"/>
      <c r="M6" s="1131"/>
      <c r="N6" s="1131"/>
      <c r="O6" s="1131"/>
      <c r="P6" s="3217"/>
      <c r="Q6" s="3218"/>
      <c r="R6" s="3221"/>
      <c r="S6" s="3222"/>
      <c r="T6" s="3223"/>
      <c r="U6" s="3224"/>
      <c r="V6" s="3225"/>
      <c r="W6" s="3225"/>
      <c r="X6" s="1804"/>
      <c r="Y6" s="3223"/>
      <c r="Z6" s="3224"/>
      <c r="AA6" s="3208"/>
      <c r="AB6" s="3208"/>
      <c r="AC6" s="3208"/>
    </row>
    <row r="7" spans="1:29" s="117" customFormat="1" ht="15.75" thickBot="1">
      <c r="A7" s="408" t="s">
        <v>2548</v>
      </c>
      <c r="B7" s="409"/>
      <c r="C7" s="410">
        <f>'数据-取费表'!B2</f>
        <v>43570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2552</v>
      </c>
      <c r="Q8" s="3231"/>
      <c r="R8" s="770" t="s">
        <v>17</v>
      </c>
      <c r="S8" s="771">
        <f t="shared" si="0"/>
        <v>0</v>
      </c>
      <c r="T8" s="770" t="s">
        <v>17</v>
      </c>
      <c r="U8" s="771">
        <f t="shared" si="1"/>
        <v>0</v>
      </c>
      <c r="V8" s="770" t="s">
        <v>17</v>
      </c>
      <c r="W8" s="771">
        <f t="shared" si="2"/>
        <v>0</v>
      </c>
      <c r="X8" s="772"/>
      <c r="Y8" s="3230" t="s">
        <v>2552</v>
      </c>
      <c r="Z8" s="3231"/>
      <c r="AA8" s="773" t="e">
        <f t="shared" ref="AA8:AA40" si="3">D8/F8</f>
        <v>#DIV/0!</v>
      </c>
      <c r="AB8" s="773" t="e">
        <f t="shared" ref="AB8:AB40" si="4">D8/H8</f>
        <v>#DIV/0!</v>
      </c>
      <c r="AC8" s="773"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94" t="s">
        <v>2555</v>
      </c>
      <c r="Q9" s="1786"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94"/>
      <c r="Q10" s="1786" t="str">
        <f t="shared" si="6"/>
        <v>土地使用年限（年）</v>
      </c>
      <c r="R10" s="770" t="s">
        <v>17</v>
      </c>
      <c r="S10" s="771">
        <f t="shared" si="0"/>
        <v>103</v>
      </c>
      <c r="T10" s="770" t="s">
        <v>17</v>
      </c>
      <c r="U10" s="771">
        <f t="shared" si="1"/>
        <v>103</v>
      </c>
      <c r="V10" s="770" t="s">
        <v>17</v>
      </c>
      <c r="W10" s="771">
        <f t="shared" si="2"/>
        <v>103</v>
      </c>
      <c r="X10" s="772"/>
      <c r="Y10" s="3017"/>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29" t="s">
        <v>2798</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2560</v>
      </c>
      <c r="Q15" s="1801" t="str">
        <f t="shared" si="6"/>
        <v>产业集聚程度</v>
      </c>
      <c r="R15" s="774" t="s">
        <v>17</v>
      </c>
      <c r="S15" s="775">
        <f t="shared" si="0"/>
        <v>100</v>
      </c>
      <c r="T15" s="774" t="s">
        <v>17</v>
      </c>
      <c r="U15" s="775">
        <f t="shared" si="1"/>
        <v>100</v>
      </c>
      <c r="V15" s="774" t="s">
        <v>17</v>
      </c>
      <c r="W15" s="775">
        <f t="shared" si="2"/>
        <v>100</v>
      </c>
      <c r="X15" s="1804"/>
      <c r="Y15" s="3196"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197"/>
      <c r="Q16" s="1801"/>
      <c r="R16" s="774"/>
      <c r="S16" s="775"/>
      <c r="T16" s="774"/>
      <c r="U16" s="775"/>
      <c r="V16" s="774"/>
      <c r="W16" s="775"/>
      <c r="X16" s="1804"/>
      <c r="Y16" s="3197"/>
      <c r="Z16" s="1805"/>
      <c r="AA16" s="1802">
        <v>1</v>
      </c>
      <c r="AB16" s="1802">
        <v>1</v>
      </c>
      <c r="AC16" s="1802">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197"/>
      <c r="Q18" s="1801"/>
      <c r="R18" s="774"/>
      <c r="S18" s="775"/>
      <c r="T18" s="774"/>
      <c r="U18" s="775"/>
      <c r="V18" s="774"/>
      <c r="W18" s="775"/>
      <c r="X18" s="1804"/>
      <c r="Y18" s="3197"/>
      <c r="Z18" s="1805"/>
      <c r="AA18" s="1802">
        <v>1</v>
      </c>
      <c r="AB18" s="1802">
        <v>1</v>
      </c>
      <c r="AC18" s="1802">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1" t="str">
        <f t="shared" ref="Q19:Q33" si="8">B19</f>
        <v>区域土地利用方向</v>
      </c>
      <c r="R19" s="774" t="s">
        <v>17</v>
      </c>
      <c r="S19" s="775">
        <f>F19</f>
        <v>100</v>
      </c>
      <c r="T19" s="774" t="s">
        <v>17</v>
      </c>
      <c r="U19" s="775">
        <f>H19</f>
        <v>100</v>
      </c>
      <c r="V19" s="774" t="s">
        <v>17</v>
      </c>
      <c r="W19" s="775">
        <f>J19</f>
        <v>100</v>
      </c>
      <c r="X19" s="1804"/>
      <c r="Y19" s="3197"/>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197"/>
      <c r="Q20" s="1801"/>
      <c r="R20" s="774"/>
      <c r="S20" s="775"/>
      <c r="T20" s="774"/>
      <c r="U20" s="775"/>
      <c r="V20" s="774"/>
      <c r="W20" s="775"/>
      <c r="X20" s="1804"/>
      <c r="Y20" s="3197"/>
      <c r="Z20" s="1805"/>
      <c r="AA20" s="1802"/>
      <c r="AB20" s="1802"/>
      <c r="AC20" s="1802"/>
    </row>
    <row r="21" spans="1:29" ht="71.25">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1" t="str">
        <f t="shared" si="8"/>
        <v>环境状况</v>
      </c>
      <c r="R21" s="774" t="s">
        <v>17</v>
      </c>
      <c r="S21" s="775">
        <f>F21</f>
        <v>100</v>
      </c>
      <c r="T21" s="774" t="s">
        <v>17</v>
      </c>
      <c r="U21" s="775">
        <f>H21</f>
        <v>100</v>
      </c>
      <c r="V21" s="774" t="s">
        <v>17</v>
      </c>
      <c r="W21" s="775">
        <f>J21</f>
        <v>100</v>
      </c>
      <c r="X21" s="1804"/>
      <c r="Y21" s="3197"/>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197"/>
      <c r="Q22" s="1801"/>
      <c r="R22" s="774"/>
      <c r="S22" s="775"/>
      <c r="T22" s="774"/>
      <c r="U22" s="775"/>
      <c r="V22" s="774"/>
      <c r="W22" s="775"/>
      <c r="X22" s="1804"/>
      <c r="Y22" s="3197"/>
      <c r="Z22" s="1805"/>
      <c r="AA22" s="1802">
        <v>1</v>
      </c>
      <c r="AB22" s="1802">
        <v>1</v>
      </c>
      <c r="AC22" s="1802">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86" t="str">
        <f t="shared" si="8"/>
        <v>公共配套设施</v>
      </c>
      <c r="R23" s="770" t="s">
        <v>17</v>
      </c>
      <c r="S23" s="771">
        <f>F23</f>
        <v>100</v>
      </c>
      <c r="T23" s="770" t="s">
        <v>17</v>
      </c>
      <c r="U23" s="771">
        <f>H23</f>
        <v>100</v>
      </c>
      <c r="V23" s="770" t="s">
        <v>17</v>
      </c>
      <c r="W23" s="771">
        <f>J23</f>
        <v>100</v>
      </c>
      <c r="X23" s="772"/>
      <c r="Y23" s="3197"/>
      <c r="Z23" s="55" t="str">
        <f>Q23</f>
        <v>公共配套设施</v>
      </c>
      <c r="AA23" s="1802">
        <f>D23/F23</f>
        <v>1</v>
      </c>
      <c r="AB23" s="1802">
        <f>D23/H23</f>
        <v>1</v>
      </c>
      <c r="AC23" s="1802">
        <f>D23/J23</f>
        <v>1</v>
      </c>
    </row>
    <row r="24" spans="1:29" s="117" customFormat="1" ht="15">
      <c r="A24" s="649"/>
      <c r="B24" s="632"/>
      <c r="C24" s="2692"/>
      <c r="D24" s="448"/>
      <c r="E24" s="2604"/>
      <c r="F24" s="448"/>
      <c r="G24" s="2604"/>
      <c r="H24" s="448"/>
      <c r="I24" s="447"/>
      <c r="J24" s="448"/>
      <c r="K24" s="672"/>
      <c r="L24" s="1132"/>
      <c r="M24" s="1133"/>
      <c r="N24" s="1133"/>
      <c r="O24" s="1134"/>
      <c r="P24" s="3197"/>
      <c r="Q24" s="1786"/>
      <c r="R24" s="770"/>
      <c r="S24" s="771"/>
      <c r="T24" s="770"/>
      <c r="U24" s="771"/>
      <c r="V24" s="770"/>
      <c r="W24" s="771"/>
      <c r="X24" s="772"/>
      <c r="Y24" s="3197"/>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86" t="str">
        <f t="shared" ref="Q25" si="9">B25</f>
        <v>基础设施水平</v>
      </c>
      <c r="R25" s="770" t="s">
        <v>17</v>
      </c>
      <c r="S25" s="771">
        <f>F25</f>
        <v>100</v>
      </c>
      <c r="T25" s="770" t="s">
        <v>17</v>
      </c>
      <c r="U25" s="771">
        <f>H25</f>
        <v>100</v>
      </c>
      <c r="V25" s="770" t="s">
        <v>17</v>
      </c>
      <c r="W25" s="771">
        <f>J25</f>
        <v>100</v>
      </c>
      <c r="X25" s="772"/>
      <c r="Y25" s="3197"/>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2"/>
      <c r="M26" s="1133"/>
      <c r="N26" s="1133"/>
      <c r="O26" s="1134"/>
      <c r="P26" s="3197"/>
      <c r="Q26" s="1786"/>
      <c r="R26" s="770"/>
      <c r="S26" s="771"/>
      <c r="T26" s="770"/>
      <c r="U26" s="771"/>
      <c r="V26" s="770"/>
      <c r="W26" s="771"/>
      <c r="X26" s="772"/>
      <c r="Y26" s="319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197"/>
      <c r="Z27" s="1805" t="str">
        <f t="shared" ref="Z27:Z40" si="13">Q27</f>
        <v>临街状况</v>
      </c>
      <c r="AA27" s="1802">
        <f t="shared" si="3"/>
        <v>1</v>
      </c>
      <c r="AB27" s="1802">
        <f t="shared" si="4"/>
        <v>1</v>
      </c>
      <c r="AC27" s="1802">
        <f t="shared" si="5"/>
        <v>1</v>
      </c>
    </row>
    <row r="28" spans="1:29" ht="27">
      <c r="A28" s="428"/>
      <c r="B28" s="633"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1" t="str">
        <f t="shared" si="8"/>
        <v>毗邻道路的类型与等级</v>
      </c>
      <c r="R28" s="774" t="s">
        <v>17</v>
      </c>
      <c r="S28" s="775">
        <f t="shared" si="10"/>
        <v>100</v>
      </c>
      <c r="T28" s="774" t="s">
        <v>17</v>
      </c>
      <c r="U28" s="775">
        <f t="shared" si="11"/>
        <v>100</v>
      </c>
      <c r="V28" s="774" t="s">
        <v>17</v>
      </c>
      <c r="W28" s="775">
        <f t="shared" si="12"/>
        <v>100</v>
      </c>
      <c r="X28" s="1804"/>
      <c r="Y28" s="3197"/>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197"/>
      <c r="Q29" s="1801"/>
      <c r="R29" s="774"/>
      <c r="S29" s="775"/>
      <c r="T29" s="774"/>
      <c r="U29" s="775"/>
      <c r="V29" s="774"/>
      <c r="W29" s="775"/>
      <c r="X29" s="1804"/>
      <c r="Y29" s="3197"/>
      <c r="Z29" s="1805"/>
      <c r="AA29" s="1802">
        <v>1</v>
      </c>
      <c r="AB29" s="1802">
        <v>1</v>
      </c>
      <c r="AC29" s="1802">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1" t="str">
        <f t="shared" si="8"/>
        <v>土地级别</v>
      </c>
      <c r="R30" s="774" t="s">
        <v>17</v>
      </c>
      <c r="S30" s="775">
        <f t="shared" si="10"/>
        <v>100</v>
      </c>
      <c r="T30" s="774" t="s">
        <v>17</v>
      </c>
      <c r="U30" s="775">
        <f t="shared" si="11"/>
        <v>100</v>
      </c>
      <c r="V30" s="774" t="s">
        <v>17</v>
      </c>
      <c r="W30" s="775">
        <f t="shared" si="12"/>
        <v>100</v>
      </c>
      <c r="X30" s="1804"/>
      <c r="Y30" s="3197"/>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1">
        <f t="shared" si="8"/>
        <v>111</v>
      </c>
      <c r="R31" s="774" t="s">
        <v>17</v>
      </c>
      <c r="S31" s="775">
        <f t="shared" si="10"/>
        <v>100</v>
      </c>
      <c r="T31" s="774" t="s">
        <v>17</v>
      </c>
      <c r="U31" s="775">
        <f t="shared" si="11"/>
        <v>100</v>
      </c>
      <c r="V31" s="774" t="s">
        <v>17</v>
      </c>
      <c r="W31" s="775">
        <f t="shared" si="12"/>
        <v>100</v>
      </c>
      <c r="X31" s="1804"/>
      <c r="Y31" s="3197"/>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2" t="s">
        <v>2565</v>
      </c>
      <c r="Q32" s="1801">
        <f t="shared" si="8"/>
        <v>111</v>
      </c>
      <c r="R32" s="774" t="s">
        <v>17</v>
      </c>
      <c r="S32" s="775">
        <f t="shared" si="10"/>
        <v>100</v>
      </c>
      <c r="T32" s="774" t="s">
        <v>17</v>
      </c>
      <c r="U32" s="775">
        <f t="shared" si="11"/>
        <v>100</v>
      </c>
      <c r="V32" s="774" t="s">
        <v>17</v>
      </c>
      <c r="W32" s="775">
        <f t="shared" si="12"/>
        <v>100</v>
      </c>
      <c r="X32" s="1804"/>
      <c r="Y32" s="3201" t="s">
        <v>2565</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1"/>
      <c r="Q33" s="1801">
        <f t="shared" si="8"/>
        <v>111</v>
      </c>
      <c r="R33" s="777" t="s">
        <v>17</v>
      </c>
      <c r="S33" s="778">
        <f t="shared" si="10"/>
        <v>100</v>
      </c>
      <c r="T33" s="777" t="s">
        <v>17</v>
      </c>
      <c r="U33" s="778">
        <f t="shared" si="11"/>
        <v>100</v>
      </c>
      <c r="V33" s="777" t="s">
        <v>17</v>
      </c>
      <c r="W33" s="778">
        <f t="shared" si="12"/>
        <v>100</v>
      </c>
      <c r="X33" s="779"/>
      <c r="Y33" s="3201"/>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1"/>
      <c r="Q34" s="1801" t="str">
        <f>B34</f>
        <v>宗地面积</v>
      </c>
      <c r="R34" s="774" t="s">
        <v>17</v>
      </c>
      <c r="S34" s="775" t="e">
        <f t="shared" si="10"/>
        <v>#N/A</v>
      </c>
      <c r="T34" s="774" t="s">
        <v>17</v>
      </c>
      <c r="U34" s="775" t="e">
        <f t="shared" si="11"/>
        <v>#N/A</v>
      </c>
      <c r="V34" s="774" t="s">
        <v>17</v>
      </c>
      <c r="W34" s="775" t="e">
        <f t="shared" si="12"/>
        <v>#N/A</v>
      </c>
      <c r="X34" s="1804"/>
      <c r="Y34" s="3201"/>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1"/>
      <c r="Q35" s="1801" t="str">
        <f t="shared" ref="Q35:Q40" si="14">B35</f>
        <v>宗地形状</v>
      </c>
      <c r="R35" s="774" t="s">
        <v>17</v>
      </c>
      <c r="S35" s="775">
        <f t="shared" si="10"/>
        <v>100</v>
      </c>
      <c r="T35" s="774" t="s">
        <v>17</v>
      </c>
      <c r="U35" s="775">
        <f t="shared" si="11"/>
        <v>100</v>
      </c>
      <c r="V35" s="774" t="s">
        <v>17</v>
      </c>
      <c r="W35" s="775">
        <f t="shared" si="12"/>
        <v>100</v>
      </c>
      <c r="X35" s="1804"/>
      <c r="Y35" s="3201"/>
      <c r="Z35" s="1805" t="str">
        <f t="shared" si="13"/>
        <v>宗地形状</v>
      </c>
      <c r="AA35" s="1802">
        <f t="shared" si="3"/>
        <v>1</v>
      </c>
      <c r="AB35" s="1802">
        <f t="shared" si="4"/>
        <v>1</v>
      </c>
      <c r="AC35" s="1802">
        <f t="shared" si="5"/>
        <v>1</v>
      </c>
    </row>
    <row r="36" spans="1:29" s="117" customFormat="1" ht="15">
      <c r="A36" s="473"/>
      <c r="B36" s="422" t="s">
        <v>2754</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01"/>
      <c r="Q36" s="1801"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1" t="s">
        <v>2565</v>
      </c>
      <c r="Q37" s="1801" t="str">
        <f t="shared" si="14"/>
        <v>工程地质条件</v>
      </c>
      <c r="R37" s="774" t="s">
        <v>17</v>
      </c>
      <c r="S37" s="775">
        <f t="shared" si="10"/>
        <v>100</v>
      </c>
      <c r="T37" s="774" t="s">
        <v>17</v>
      </c>
      <c r="U37" s="775">
        <f t="shared" si="11"/>
        <v>100</v>
      </c>
      <c r="V37" s="774" t="s">
        <v>17</v>
      </c>
      <c r="W37" s="775">
        <f t="shared" si="12"/>
        <v>100</v>
      </c>
      <c r="X37" s="1804"/>
      <c r="Y37" s="3201" t="s">
        <v>2565</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1"/>
      <c r="Q38" s="1801">
        <f t="shared" si="14"/>
        <v>111</v>
      </c>
      <c r="R38" s="774" t="s">
        <v>17</v>
      </c>
      <c r="S38" s="775">
        <f t="shared" si="10"/>
        <v>100</v>
      </c>
      <c r="T38" s="774" t="s">
        <v>17</v>
      </c>
      <c r="U38" s="775">
        <f t="shared" si="11"/>
        <v>100</v>
      </c>
      <c r="V38" s="774" t="s">
        <v>17</v>
      </c>
      <c r="W38" s="775">
        <f t="shared" si="12"/>
        <v>100</v>
      </c>
      <c r="X38" s="1804"/>
      <c r="Y38" s="3201"/>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1"/>
      <c r="Q39" s="1801">
        <f t="shared" si="14"/>
        <v>111</v>
      </c>
      <c r="R39" s="774" t="s">
        <v>17</v>
      </c>
      <c r="S39" s="775">
        <f t="shared" si="10"/>
        <v>100</v>
      </c>
      <c r="T39" s="774" t="s">
        <v>17</v>
      </c>
      <c r="U39" s="775">
        <f t="shared" si="11"/>
        <v>100</v>
      </c>
      <c r="V39" s="774" t="s">
        <v>17</v>
      </c>
      <c r="W39" s="775">
        <f t="shared" si="12"/>
        <v>100</v>
      </c>
      <c r="X39" s="1804"/>
      <c r="Y39" s="3201"/>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1"/>
      <c r="Q40" s="1801">
        <f t="shared" si="14"/>
        <v>111</v>
      </c>
      <c r="R40" s="777" t="s">
        <v>17</v>
      </c>
      <c r="S40" s="778">
        <f t="shared" si="10"/>
        <v>100</v>
      </c>
      <c r="T40" s="777" t="s">
        <v>17</v>
      </c>
      <c r="U40" s="778">
        <f t="shared" si="11"/>
        <v>100</v>
      </c>
      <c r="V40" s="777" t="s">
        <v>17</v>
      </c>
      <c r="W40" s="778">
        <f t="shared" si="12"/>
        <v>100</v>
      </c>
      <c r="X40" s="779"/>
      <c r="Y40" s="3201"/>
      <c r="Z40" s="780">
        <f t="shared" si="13"/>
        <v>111</v>
      </c>
      <c r="AA40" s="1802">
        <f t="shared" si="3"/>
        <v>1</v>
      </c>
      <c r="AB40" s="1802">
        <f t="shared" si="4"/>
        <v>1</v>
      </c>
      <c r="AC40" s="1802">
        <f t="shared" si="5"/>
        <v>1</v>
      </c>
    </row>
    <row r="41" spans="1:29" ht="15">
      <c r="A41" s="479" t="s">
        <v>2720</v>
      </c>
      <c r="B41" s="2696" t="s">
        <v>2800</v>
      </c>
      <c r="C41" s="682" t="s">
        <v>1</v>
      </c>
      <c r="D41" s="481"/>
      <c r="E41" s="482"/>
      <c r="F41" s="483"/>
      <c r="G41" s="484"/>
      <c r="H41" s="485"/>
      <c r="I41" s="482"/>
      <c r="J41" s="485"/>
      <c r="K41" s="783"/>
      <c r="L41" s="1143"/>
      <c r="M41" s="1131"/>
      <c r="N41" s="1131"/>
      <c r="O41" s="1144"/>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697" t="s">
        <v>2760</v>
      </c>
      <c r="D50" s="2698" t="s">
        <v>2761</v>
      </c>
      <c r="E50" s="686" t="s">
        <v>2762</v>
      </c>
      <c r="F50" s="687" t="s">
        <v>2763</v>
      </c>
      <c r="G50" s="3209" t="s">
        <v>2764</v>
      </c>
      <c r="H50" s="3255"/>
      <c r="I50" s="1805" t="s">
        <v>2801</v>
      </c>
      <c r="J50" s="1805">
        <f>项目基本情况!F35</f>
        <v>0</v>
      </c>
      <c r="K50" s="2700" t="s">
        <v>2766</v>
      </c>
      <c r="L50" s="1106"/>
      <c r="M50" s="1144"/>
      <c r="N50" s="1144"/>
      <c r="O50" s="1144"/>
    </row>
    <row r="51" spans="1:17" s="692" customFormat="1">
      <c r="A51" s="688" t="s">
        <v>2767</v>
      </c>
      <c r="B51" s="689" t="e">
        <f>C43</f>
        <v>#DIV/0!</v>
      </c>
      <c r="C51" s="690">
        <v>1</v>
      </c>
      <c r="D51" s="1163">
        <v>1</v>
      </c>
      <c r="E51" s="690">
        <f>'数据-汇总表'!E8+'数据-汇总表'!E9</f>
        <v>16206.229999999998</v>
      </c>
      <c r="F51" s="691" t="e">
        <f t="shared" ref="F51:F60" si="15">ROUND(B51*E51/10000,0)</f>
        <v>#DIV/0!</v>
      </c>
      <c r="G51" s="3205"/>
      <c r="H51" s="319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5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5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5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5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5264.7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0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2804</v>
      </c>
      <c r="B1" s="241"/>
      <c r="C1" s="245" t="s">
        <v>2805</v>
      </c>
      <c r="D1" s="388">
        <f>SUM(D29:D30,D33:D39)</f>
        <v>0</v>
      </c>
      <c r="E1" s="2709"/>
      <c r="F1" s="2709"/>
      <c r="G1" s="2709"/>
      <c r="H1" s="2709"/>
      <c r="I1" s="2709"/>
      <c r="J1" s="2709"/>
      <c r="K1" s="1369"/>
      <c r="L1" s="2710" t="s">
        <v>2806</v>
      </c>
      <c r="M1" s="1080">
        <f>SUMPRODUCT((区片价!B5:B9=I2)*(区片价!C3:F3=E2)*(区片价!C5:F9))</f>
        <v>0</v>
      </c>
      <c r="N1" s="1083">
        <f>SUMPRODUCT((因素修正幅度!B5:B9=I2)*(因素修正幅度!C3:F3=E2)*(因素修正幅度!C5:F9))</f>
        <v>0</v>
      </c>
      <c r="O1" s="2711"/>
      <c r="P1" s="271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9"/>
      <c r="L2" s="271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13" t="s">
        <v>2819</v>
      </c>
      <c r="D3" s="2714" t="s">
        <v>2820</v>
      </c>
      <c r="E3" s="2719"/>
      <c r="F3" s="2720" t="s">
        <v>2821</v>
      </c>
      <c r="G3" s="916">
        <f>IF(F3="宗地容积率",'数据-汇总表'!I4,IF(F3="估价对象容积率",'数据-汇总表'!I6,'数据-汇总表'!I7))</f>
        <v>3.08</v>
      </c>
      <c r="H3" s="198" t="s">
        <v>2822</v>
      </c>
      <c r="I3" s="944"/>
      <c r="J3" s="2717" t="s">
        <v>2823</v>
      </c>
      <c r="K3" s="1369"/>
      <c r="L3" s="271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4"/>
      <c r="B4" s="3265"/>
      <c r="C4" s="3265"/>
      <c r="D4" s="3266"/>
      <c r="E4" s="3266"/>
      <c r="F4" s="3266"/>
      <c r="G4" s="3266"/>
      <c r="H4" s="3266"/>
      <c r="I4" s="3266"/>
      <c r="J4" s="3267"/>
      <c r="K4" s="1369"/>
      <c r="L4" s="271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2826</v>
      </c>
      <c r="C5" s="917" t="e">
        <f>ROUND(IF(E2="商业",C6*C7+C16,(IF(E2="住宅",C6*C12+C16,C6+C16))),0)</f>
        <v>#DIV/0!</v>
      </c>
      <c r="D5" s="1778" t="e">
        <f>ROUND(C6+C16,0)</f>
        <v>#DIV/0!</v>
      </c>
      <c r="E5" s="1778"/>
      <c r="F5" s="2723"/>
      <c r="G5" s="2724"/>
      <c r="H5" s="2724"/>
      <c r="I5" s="2724"/>
      <c r="J5" s="2725"/>
      <c r="K5" s="2726"/>
      <c r="L5" s="271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2828</v>
      </c>
      <c r="B6" s="2732" t="s">
        <v>2829</v>
      </c>
      <c r="C6" s="918">
        <f>SUMIF(L1:L12,G2,M1:M12)</f>
        <v>0</v>
      </c>
      <c r="D6" s="2733" t="s">
        <v>2830</v>
      </c>
      <c r="E6" s="2734"/>
      <c r="F6" s="2734"/>
      <c r="G6" s="2735"/>
      <c r="H6" s="2735"/>
      <c r="I6" s="2735"/>
      <c r="J6" s="2736"/>
      <c r="K6" s="1833"/>
      <c r="L6" s="271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68" t="str">
        <f>IF(E2="商业",IF(C8="不临58条商业街","",2),"")</f>
        <v/>
      </c>
      <c r="B7" s="2737" t="s">
        <v>2832</v>
      </c>
      <c r="C7" s="919" t="e">
        <f>IF(C8="不临58条商业街",1,ROUND(1+(1.6*E8+1.2*E9+0.8*E10+0.4*E11)*C9,4))</f>
        <v>#DIV/0!</v>
      </c>
      <c r="D7" s="2738" t="s">
        <v>2833</v>
      </c>
      <c r="E7" s="945"/>
      <c r="F7" s="2739"/>
      <c r="G7" s="2740"/>
      <c r="H7" s="2740"/>
      <c r="I7" s="2740"/>
      <c r="J7" s="2741"/>
      <c r="K7" s="1833"/>
      <c r="L7" s="271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2835</v>
      </c>
      <c r="X7" s="1603">
        <f>G2</f>
        <v>0</v>
      </c>
      <c r="Y7" s="1603" t="s">
        <v>2836</v>
      </c>
      <c r="Z7" s="1604">
        <f>G3</f>
        <v>3.08</v>
      </c>
      <c r="AA7" s="1605"/>
      <c r="AB7" s="1605"/>
      <c r="AC7" s="1606"/>
      <c r="AD7" s="1607"/>
      <c r="AE7" s="1607"/>
      <c r="AF7" s="1607"/>
      <c r="AG7" s="1607"/>
      <c r="AH7" s="1607"/>
      <c r="AI7" s="1607"/>
      <c r="AJ7" s="1608"/>
    </row>
    <row r="8" spans="1:36" ht="15">
      <c r="A8" s="3269"/>
      <c r="B8" s="198" t="s">
        <v>2837</v>
      </c>
      <c r="C8" s="2742"/>
      <c r="D8" s="920" t="s">
        <v>139</v>
      </c>
      <c r="E8" s="921" t="e">
        <f>ROUND(C11/E7,4)</f>
        <v>#DIV/0!</v>
      </c>
      <c r="F8" s="2743" t="s">
        <v>2838</v>
      </c>
      <c r="G8" s="2744"/>
      <c r="H8" s="2744"/>
      <c r="I8" s="2744"/>
      <c r="J8" s="2745"/>
      <c r="K8" s="1369"/>
      <c r="L8" s="271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61" t="s">
        <v>2840</v>
      </c>
      <c r="X8" s="3262"/>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69"/>
      <c r="B9" s="198" t="s">
        <v>2853</v>
      </c>
      <c r="C9" s="922">
        <f>SUMIF(修正!C59:C119,C8,修正!E59:E119)</f>
        <v>0</v>
      </c>
      <c r="D9" s="200" t="s">
        <v>140</v>
      </c>
      <c r="E9" s="200" t="e">
        <f>ROUND(C11/E7,4)</f>
        <v>#DIV/0!</v>
      </c>
      <c r="F9" s="2743" t="s">
        <v>2854</v>
      </c>
      <c r="G9" s="2744"/>
      <c r="H9" s="2744"/>
      <c r="I9" s="2744"/>
      <c r="J9" s="2745"/>
      <c r="K9" s="1369"/>
      <c r="L9" s="271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63" t="s">
        <v>2856</v>
      </c>
      <c r="X9" s="1610" t="s">
        <v>2857</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9"/>
      <c r="B10" s="198" t="s">
        <v>2858</v>
      </c>
      <c r="C10" s="200">
        <f>SUMIF(修正!C59:C119,C8,修正!F59:F119)</f>
        <v>0</v>
      </c>
      <c r="D10" s="200" t="s">
        <v>141</v>
      </c>
      <c r="E10" s="200" t="e">
        <f>ROUND(C11/E7,4)</f>
        <v>#DIV/0!</v>
      </c>
      <c r="F10" s="2743" t="s">
        <v>2859</v>
      </c>
      <c r="G10" s="2744"/>
      <c r="H10" s="2744"/>
      <c r="I10" s="2744"/>
      <c r="J10" s="2745"/>
      <c r="K10" s="1369"/>
      <c r="L10" s="271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9"/>
      <c r="B11" s="2746" t="s">
        <v>2861</v>
      </c>
      <c r="C11" s="923">
        <f>C10/4</f>
        <v>0</v>
      </c>
      <c r="D11" s="923" t="s">
        <v>142</v>
      </c>
      <c r="E11" s="923" t="e">
        <f>ROUND(C11/E7,4)</f>
        <v>#DIV/0!</v>
      </c>
      <c r="F11" s="2747" t="s">
        <v>2862</v>
      </c>
      <c r="G11" s="2748"/>
      <c r="H11" s="2748"/>
      <c r="I11" s="2748"/>
      <c r="J11" s="2749"/>
      <c r="K11" s="1369"/>
      <c r="L11" s="271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63"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68" t="s">
        <v>2866</v>
      </c>
      <c r="B12" s="2750" t="s">
        <v>2867</v>
      </c>
      <c r="C12" s="919">
        <f>ROUND(C15*D15*E15*F15*G15*H15*I15*J15,4)</f>
        <v>1</v>
      </c>
      <c r="D12" s="2751" t="s">
        <v>2868</v>
      </c>
      <c r="E12" s="2752"/>
      <c r="F12" s="2752"/>
      <c r="G12" s="2753"/>
      <c r="H12" s="2753"/>
      <c r="I12" s="2753"/>
      <c r="J12" s="2754"/>
      <c r="K12" s="1369"/>
      <c r="L12" s="275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63"/>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0"/>
      <c r="B13" s="2756" t="s">
        <v>2871</v>
      </c>
      <c r="C13" s="2757" t="s">
        <v>2872</v>
      </c>
      <c r="D13" s="1799" t="s">
        <v>2873</v>
      </c>
      <c r="E13" s="1799" t="s">
        <v>2874</v>
      </c>
      <c r="F13" s="30" t="s">
        <v>2875</v>
      </c>
      <c r="G13" s="2758" t="s">
        <v>2876</v>
      </c>
      <c r="H13" s="2758" t="s">
        <v>2876</v>
      </c>
      <c r="I13" s="2758" t="s">
        <v>2876</v>
      </c>
      <c r="J13" s="2759" t="s">
        <v>2876</v>
      </c>
      <c r="K13" s="1369"/>
      <c r="L13" s="1369"/>
      <c r="M13" s="1369"/>
      <c r="N13" s="1369"/>
      <c r="O13" s="1369"/>
      <c r="P13" s="1369"/>
      <c r="Q13" s="1369"/>
      <c r="R13" s="1601">
        <v>12</v>
      </c>
      <c r="S13" s="1602"/>
      <c r="T13" s="1601" t="e">
        <f t="shared" si="0"/>
        <v>#DIV/0!</v>
      </c>
      <c r="U13" s="1602"/>
      <c r="V13" s="1601" t="e">
        <f t="shared" si="1"/>
        <v>#DIV/0!</v>
      </c>
      <c r="W13" s="3263"/>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70"/>
      <c r="B14" s="2760"/>
      <c r="C14" s="2761"/>
      <c r="D14" s="2762"/>
      <c r="E14" s="2762"/>
      <c r="F14" s="2763"/>
      <c r="G14" s="2764" t="s">
        <v>2877</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1"/>
      <c r="B15" s="276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8" t="s">
        <v>2883</v>
      </c>
      <c r="B16" s="2737" t="s">
        <v>2884</v>
      </c>
      <c r="C16" s="2924" t="e">
        <f>ROUND(IF(F17="与级别开发程度一致",0,(G17-E17)/C17),0)</f>
        <v>#DIV/0!</v>
      </c>
      <c r="D16" s="3282" t="s">
        <v>2888</v>
      </c>
      <c r="E16" s="3283"/>
      <c r="F16" s="3282" t="s">
        <v>2885</v>
      </c>
      <c r="G16" s="3283"/>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2"/>
      <c r="B17" s="2935" t="s">
        <v>2887</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2890</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2891</v>
      </c>
      <c r="C19" s="924" t="e">
        <f>ROUND(IF(H19="按公示增长率计算",SUMPRODUCT((地价!A3:A30=YEAR(G19)&amp;"-"&amp;ROUNDUP(MONTH(G19)/3,0))*(地价!X2:AB2=E2)*(地价!X3:AB30)),IF(H19="地价指数",M20/M19,(1+I19)^O19)),4)</f>
        <v>#VALUE!</v>
      </c>
      <c r="D19" s="2781" t="s">
        <v>2892</v>
      </c>
      <c r="E19" s="925">
        <v>41640</v>
      </c>
      <c r="F19" s="2781" t="s">
        <v>2893</v>
      </c>
      <c r="G19" s="926">
        <f>'数据-取费表'!B2</f>
        <v>43570</v>
      </c>
      <c r="H19" s="2782"/>
      <c r="I19" s="927" t="str">
        <f>IF(H19="季度增幅（自定义）",SUMIF(N21:N24,E2,O21:O24),"")</f>
        <v/>
      </c>
      <c r="J19" s="2779"/>
      <c r="K19" s="1376"/>
      <c r="L19" s="2783" t="s">
        <v>2894</v>
      </c>
      <c r="M19" s="1733">
        <f>ROUND(SUMIF(地价!B2:F2,E2,地价!B30:F30),0)</f>
        <v>0</v>
      </c>
      <c r="N19" s="2784"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2896</v>
      </c>
      <c r="C20" s="929" t="e">
        <f>ROUND(POWER(1+G20,J20-I20)*(POWER(1+G20,I20)-1)/(POWER(1+G20,J20)-1),4)</f>
        <v>#DIV/0!</v>
      </c>
      <c r="D20" s="2790" t="s">
        <v>2897</v>
      </c>
      <c r="E20" s="1759">
        <f ca="1">存贷款利率!D4/100</f>
        <v>4.3499999999999997E-2</v>
      </c>
      <c r="F20" s="2790" t="s">
        <v>2889</v>
      </c>
      <c r="G20" s="934">
        <f>SUMIF(M26:P26,E2,M28:P28)</f>
        <v>0</v>
      </c>
      <c r="H20" s="2790" t="s">
        <v>2898</v>
      </c>
      <c r="I20" s="935" t="e">
        <f>SUMIF('数据-取费表'!C6:C15,E2,'数据-取费表'!F6:F15)/COUNTIF('数据-取费表'!C6:C15,E2)</f>
        <v>#DIV/0!</v>
      </c>
      <c r="J20" s="936">
        <f>IF(E2="住宅",70,IF(E2="商业",40,50))</f>
        <v>50</v>
      </c>
      <c r="K20" s="1376"/>
      <c r="L20" s="2791" t="s">
        <v>2899</v>
      </c>
      <c r="M20" s="1734">
        <f>ROUND(SUMPRODUCT((地价!A4:A30=YEAR(G19)&amp;"-"&amp;ROUNDUP(MONTH(G19)/3,0))*(地价!B2:F2=E2)*(地价!B4:F30)),0)</f>
        <v>0</v>
      </c>
      <c r="N20" s="2792" t="s">
        <v>2900</v>
      </c>
      <c r="O20" s="2793" t="s">
        <v>2901</v>
      </c>
      <c r="P20" s="2794" t="s">
        <v>2902</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2903</v>
      </c>
      <c r="C21" s="937">
        <f>IF(B21="容积率修正",IF(G3&lt;=10,D22,J22),C23)</f>
        <v>0</v>
      </c>
      <c r="D21" s="2797"/>
      <c r="E21" s="2797"/>
      <c r="F21" s="2797"/>
      <c r="G21" s="2797"/>
      <c r="H21" s="2797"/>
      <c r="I21" s="2797"/>
      <c r="J21" s="2798"/>
      <c r="K21" s="1376"/>
      <c r="N21" s="2799" t="s">
        <v>2904</v>
      </c>
      <c r="O21" s="1560"/>
      <c r="P21" s="1561">
        <f>SUMPRODUCT((地价!A3:A30=YEAR(G19)&amp;"-"&amp;ROUNDUP(MONTH(G19)/3,0))*(地价!AD2:AH2=N21)*(地价!AD3:AH30))</f>
        <v>1.4999999999999999E-2</v>
      </c>
      <c r="R21" s="1375"/>
      <c r="S21" s="1375"/>
      <c r="T21" s="1370"/>
      <c r="U21" s="1370"/>
      <c r="V21" s="1370"/>
      <c r="W21" s="1369"/>
      <c r="X21" s="1369"/>
      <c r="Y21" s="1369"/>
      <c r="Z21" s="1376"/>
      <c r="AA21" s="1377"/>
      <c r="AB21" s="1377"/>
      <c r="AC21" s="1377"/>
      <c r="AD21" s="1377"/>
      <c r="AE21" s="1377"/>
      <c r="AF21" s="1377"/>
    </row>
    <row r="22" spans="1:37" s="2730" customFormat="1" ht="14.25">
      <c r="A22" s="2657" t="s">
        <v>2905</v>
      </c>
      <c r="B22" s="2800" t="s">
        <v>2906</v>
      </c>
      <c r="C22" s="1801" t="s">
        <v>2907</v>
      </c>
      <c r="D22" s="1801">
        <f>IF(E22=G22,F22,IF(G3&lt;=10,ROUND(F22+(H22-F22)*(G3-E22)/(G22-E22),4),"——"))</f>
        <v>0</v>
      </c>
      <c r="E22" s="916">
        <f>ROUNDDOWN(G3,1)</f>
        <v>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6"/>
      <c r="N22" s="2799" t="s">
        <v>2908</v>
      </c>
      <c r="O22" s="1560"/>
      <c r="P22" s="1561">
        <f>SUMPRODUCT((地价!A3:A30=YEAR(G19)&amp;"-"&amp;ROUNDUP(MONTH(G19)/3,0))*(地价!AD2:AH2=N22)*(地价!AD3:AH30))</f>
        <v>1.4999999999999999E-2</v>
      </c>
      <c r="R22" s="1375"/>
      <c r="S22" s="1375"/>
      <c r="T22" s="1370"/>
      <c r="U22" s="1370"/>
      <c r="V22" s="1370"/>
      <c r="W22" s="1369"/>
      <c r="X22" s="1369"/>
      <c r="Y22" s="1369"/>
      <c r="Z22" s="1376"/>
      <c r="AA22" s="1377"/>
      <c r="AB22" s="1377"/>
      <c r="AC22" s="1377"/>
      <c r="AD22" s="1377"/>
      <c r="AE22" s="1377"/>
      <c r="AF22" s="1377"/>
    </row>
    <row r="23" spans="1:37" ht="27.75" thickBot="1">
      <c r="A23" s="2657" t="s">
        <v>2909</v>
      </c>
      <c r="B23" s="2801" t="s">
        <v>2910</v>
      </c>
      <c r="C23" s="1013">
        <f>ROUND(IF(G3&gt;1,IF(I3&lt;7,SUMPRODUCT((B93:B98=I3)*(C92:N92=G2)*(C93:N98)),SUMIF(C92:N92,G2,C100:N100)),IF(I3&lt;7,SUMPRODUCT((B102:B107=I3)*(C92:N92=G2)*(C102:N107)),SUMIF(C92:N92,G2,C109:N109))),4)</f>
        <v>0</v>
      </c>
      <c r="D23" s="2765"/>
      <c r="E23" s="2765"/>
      <c r="F23" s="2802"/>
      <c r="G23" s="2803"/>
      <c r="H23" s="2804"/>
      <c r="I23" s="2805"/>
      <c r="J23" s="2806"/>
      <c r="K23" s="1369"/>
      <c r="N23" s="2799" t="s">
        <v>2911</v>
      </c>
      <c r="O23" s="1560"/>
      <c r="P23" s="1561">
        <f>SUMPRODUCT((地价!A3:A30=YEAR(G19)&amp;"-"&amp;ROUNDUP(MONTH(G19)/3,0))*(地价!AD2:AH2=N23)*(地价!AD3:AH30))</f>
        <v>2.3300000000000001E-2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2912</v>
      </c>
      <c r="C24" s="924">
        <f>SUMIF(A45:A88,E2,B45:B88)</f>
        <v>0</v>
      </c>
      <c r="D24" s="2778"/>
      <c r="E24" s="2807"/>
      <c r="F24" s="2807"/>
      <c r="G24" s="2807"/>
      <c r="H24" s="2807"/>
      <c r="I24" s="2807"/>
      <c r="J24" s="2808"/>
      <c r="K24" s="1376"/>
      <c r="N24" s="2809" t="s">
        <v>2913</v>
      </c>
      <c r="O24" s="1562"/>
      <c r="P24" s="1563">
        <f>SUMPRODUCT((地价!A3:A30=YEAR(G19)&amp;"-"&amp;ROUNDUP(MONTH(G19)/3,0))*(地价!AD2:AH2=N24)*(地价!AD3:AH30))</f>
        <v>1.46E-2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2914</v>
      </c>
      <c r="C25" s="930"/>
      <c r="D25" s="2740"/>
      <c r="E25" s="2740"/>
      <c r="F25" s="2811"/>
      <c r="G25" s="2740"/>
      <c r="H25" s="2740"/>
      <c r="I25" s="2740"/>
      <c r="J25" s="2741"/>
      <c r="K25" s="1369"/>
      <c r="N25" s="2812" t="s">
        <v>2915</v>
      </c>
      <c r="O25" s="1564"/>
      <c r="P25" s="1563">
        <f>SUMPRODUCT((地价!A3:A30=YEAR(G19)&amp;"-"&amp;ROUNDUP(MONTH(G19)/3,0))*(地价!AD2:AH2=N25)*(地价!AD3:AH30))</f>
        <v>2.1299999999999999E-2</v>
      </c>
      <c r="R25" s="1375"/>
      <c r="S25" s="1375"/>
      <c r="T25" s="1370"/>
      <c r="U25" s="1370"/>
      <c r="V25" s="1370"/>
      <c r="W25" s="1369"/>
      <c r="X25" s="1369"/>
      <c r="Y25" s="1369"/>
      <c r="Z25" s="1376"/>
      <c r="AA25" s="1377"/>
      <c r="AB25" s="1377"/>
      <c r="AC25" s="1377"/>
      <c r="AD25" s="1377"/>
    </row>
    <row r="26" spans="1:37" ht="15">
      <c r="A26" s="2813"/>
      <c r="B26" s="2800" t="s">
        <v>2916</v>
      </c>
      <c r="C26" s="206" t="e">
        <f>E29+SUM(E33:E39)</f>
        <v>#DIV/0!</v>
      </c>
      <c r="D26" s="2814"/>
      <c r="E26" s="2765"/>
      <c r="F26" s="2815"/>
      <c r="G26" s="2765"/>
      <c r="H26" s="2765"/>
      <c r="I26" s="2765"/>
      <c r="J26" s="2816"/>
      <c r="K26" s="1369"/>
      <c r="L26" s="2769" t="s">
        <v>2814</v>
      </c>
      <c r="M26" s="920" t="s">
        <v>2879</v>
      </c>
      <c r="N26" s="920" t="s">
        <v>2880</v>
      </c>
      <c r="O26" s="920" t="s">
        <v>2881</v>
      </c>
      <c r="P26" s="2770" t="s">
        <v>2882</v>
      </c>
      <c r="R26" s="1375"/>
      <c r="S26" s="1375"/>
      <c r="T26" s="1370"/>
      <c r="U26" s="1370"/>
      <c r="V26" s="1370"/>
      <c r="W26" s="1369"/>
      <c r="X26" s="1369"/>
      <c r="Y26" s="1369"/>
      <c r="Z26" s="1376"/>
      <c r="AA26" s="1377"/>
      <c r="AB26" s="1377"/>
      <c r="AC26" s="1377"/>
      <c r="AD26" s="1377"/>
    </row>
    <row r="27" spans="1:37" ht="15.75" thickBot="1">
      <c r="A27" s="2813"/>
      <c r="B27" s="2817" t="s">
        <v>2917</v>
      </c>
      <c r="C27" s="931" t="e">
        <f>E30+SUM(I33:I39)</f>
        <v>#DIV/0!</v>
      </c>
      <c r="D27" s="2818"/>
      <c r="E27" s="2819"/>
      <c r="F27" s="2820"/>
      <c r="G27" s="2819"/>
      <c r="H27" s="2819"/>
      <c r="I27" s="2819"/>
      <c r="J27" s="2821"/>
      <c r="K27" s="1369"/>
      <c r="L27" s="277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2918</v>
      </c>
      <c r="C28" s="2824" t="s">
        <v>2919</v>
      </c>
      <c r="D28" s="2824" t="s">
        <v>2920</v>
      </c>
      <c r="E28" s="2825" t="s">
        <v>2921</v>
      </c>
      <c r="F28" s="2826"/>
      <c r="G28" s="2753"/>
      <c r="H28" s="2753"/>
      <c r="I28" s="2753"/>
      <c r="J28" s="2754"/>
      <c r="K28" s="1369"/>
      <c r="L28" s="277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2922</v>
      </c>
      <c r="C29" s="206" t="e">
        <f>ROUND(C5*C18*C19*C20*C21*C24,0)</f>
        <v>#DIV/0!</v>
      </c>
      <c r="D29" s="2829"/>
      <c r="E29" s="942" t="e">
        <f>ROUND(C29*D29/10000,0)</f>
        <v>#DIV/0!</v>
      </c>
      <c r="F29" s="2830" t="s">
        <v>2923</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2924</v>
      </c>
      <c r="C30" s="229" t="e">
        <f>ROUND(IF(E2="工业",C29*M39,C29*M38),0)</f>
        <v>#DIV/0!</v>
      </c>
      <c r="D30" s="2835"/>
      <c r="E30" s="942" t="e">
        <f>ROUND(C30*D30/10000,0)</f>
        <v>#DIV/0!</v>
      </c>
      <c r="F30" s="2836" t="s">
        <v>2925</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2926</v>
      </c>
      <c r="C31" s="2841" t="s">
        <v>2927</v>
      </c>
      <c r="D31" s="2753"/>
      <c r="E31" s="2841"/>
      <c r="F31" s="2841"/>
      <c r="G31" s="2751" t="s">
        <v>2928</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2919</v>
      </c>
      <c r="D32" s="498" t="s">
        <v>2920</v>
      </c>
      <c r="E32" s="498" t="s">
        <v>2921</v>
      </c>
      <c r="F32" s="388" t="s">
        <v>2929</v>
      </c>
      <c r="G32" s="2844" t="s">
        <v>2919</v>
      </c>
      <c r="H32" s="2844" t="s">
        <v>2920</v>
      </c>
      <c r="I32" s="2844"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79" t="s">
        <v>2930</v>
      </c>
      <c r="B33" s="2845" t="s">
        <v>2931</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57" t="s">
        <v>2932</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57" t="s">
        <v>2933</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81"/>
      <c r="B36" s="2757" t="s">
        <v>2934</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2935</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2936</v>
      </c>
      <c r="M37" s="2849"/>
      <c r="N37" s="1369"/>
      <c r="O37" s="1369"/>
      <c r="P37" s="1369"/>
      <c r="Q37" s="1369"/>
      <c r="R37" s="1369"/>
      <c r="S37" s="1369"/>
      <c r="T37" s="1369"/>
      <c r="U37" s="1369"/>
      <c r="V37" s="1369"/>
      <c r="W37" s="1369"/>
      <c r="X37" s="1369"/>
      <c r="Y37" s="1369"/>
      <c r="Z37" s="1370"/>
    </row>
    <row r="38" spans="1:37">
      <c r="A38" s="2847"/>
      <c r="B38" s="2757" t="s">
        <v>2937</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2938</v>
      </c>
      <c r="M38" s="2850">
        <v>0.25</v>
      </c>
      <c r="N38" s="1369"/>
      <c r="O38" s="1369"/>
      <c r="P38" s="1369"/>
      <c r="Q38" s="1369"/>
      <c r="R38" s="1369"/>
      <c r="S38" s="1369"/>
      <c r="T38" s="1369"/>
      <c r="U38" s="1369"/>
      <c r="V38" s="1369"/>
      <c r="W38" s="1369"/>
      <c r="X38" s="1369"/>
      <c r="Y38" s="1369"/>
      <c r="Z38" s="1370"/>
    </row>
    <row r="39" spans="1:37" ht="13.5" thickBot="1">
      <c r="A39" s="2833"/>
      <c r="B39" s="2851" t="s">
        <v>2939</v>
      </c>
      <c r="C39" s="229" t="e">
        <f>ROUND(D5*C19*C41*C24*F39,0)</f>
        <v>#DIV/0!</v>
      </c>
      <c r="D39" s="2835"/>
      <c r="E39" s="229" t="e">
        <f t="shared" si="7"/>
        <v>#DIV/0!</v>
      </c>
      <c r="F39" s="932">
        <f>SUMIF(修正!A45:A56,G2,修正!H45:H56)</f>
        <v>0</v>
      </c>
      <c r="G39" s="229" t="e">
        <f>ROUND(IF(E2="工业",C39*$M$39,C39*$M$38),0)</f>
        <v>#DIV/0!</v>
      </c>
      <c r="H39" s="229">
        <f t="shared" si="8"/>
        <v>0</v>
      </c>
      <c r="I39" s="229" t="e">
        <f t="shared" si="9"/>
        <v>#DIV/0!</v>
      </c>
      <c r="J39" s="2852"/>
      <c r="K39" s="1369"/>
      <c r="L39" s="2853" t="s">
        <v>2882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3045</v>
      </c>
      <c r="C41" s="388" t="e">
        <f>ROUND(POWER(1+E41,H41-G41)*(POWER(1+E41,G41)-1)/(POWER(1+E41,H41)-1),4)</f>
        <v>#DIV/0!</v>
      </c>
      <c r="D41" s="200" t="s">
        <v>2889</v>
      </c>
      <c r="E41" s="2921">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2940</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2941</v>
      </c>
      <c r="B46" s="2859">
        <f>1+E48</f>
        <v>1</v>
      </c>
      <c r="C46" s="2860"/>
      <c r="D46" s="814"/>
      <c r="E46" s="815"/>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2942</v>
      </c>
      <c r="B47" s="1800" t="s">
        <v>2943</v>
      </c>
      <c r="C47" s="1800" t="s">
        <v>2944</v>
      </c>
      <c r="D47" s="1800" t="s">
        <v>2945</v>
      </c>
      <c r="E47" s="819" t="s">
        <v>2946</v>
      </c>
      <c r="F47" s="2863" t="s">
        <v>2947</v>
      </c>
      <c r="G47" s="1800" t="s">
        <v>754</v>
      </c>
      <c r="H47" s="2864" t="s">
        <v>2948</v>
      </c>
      <c r="I47" s="1800"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62" t="s">
        <v>2950</v>
      </c>
      <c r="B48" s="2865" t="str">
        <f>估价对象房地状况!C4</f>
        <v>估价对象位于XX商圈，周边商业氛围成熟，人流量大，商业繁华度好</v>
      </c>
      <c r="C48" s="2762"/>
      <c r="D48" s="1285">
        <f t="shared" ref="D48:D56" si="10">SUMIF($J$47:$N$47,C48,J48:N48)</f>
        <v>0</v>
      </c>
      <c r="E48" s="821">
        <f>ROUND(SUM(D48:D56),4)</f>
        <v>0</v>
      </c>
      <c r="F48" s="2494"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2951</v>
      </c>
      <c r="B49" s="2866" t="str">
        <f>估价对象房地状况!C18</f>
        <v>估价对象周边道路状况、公共交通通达情况、停车便捷程度，综合评价交通便捷度较好</v>
      </c>
      <c r="C49" s="2762"/>
      <c r="D49" s="1285">
        <f t="shared" si="10"/>
        <v>0</v>
      </c>
      <c r="E49" s="822"/>
      <c r="F49" s="2494"/>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2952</v>
      </c>
      <c r="B50" s="2866">
        <f>估价对象房地状况!C19</f>
        <v>0</v>
      </c>
      <c r="C50" s="2762"/>
      <c r="D50" s="1285">
        <f t="shared" si="10"/>
        <v>0</v>
      </c>
      <c r="E50" s="822"/>
      <c r="F50" s="2494"/>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2953</v>
      </c>
      <c r="B51" s="2867" t="s">
        <v>2954</v>
      </c>
      <c r="C51" s="2762"/>
      <c r="D51" s="1285">
        <f t="shared" si="10"/>
        <v>0</v>
      </c>
      <c r="E51" s="822"/>
      <c r="F51" s="2494"/>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2955</v>
      </c>
      <c r="B52" s="2866">
        <f>估价对象房地状况!C24</f>
        <v>0</v>
      </c>
      <c r="C52" s="2762"/>
      <c r="D52" s="1285">
        <f t="shared" si="10"/>
        <v>0</v>
      </c>
      <c r="E52" s="822"/>
      <c r="F52" s="2494"/>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2956</v>
      </c>
      <c r="B53" s="2868" t="s">
        <v>2957</v>
      </c>
      <c r="C53" s="2762"/>
      <c r="D53" s="1285">
        <f t="shared" si="10"/>
        <v>0</v>
      </c>
      <c r="E53" s="822"/>
      <c r="F53" s="2494"/>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2958</v>
      </c>
      <c r="B54" s="1724" t="str">
        <f>估价对象房地状况!C21</f>
        <v>估价对象所在区域公共配套设施齐备情况</v>
      </c>
      <c r="C54" s="2762"/>
      <c r="D54" s="1285">
        <f t="shared" si="10"/>
        <v>0</v>
      </c>
      <c r="E54" s="822"/>
      <c r="F54" s="2494"/>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2959</v>
      </c>
      <c r="B55" s="2866" t="str">
        <f>估价对象房地状况!C22</f>
        <v>估价对象所在区域基础设施水平</v>
      </c>
      <c r="C55" s="2762"/>
      <c r="D55" s="1285">
        <f t="shared" si="10"/>
        <v>0</v>
      </c>
      <c r="E55" s="822"/>
      <c r="F55" s="2494"/>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2960</v>
      </c>
      <c r="B56" s="2871" t="str">
        <f>估价对象房地状况!C20</f>
        <v>区域自然环境：；人文环境；综合评价环境状况一般</v>
      </c>
      <c r="C56" s="2762"/>
      <c r="D56" s="1285">
        <f t="shared" si="10"/>
        <v>0</v>
      </c>
      <c r="E56" s="825"/>
      <c r="F56" s="2494"/>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2961</v>
      </c>
      <c r="B57" s="2859">
        <f>1+E59</f>
        <v>1</v>
      </c>
      <c r="C57" s="814"/>
      <c r="D57" s="814"/>
      <c r="E57" s="815"/>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2942</v>
      </c>
      <c r="B58" s="1800"/>
      <c r="C58" s="1800" t="s">
        <v>2944</v>
      </c>
      <c r="D58" s="1800" t="s">
        <v>2945</v>
      </c>
      <c r="E58" s="819" t="s">
        <v>2946</v>
      </c>
      <c r="F58" s="2863" t="s">
        <v>2962</v>
      </c>
      <c r="G58" s="1800" t="s">
        <v>754</v>
      </c>
      <c r="H58" s="2864" t="s">
        <v>2948</v>
      </c>
      <c r="I58" s="1800"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62" t="s">
        <v>2963</v>
      </c>
      <c r="B59" s="2865" t="str">
        <f>估价对象房地状况!C17</f>
        <v>估价对象位于XX商圈，周边办公楼项目较多，入驻率高，办公集聚程度较好</v>
      </c>
      <c r="C59" s="2762"/>
      <c r="D59" s="1285">
        <f t="shared" ref="D59:D67" si="15">SUMIF($J$58:$N$58,C59,J59:N59)</f>
        <v>0</v>
      </c>
      <c r="E59" s="821">
        <f>ROUND(SUM(D59:D67),4)</f>
        <v>0</v>
      </c>
      <c r="F59" s="2494"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2951</v>
      </c>
      <c r="B60" s="2866" t="str">
        <f>估价对象房地状况!C18</f>
        <v>估价对象周边道路状况、公共交通通达情况、停车便捷程度，综合评价交通便捷度较好</v>
      </c>
      <c r="C60" s="2762"/>
      <c r="D60" s="1285">
        <f t="shared" si="15"/>
        <v>0</v>
      </c>
      <c r="E60" s="822"/>
      <c r="F60" s="2494"/>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2952</v>
      </c>
      <c r="B61" s="2866">
        <f>估价对象房地状况!C19</f>
        <v>0</v>
      </c>
      <c r="C61" s="2762"/>
      <c r="D61" s="1285">
        <f t="shared" si="15"/>
        <v>0</v>
      </c>
      <c r="E61" s="822"/>
      <c r="F61" s="2494"/>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2953</v>
      </c>
      <c r="B62" s="2867" t="s">
        <v>2954</v>
      </c>
      <c r="C62" s="2762"/>
      <c r="D62" s="1285">
        <f t="shared" si="15"/>
        <v>0</v>
      </c>
      <c r="E62" s="822"/>
      <c r="F62" s="2494"/>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2955</v>
      </c>
      <c r="B63" s="2866">
        <f>估价对象房地状况!C24</f>
        <v>0</v>
      </c>
      <c r="C63" s="2762"/>
      <c r="D63" s="1285">
        <f t="shared" si="15"/>
        <v>0</v>
      </c>
      <c r="E63" s="822"/>
      <c r="F63" s="2494"/>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2956</v>
      </c>
      <c r="B64" s="2868" t="s">
        <v>2957</v>
      </c>
      <c r="C64" s="2762"/>
      <c r="D64" s="1285">
        <f t="shared" si="15"/>
        <v>0</v>
      </c>
      <c r="E64" s="822"/>
      <c r="F64" s="2494"/>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2958</v>
      </c>
      <c r="B65" s="1724" t="str">
        <f>估价对象房地状况!C21</f>
        <v>估价对象所在区域公共配套设施齐备情况</v>
      </c>
      <c r="C65" s="2762"/>
      <c r="D65" s="1285">
        <f t="shared" si="15"/>
        <v>0</v>
      </c>
      <c r="E65" s="822"/>
      <c r="F65" s="2494"/>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2959</v>
      </c>
      <c r="B66" s="1724" t="str">
        <f>估价对象房地状况!C22</f>
        <v>估价对象所在区域基础设施水平</v>
      </c>
      <c r="C66" s="2762"/>
      <c r="D66" s="1285">
        <f t="shared" si="15"/>
        <v>0</v>
      </c>
      <c r="E66" s="822"/>
      <c r="F66" s="2494"/>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2960</v>
      </c>
      <c r="B67" s="2872" t="str">
        <f>估价对象房地状况!C20</f>
        <v>区域自然环境：；人文环境；综合评价环境状况一般</v>
      </c>
      <c r="C67" s="2762"/>
      <c r="D67" s="1285">
        <f t="shared" si="15"/>
        <v>0</v>
      </c>
      <c r="E67" s="825"/>
      <c r="F67" s="2494"/>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2964</v>
      </c>
      <c r="B68" s="2859">
        <f>1+E70</f>
        <v>1</v>
      </c>
      <c r="C68" s="814"/>
      <c r="D68" s="814"/>
      <c r="E68" s="815"/>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2942</v>
      </c>
      <c r="B69" s="1800"/>
      <c r="C69" s="1800" t="s">
        <v>2944</v>
      </c>
      <c r="D69" s="1800" t="s">
        <v>2945</v>
      </c>
      <c r="E69" s="819" t="s">
        <v>2946</v>
      </c>
      <c r="F69" s="2863" t="s">
        <v>2962</v>
      </c>
      <c r="G69" s="1800" t="s">
        <v>754</v>
      </c>
      <c r="H69" s="2864" t="s">
        <v>2948</v>
      </c>
      <c r="I69" s="1800"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62" t="s">
        <v>2965</v>
      </c>
      <c r="B70" s="2865" t="str">
        <f>估价对象房地状况!C15</f>
        <v>估价对象周边居住用地比例、居住小区规模和社区发展完善程度，综合评价居住社区成熟度一般</v>
      </c>
      <c r="C70" s="2762"/>
      <c r="D70" s="1285">
        <f t="shared" ref="D70:D78" si="20">SUMIF($J$69:$N$69,C70,J70:N70)</f>
        <v>0</v>
      </c>
      <c r="E70" s="821">
        <f>ROUND(SUM(D70:D78),4)</f>
        <v>0</v>
      </c>
      <c r="F70" s="2494"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2951</v>
      </c>
      <c r="B71" s="2866" t="str">
        <f>估价对象房地状况!C18</f>
        <v>估价对象周边道路状况、公共交通通达情况、停车便捷程度，综合评价交通便捷度较好</v>
      </c>
      <c r="C71" s="2762"/>
      <c r="D71" s="1285">
        <f t="shared" si="20"/>
        <v>0</v>
      </c>
      <c r="E71" s="826"/>
      <c r="F71" s="2494"/>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2952</v>
      </c>
      <c r="B72" s="2866">
        <f>估价对象房地状况!C19</f>
        <v>0</v>
      </c>
      <c r="C72" s="2762"/>
      <c r="D72" s="1285">
        <f t="shared" si="20"/>
        <v>0</v>
      </c>
      <c r="E72" s="826"/>
      <c r="F72" s="2494"/>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2966</v>
      </c>
      <c r="B73" s="2866">
        <f>估价对象房地状况!C24</f>
        <v>0</v>
      </c>
      <c r="C73" s="2762"/>
      <c r="D73" s="1285">
        <f t="shared" si="20"/>
        <v>0</v>
      </c>
      <c r="E73" s="826"/>
      <c r="F73" s="2494"/>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2958</v>
      </c>
      <c r="B74" s="1724" t="str">
        <f>估价对象房地状况!C21</f>
        <v>估价对象所在区域公共配套设施齐备情况</v>
      </c>
      <c r="C74" s="2762"/>
      <c r="D74" s="1285">
        <f t="shared" si="20"/>
        <v>0</v>
      </c>
      <c r="E74" s="826"/>
      <c r="F74" s="2494"/>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2959</v>
      </c>
      <c r="B75" s="1724" t="str">
        <f>估价对象房地状况!C22</f>
        <v>估价对象所在区域基础设施水平</v>
      </c>
      <c r="C75" s="2762"/>
      <c r="D75" s="1285">
        <f t="shared" si="20"/>
        <v>0</v>
      </c>
      <c r="E75" s="826"/>
      <c r="F75" s="2494"/>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2956</v>
      </c>
      <c r="B76" s="2868" t="s">
        <v>2957</v>
      </c>
      <c r="C76" s="2762"/>
      <c r="D76" s="1285">
        <f t="shared" si="20"/>
        <v>0</v>
      </c>
      <c r="E76" s="826"/>
      <c r="F76" s="2494"/>
      <c r="G76" s="1283"/>
      <c r="H76" s="1287" t="str">
        <f t="shared" si="21"/>
        <v>——</v>
      </c>
      <c r="I76" s="820">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2960</v>
      </c>
      <c r="B77" s="2865" t="str">
        <f>估价对象房地状况!C20</f>
        <v>区域自然环境：；人文环境；综合评价环境状况一般</v>
      </c>
      <c r="C77" s="2762"/>
      <c r="D77" s="1285">
        <f t="shared" si="20"/>
        <v>0</v>
      </c>
      <c r="E77" s="826"/>
      <c r="F77" s="2494"/>
      <c r="G77" s="1283"/>
      <c r="H77" s="1287" t="str">
        <f t="shared" si="21"/>
        <v>——</v>
      </c>
      <c r="I77" s="820">
        <v>0.15</v>
      </c>
      <c r="J77" s="1284">
        <f t="shared" si="22"/>
        <v>0</v>
      </c>
      <c r="K77" s="1284">
        <f t="shared" si="23"/>
        <v>0</v>
      </c>
      <c r="L77" s="1284">
        <v>0</v>
      </c>
      <c r="M77" s="1284">
        <f t="shared" si="24"/>
        <v>0</v>
      </c>
      <c r="N77" s="1284">
        <f t="shared" si="24"/>
        <v>0</v>
      </c>
      <c r="Z77" s="2712"/>
      <c r="AA77" s="2780"/>
      <c r="AG77" s="1371"/>
      <c r="AK77" s="2780"/>
    </row>
    <row r="78" spans="1:37" ht="24.75" thickBot="1">
      <c r="A78" s="2870" t="s">
        <v>2967</v>
      </c>
      <c r="B78" s="2874"/>
      <c r="C78" s="2762"/>
      <c r="D78" s="1285">
        <f t="shared" si="20"/>
        <v>0</v>
      </c>
      <c r="E78" s="827"/>
      <c r="F78" s="2494"/>
      <c r="G78" s="1283"/>
      <c r="H78" s="1287" t="str">
        <f t="shared" si="21"/>
        <v>——</v>
      </c>
      <c r="I78" s="824">
        <v>0.04</v>
      </c>
      <c r="J78" s="1284">
        <f t="shared" si="22"/>
        <v>0</v>
      </c>
      <c r="K78" s="1284">
        <f t="shared" si="23"/>
        <v>0</v>
      </c>
      <c r="L78" s="1284">
        <v>0</v>
      </c>
      <c r="M78" s="1284">
        <f t="shared" si="24"/>
        <v>0</v>
      </c>
      <c r="N78" s="1284">
        <f t="shared" si="24"/>
        <v>0</v>
      </c>
      <c r="Z78" s="2712"/>
      <c r="AA78" s="2780"/>
      <c r="AG78" s="1371"/>
      <c r="AK78" s="2780"/>
    </row>
    <row r="79" spans="1:37" ht="15">
      <c r="A79" s="2858" t="s">
        <v>2968</v>
      </c>
      <c r="B79" s="2859">
        <f>1+E81</f>
        <v>1</v>
      </c>
      <c r="C79" s="814"/>
      <c r="D79" s="814"/>
      <c r="E79" s="815"/>
      <c r="F79" s="2861"/>
      <c r="G79" s="6"/>
      <c r="H79" s="6"/>
      <c r="I79" s="6"/>
      <c r="J79" s="7"/>
      <c r="K79" s="7"/>
      <c r="L79" s="7"/>
      <c r="M79" s="7"/>
      <c r="N79" s="7"/>
      <c r="Z79" s="2712"/>
      <c r="AA79" s="2780"/>
      <c r="AG79" s="1371"/>
      <c r="AK79" s="2780"/>
    </row>
    <row r="80" spans="1:37" ht="24.75">
      <c r="A80" s="2862" t="s">
        <v>2942</v>
      </c>
      <c r="B80" s="1800"/>
      <c r="C80" s="1800" t="s">
        <v>2944</v>
      </c>
      <c r="D80" s="1800" t="s">
        <v>2945</v>
      </c>
      <c r="E80" s="819" t="s">
        <v>2946</v>
      </c>
      <c r="F80" s="2863" t="s">
        <v>2962</v>
      </c>
      <c r="G80" s="1800" t="s">
        <v>754</v>
      </c>
      <c r="H80" s="2864" t="s">
        <v>2948</v>
      </c>
      <c r="I80" s="1800" t="s">
        <v>2949</v>
      </c>
      <c r="J80" s="603" t="s">
        <v>2597</v>
      </c>
      <c r="K80" s="603" t="s">
        <v>2598</v>
      </c>
      <c r="L80" s="603" t="s">
        <v>2599</v>
      </c>
      <c r="M80" s="603" t="s">
        <v>2600</v>
      </c>
      <c r="N80" s="603" t="s">
        <v>2601</v>
      </c>
      <c r="Z80" s="2712"/>
      <c r="AA80" s="2780"/>
      <c r="AG80" s="1371"/>
      <c r="AK80" s="2780"/>
    </row>
    <row r="81" spans="1:37" ht="38.25">
      <c r="A81" s="2862" t="s">
        <v>2969</v>
      </c>
      <c r="B81" s="2866" t="str">
        <f>估价对象房地状况!G15</f>
        <v>估价对象位于XX开发区，园区建设成熟度XX，产业集聚程度XX</v>
      </c>
      <c r="C81" s="2762"/>
      <c r="D81" s="1285">
        <f t="shared" ref="D81:D88" si="25">SUMIF($J$80:$N$80,C81,J81:N81)</f>
        <v>0</v>
      </c>
      <c r="E81" s="821">
        <f>ROUND(SUM(D81:D88),4)</f>
        <v>0</v>
      </c>
      <c r="F81" s="2494"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2951</v>
      </c>
      <c r="B82" s="2866" t="str">
        <f>估价对象房地状况!G16</f>
        <v>估价对象周边道路状况、公共交通通达情况、停车便捷程度，综合评价交通便捷度较好</v>
      </c>
      <c r="C82" s="2762"/>
      <c r="D82" s="1285">
        <f t="shared" si="25"/>
        <v>0</v>
      </c>
      <c r="E82" s="826"/>
      <c r="F82" s="2494"/>
      <c r="G82" s="1283"/>
      <c r="H82" s="1287" t="str">
        <f t="shared" si="26"/>
        <v>——</v>
      </c>
      <c r="I82" s="820">
        <v>0.33</v>
      </c>
      <c r="J82" s="1284">
        <f t="shared" si="27"/>
        <v>0</v>
      </c>
      <c r="K82" s="1284">
        <f t="shared" si="28"/>
        <v>0</v>
      </c>
      <c r="L82" s="1284">
        <v>0</v>
      </c>
      <c r="M82" s="1284">
        <f t="shared" si="29"/>
        <v>0</v>
      </c>
      <c r="N82" s="1284">
        <f t="shared" si="29"/>
        <v>0</v>
      </c>
      <c r="Z82" s="2712"/>
      <c r="AA82" s="2780"/>
      <c r="AG82" s="1371"/>
      <c r="AK82" s="2780"/>
    </row>
    <row r="83" spans="1:37" ht="24">
      <c r="A83" s="2862" t="s">
        <v>2952</v>
      </c>
      <c r="B83" s="2866">
        <f>估价对象房地状况!G17</f>
        <v>0</v>
      </c>
      <c r="C83" s="2762"/>
      <c r="D83" s="1285">
        <f t="shared" si="25"/>
        <v>0</v>
      </c>
      <c r="E83" s="826"/>
      <c r="F83" s="2494"/>
      <c r="G83" s="1283"/>
      <c r="H83" s="1287" t="str">
        <f t="shared" si="26"/>
        <v>——</v>
      </c>
      <c r="I83" s="820">
        <v>0.05</v>
      </c>
      <c r="J83" s="1284">
        <f t="shared" si="27"/>
        <v>0</v>
      </c>
      <c r="K83" s="1284">
        <f t="shared" si="28"/>
        <v>0</v>
      </c>
      <c r="L83" s="1284">
        <v>0</v>
      </c>
      <c r="M83" s="1284">
        <f t="shared" si="29"/>
        <v>0</v>
      </c>
      <c r="N83" s="1284">
        <f t="shared" si="29"/>
        <v>0</v>
      </c>
      <c r="Z83" s="2712"/>
      <c r="AA83" s="2780"/>
      <c r="AG83" s="1371"/>
      <c r="AK83" s="2780"/>
    </row>
    <row r="84" spans="1:37" ht="14.25">
      <c r="A84" s="2862" t="s">
        <v>2966</v>
      </c>
      <c r="B84" s="2866">
        <f>估价对象房地状况!G22</f>
        <v>0</v>
      </c>
      <c r="C84" s="2762"/>
      <c r="D84" s="1285">
        <f t="shared" si="25"/>
        <v>0</v>
      </c>
      <c r="E84" s="826"/>
      <c r="F84" s="2494"/>
      <c r="G84" s="1283"/>
      <c r="H84" s="1287" t="str">
        <f t="shared" si="26"/>
        <v>——</v>
      </c>
      <c r="I84" s="820">
        <v>0.04</v>
      </c>
      <c r="J84" s="1284">
        <f t="shared" si="27"/>
        <v>0</v>
      </c>
      <c r="K84" s="1284">
        <f t="shared" si="28"/>
        <v>0</v>
      </c>
      <c r="L84" s="1284">
        <v>0</v>
      </c>
      <c r="M84" s="1284">
        <f t="shared" si="29"/>
        <v>0</v>
      </c>
      <c r="N84" s="1284">
        <f t="shared" si="29"/>
        <v>0</v>
      </c>
      <c r="Z84" s="2712"/>
      <c r="AA84" s="2780"/>
      <c r="AG84" s="1371"/>
      <c r="AK84" s="2780"/>
    </row>
    <row r="85" spans="1:37" ht="25.5">
      <c r="A85" s="2862" t="s">
        <v>2958</v>
      </c>
      <c r="B85" s="1724" t="str">
        <f>估价对象房地状况!G19</f>
        <v>估价对象所在区域公共配套设施齐备情况</v>
      </c>
      <c r="C85" s="2762"/>
      <c r="D85" s="1285">
        <f t="shared" si="25"/>
        <v>0</v>
      </c>
      <c r="E85" s="826"/>
      <c r="F85" s="2494"/>
      <c r="G85" s="1283"/>
      <c r="H85" s="1287" t="str">
        <f t="shared" si="26"/>
        <v>——</v>
      </c>
      <c r="I85" s="820">
        <v>0.06</v>
      </c>
      <c r="J85" s="1284">
        <f t="shared" si="27"/>
        <v>0</v>
      </c>
      <c r="K85" s="1284">
        <f t="shared" si="28"/>
        <v>0</v>
      </c>
      <c r="L85" s="1284">
        <v>0</v>
      </c>
      <c r="M85" s="1284">
        <f t="shared" si="29"/>
        <v>0</v>
      </c>
      <c r="N85" s="1284">
        <f t="shared" si="29"/>
        <v>0</v>
      </c>
      <c r="Z85" s="2712"/>
      <c r="AA85" s="2780"/>
      <c r="AG85" s="1371"/>
      <c r="AK85" s="2780"/>
    </row>
    <row r="86" spans="1:37" ht="25.5">
      <c r="A86" s="2862" t="s">
        <v>2959</v>
      </c>
      <c r="B86" s="1724" t="str">
        <f>估价对象房地状况!G20</f>
        <v>估价对象所在区域基础设施水平</v>
      </c>
      <c r="C86" s="2762"/>
      <c r="D86" s="1285">
        <f t="shared" si="25"/>
        <v>0</v>
      </c>
      <c r="E86" s="826"/>
      <c r="F86" s="2494"/>
      <c r="G86" s="1283"/>
      <c r="H86" s="1287" t="str">
        <f t="shared" si="26"/>
        <v>——</v>
      </c>
      <c r="I86" s="820">
        <v>0.15</v>
      </c>
      <c r="J86" s="1284">
        <f t="shared" si="27"/>
        <v>0</v>
      </c>
      <c r="K86" s="1284">
        <f t="shared" si="28"/>
        <v>0</v>
      </c>
      <c r="L86" s="1284">
        <v>0</v>
      </c>
      <c r="M86" s="1284">
        <f t="shared" si="29"/>
        <v>0</v>
      </c>
      <c r="N86" s="1284">
        <f t="shared" si="29"/>
        <v>0</v>
      </c>
      <c r="Z86" s="2712"/>
      <c r="AA86" s="2780"/>
      <c r="AG86" s="1371"/>
      <c r="AK86" s="2780"/>
    </row>
    <row r="87" spans="1:37" ht="24">
      <c r="A87" s="2862" t="s">
        <v>2956</v>
      </c>
      <c r="B87" s="2868" t="s">
        <v>2970</v>
      </c>
      <c r="C87" s="2762"/>
      <c r="D87" s="1285">
        <f t="shared" si="25"/>
        <v>0</v>
      </c>
      <c r="E87" s="826"/>
      <c r="F87" s="2494"/>
      <c r="G87" s="1283"/>
      <c r="H87" s="1287" t="str">
        <f t="shared" si="26"/>
        <v>——</v>
      </c>
      <c r="I87" s="820">
        <v>0.05</v>
      </c>
      <c r="J87" s="1284">
        <f t="shared" si="27"/>
        <v>0</v>
      </c>
      <c r="K87" s="1284">
        <f t="shared" si="28"/>
        <v>0</v>
      </c>
      <c r="L87" s="1284">
        <v>0</v>
      </c>
      <c r="M87" s="1284">
        <f t="shared" si="29"/>
        <v>0</v>
      </c>
      <c r="N87" s="1284">
        <f t="shared" si="29"/>
        <v>0</v>
      </c>
      <c r="Z87" s="2712"/>
      <c r="AA87" s="2780"/>
      <c r="AG87" s="1371"/>
      <c r="AK87" s="2780"/>
    </row>
    <row r="88" spans="1:37" ht="39" thickBot="1">
      <c r="A88" s="2870" t="s">
        <v>2971</v>
      </c>
      <c r="B88" s="2875" t="str">
        <f>估价对象房地状况!G18</f>
        <v>该园区内是否有污染型企业，绿化情况，卫生条件，整体环境状况判断</v>
      </c>
      <c r="C88" s="2762"/>
      <c r="D88" s="1285">
        <f t="shared" si="25"/>
        <v>0</v>
      </c>
      <c r="E88" s="827"/>
      <c r="F88" s="2494"/>
      <c r="G88" s="1283"/>
      <c r="H88" s="1287" t="str">
        <f t="shared" si="26"/>
        <v>——</v>
      </c>
      <c r="I88" s="824">
        <v>0.06</v>
      </c>
      <c r="J88" s="1284">
        <f t="shared" si="27"/>
        <v>0</v>
      </c>
      <c r="K88" s="1284">
        <f t="shared" si="28"/>
        <v>0</v>
      </c>
      <c r="L88" s="1284">
        <v>0</v>
      </c>
      <c r="M88" s="1284">
        <f t="shared" si="29"/>
        <v>0</v>
      </c>
      <c r="N88" s="1284">
        <f t="shared" si="29"/>
        <v>0</v>
      </c>
      <c r="Z88" s="2712"/>
      <c r="AA88" s="2780"/>
      <c r="AG88" s="1371"/>
      <c r="AK88" s="2780"/>
    </row>
    <row r="90" spans="1:37">
      <c r="A90" s="3273" t="s">
        <v>2972</v>
      </c>
      <c r="B90" s="3273"/>
      <c r="C90" s="3273"/>
      <c r="D90" s="3273"/>
      <c r="E90" s="3273"/>
      <c r="F90" s="3273"/>
      <c r="G90" s="3273"/>
      <c r="H90" s="3273"/>
      <c r="I90" s="3273"/>
      <c r="J90" s="3273"/>
      <c r="K90" s="2876"/>
      <c r="L90" s="2876"/>
      <c r="M90" s="2876"/>
      <c r="N90" s="2876"/>
    </row>
    <row r="91" spans="1:37">
      <c r="A91" s="3275" t="s">
        <v>2973</v>
      </c>
      <c r="B91" s="3275" t="s">
        <v>2974</v>
      </c>
      <c r="C91" s="2830" t="s">
        <v>2975</v>
      </c>
      <c r="D91" s="2831"/>
      <c r="E91" s="2831"/>
      <c r="F91" s="2831"/>
      <c r="G91" s="2831"/>
      <c r="H91" s="2831"/>
      <c r="I91" s="2831"/>
      <c r="J91" s="2877"/>
      <c r="K91" s="2878"/>
      <c r="L91" s="2878"/>
      <c r="M91" s="2878"/>
      <c r="N91" s="2878"/>
    </row>
    <row r="92" spans="1:37">
      <c r="A92" s="3275"/>
      <c r="B92" s="327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6" t="s">
        <v>2976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7"/>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7"/>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7"/>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7"/>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7"/>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7"/>
      <c r="B99" s="2879" t="s">
        <v>2857</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8"/>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76" t="s">
        <v>2977</v>
      </c>
      <c r="B101" s="2883" t="s">
        <v>2978</v>
      </c>
      <c r="C101" s="2884">
        <f>$G$3</f>
        <v>3.08</v>
      </c>
      <c r="D101" s="2884">
        <f t="shared" ref="D101:N101" si="31">$G$3</f>
        <v>3.08</v>
      </c>
      <c r="E101" s="2884">
        <f t="shared" si="31"/>
        <v>3.08</v>
      </c>
      <c r="F101" s="2884">
        <f t="shared" si="31"/>
        <v>3.08</v>
      </c>
      <c r="G101" s="2884">
        <f t="shared" si="31"/>
        <v>3.08</v>
      </c>
      <c r="H101" s="2884">
        <f t="shared" si="31"/>
        <v>3.08</v>
      </c>
      <c r="I101" s="2884">
        <f t="shared" si="31"/>
        <v>3.08</v>
      </c>
      <c r="J101" s="2884">
        <f t="shared" si="31"/>
        <v>3.08</v>
      </c>
      <c r="K101" s="2884">
        <f t="shared" si="31"/>
        <v>3.08</v>
      </c>
      <c r="L101" s="2884">
        <f t="shared" si="31"/>
        <v>3.08</v>
      </c>
      <c r="M101" s="2884">
        <f t="shared" si="31"/>
        <v>3.08</v>
      </c>
      <c r="N101" s="2884">
        <f t="shared" si="31"/>
        <v>3.08</v>
      </c>
    </row>
    <row r="102" spans="1:14">
      <c r="A102" s="3277"/>
      <c r="B102" s="2879">
        <v>1</v>
      </c>
      <c r="C102" s="2880">
        <f>1.9362/C101</f>
        <v>0.62863636363636355</v>
      </c>
      <c r="D102" s="2880">
        <f>1.9362/D101</f>
        <v>0.62863636363636355</v>
      </c>
      <c r="E102" s="2880">
        <f>1.8629/E101</f>
        <v>0.60483766233766234</v>
      </c>
      <c r="F102" s="2880">
        <f>1.8629/F101</f>
        <v>0.60483766233766234</v>
      </c>
      <c r="G102" s="2880">
        <f>1.8629/G101</f>
        <v>0.60483766233766234</v>
      </c>
      <c r="H102" s="2880">
        <f>1.8629/H101</f>
        <v>0.60483766233766234</v>
      </c>
      <c r="I102" s="2880">
        <f>1.8629/I101</f>
        <v>0.60483766233766234</v>
      </c>
      <c r="J102" s="2880">
        <f>1.942/J101</f>
        <v>0.63051948051948048</v>
      </c>
      <c r="K102" s="2880">
        <f>1.942/K101</f>
        <v>0.63051948051948048</v>
      </c>
      <c r="L102" s="2880">
        <f>1.942/L101</f>
        <v>0.63051948051948048</v>
      </c>
      <c r="M102" s="2880">
        <f>1.942/M101</f>
        <v>0.63051948051948048</v>
      </c>
      <c r="N102" s="2880">
        <f>1.942/N101</f>
        <v>0.63051948051948048</v>
      </c>
    </row>
    <row r="103" spans="1:14">
      <c r="A103" s="3277"/>
      <c r="B103" s="2879">
        <v>2</v>
      </c>
      <c r="C103" s="2880">
        <f>1.4198/C101</f>
        <v>0.46097402597402592</v>
      </c>
      <c r="D103" s="2880">
        <f>1.4198/D101</f>
        <v>0.46097402597402592</v>
      </c>
      <c r="E103" s="2880">
        <f>1.3372/E101</f>
        <v>0.43415584415584413</v>
      </c>
      <c r="F103" s="2880">
        <f>1.3372/F101</f>
        <v>0.43415584415584413</v>
      </c>
      <c r="G103" s="2880">
        <f>1.3372/G101</f>
        <v>0.43415584415584413</v>
      </c>
      <c r="H103" s="2880">
        <f>1.3372/H101</f>
        <v>0.43415584415584413</v>
      </c>
      <c r="I103" s="2880">
        <f>1.3372/I101</f>
        <v>0.43415584415584413</v>
      </c>
      <c r="J103" s="2880">
        <f>1.2799/J101</f>
        <v>0.41555194805194806</v>
      </c>
      <c r="K103" s="2880">
        <f>1.2799/K101</f>
        <v>0.41555194805194806</v>
      </c>
      <c r="L103" s="2880">
        <f>1.2799/L101</f>
        <v>0.41555194805194806</v>
      </c>
      <c r="M103" s="2880">
        <f>1.2799/M101</f>
        <v>0.41555194805194806</v>
      </c>
      <c r="N103" s="2880">
        <f>1.2799/N101</f>
        <v>0.41555194805194806</v>
      </c>
    </row>
    <row r="104" spans="1:14">
      <c r="A104" s="3277"/>
      <c r="B104" s="2879">
        <v>3</v>
      </c>
      <c r="C104" s="2880">
        <f>1.1594/C101</f>
        <v>0.37642857142857139</v>
      </c>
      <c r="D104" s="2880">
        <f>1.1594/D101</f>
        <v>0.37642857142857139</v>
      </c>
      <c r="E104" s="2880">
        <f>1.0788/E101</f>
        <v>0.35025974025974027</v>
      </c>
      <c r="F104" s="2880">
        <f>1.0788/F101</f>
        <v>0.35025974025974027</v>
      </c>
      <c r="G104" s="2880">
        <f>1.0788/G101</f>
        <v>0.35025974025974027</v>
      </c>
      <c r="H104" s="2880">
        <f>1.0788/H101</f>
        <v>0.35025974025974027</v>
      </c>
      <c r="I104" s="2880">
        <f>1.0788/I101</f>
        <v>0.35025974025974027</v>
      </c>
      <c r="J104" s="2880">
        <f>1.0072/J101</f>
        <v>0.32701298701298703</v>
      </c>
      <c r="K104" s="2880">
        <f>1.0072/K101</f>
        <v>0.32701298701298703</v>
      </c>
      <c r="L104" s="2880">
        <f>1.0072/L101</f>
        <v>0.32701298701298703</v>
      </c>
      <c r="M104" s="2880">
        <f>1.0072/M101</f>
        <v>0.32701298701298703</v>
      </c>
      <c r="N104" s="2880">
        <f>1.0072/N101</f>
        <v>0.32701298701298703</v>
      </c>
    </row>
    <row r="105" spans="1:14">
      <c r="A105" s="3277"/>
      <c r="B105" s="2879">
        <v>4</v>
      </c>
      <c r="C105" s="2880">
        <f>0.9622/C101</f>
        <v>0.3124025974025974</v>
      </c>
      <c r="D105" s="2880">
        <f>0.9622/D101</f>
        <v>0.3124025974025974</v>
      </c>
      <c r="E105" s="2880">
        <f>0.8656/E101</f>
        <v>0.28103896103896103</v>
      </c>
      <c r="F105" s="2880">
        <f>0.8656/F101</f>
        <v>0.28103896103896103</v>
      </c>
      <c r="G105" s="2880">
        <f>0.8656/G101</f>
        <v>0.28103896103896103</v>
      </c>
      <c r="H105" s="2880">
        <f>0.8656/H101</f>
        <v>0.28103896103896103</v>
      </c>
      <c r="I105" s="2880">
        <f>0.8656/I101</f>
        <v>0.28103896103896103</v>
      </c>
      <c r="J105" s="2880">
        <f>0.7525/J101</f>
        <v>0.2443181818181818</v>
      </c>
      <c r="K105" s="2880">
        <f>0.7525/K101</f>
        <v>0.2443181818181818</v>
      </c>
      <c r="L105" s="2880">
        <f>0.7525/L101</f>
        <v>0.2443181818181818</v>
      </c>
      <c r="M105" s="2880">
        <f>0.7525/M101</f>
        <v>0.2443181818181818</v>
      </c>
      <c r="N105" s="2880">
        <f>0.7525/N101</f>
        <v>0.2443181818181818</v>
      </c>
    </row>
    <row r="106" spans="1:14">
      <c r="A106" s="3277"/>
      <c r="B106" s="2879">
        <v>5</v>
      </c>
      <c r="C106" s="2880">
        <f>0.8417/C101</f>
        <v>0.27327922077922079</v>
      </c>
      <c r="D106" s="2880">
        <f>0.8417/D101</f>
        <v>0.27327922077922079</v>
      </c>
      <c r="E106" s="2880">
        <f>0.7371/E101</f>
        <v>0.23931818181818182</v>
      </c>
      <c r="F106" s="2880">
        <f>0.7371/F101</f>
        <v>0.23931818181818182</v>
      </c>
      <c r="G106" s="2880">
        <f>0.7371/G101</f>
        <v>0.23931818181818182</v>
      </c>
      <c r="H106" s="2880">
        <f>0.7371/H101</f>
        <v>0.23931818181818182</v>
      </c>
      <c r="I106" s="2880">
        <f>0.7371/I101</f>
        <v>0.23931818181818182</v>
      </c>
      <c r="J106" s="2880">
        <f>0.5659/J101</f>
        <v>0.18373376623376622</v>
      </c>
      <c r="K106" s="2880">
        <f>0.5659/K101</f>
        <v>0.18373376623376622</v>
      </c>
      <c r="L106" s="2880">
        <f>0.5659/L101</f>
        <v>0.18373376623376622</v>
      </c>
      <c r="M106" s="2880">
        <f>0.5659/M101</f>
        <v>0.18373376623376622</v>
      </c>
      <c r="N106" s="2880">
        <f>0.5659/N101</f>
        <v>0.18373376623376622</v>
      </c>
    </row>
    <row r="107" spans="1:14">
      <c r="A107" s="3277"/>
      <c r="B107" s="2879">
        <v>6</v>
      </c>
      <c r="C107" s="2880">
        <f>0.7608/C101</f>
        <v>0.24701298701298702</v>
      </c>
      <c r="D107" s="2880">
        <f>0.7608/D101</f>
        <v>0.24701298701298702</v>
      </c>
      <c r="E107" s="2880">
        <f>0.6482/E101</f>
        <v>0.21045454545454545</v>
      </c>
      <c r="F107" s="2880">
        <f>0.6482/F101</f>
        <v>0.21045454545454545</v>
      </c>
      <c r="G107" s="2880">
        <f>0.6482/G101</f>
        <v>0.21045454545454545</v>
      </c>
      <c r="H107" s="2880">
        <f>0.6482/H101</f>
        <v>0.21045454545454545</v>
      </c>
      <c r="I107" s="2880">
        <f>0.6482/I101</f>
        <v>0.21045454545454545</v>
      </c>
      <c r="J107" s="2880">
        <f>0.4525/J101</f>
        <v>0.14691558441558442</v>
      </c>
      <c r="K107" s="2880">
        <f>0.4525/K101</f>
        <v>0.14691558441558442</v>
      </c>
      <c r="L107" s="2880">
        <f>0.4525/L101</f>
        <v>0.14691558441558442</v>
      </c>
      <c r="M107" s="2880">
        <f>0.4525/M101</f>
        <v>0.14691558441558442</v>
      </c>
      <c r="N107" s="2880">
        <f>0.4525/N101</f>
        <v>0.14691558441558442</v>
      </c>
    </row>
    <row r="108" spans="1:14">
      <c r="A108" s="3277"/>
      <c r="B108" s="3132" t="s">
        <v>2979</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8"/>
      <c r="B109" s="3133"/>
      <c r="C109" s="2882">
        <f>(-0.163*(C108^2)-0.59*C108+7617)*(10^(-4))/C101</f>
        <v>0.24730519480519481</v>
      </c>
      <c r="D109" s="2882">
        <f>(-0.163*(D108^2)-0.59*D108+7617)*(10^(-4))/D101</f>
        <v>0.24730519480519481</v>
      </c>
      <c r="E109" s="2882">
        <f>(-0.161*(E108^2)-7.509*E108+6533)*(10^(-4))/E101</f>
        <v>0.21211038961038961</v>
      </c>
      <c r="F109" s="2882">
        <f>(-0.161*(F108^2)-7.509*F108+6533)*(10^(-4))/F101</f>
        <v>0.21211038961038961</v>
      </c>
      <c r="G109" s="2882">
        <f>(-0.161*(G108^2)-7.509*G108+6533)*(10^(-4))/G101</f>
        <v>0.21211038961038961</v>
      </c>
      <c r="H109" s="2882">
        <f>(-0.161*(H108^2)-7.509*H108+6533)*(10^(-4))/H101</f>
        <v>0.21211038961038961</v>
      </c>
      <c r="I109" s="2882">
        <f>(-0.161*(I108^2)-7.509*I108+6533)*(10^(-4))/I101</f>
        <v>0.21211038961038961</v>
      </c>
      <c r="J109" s="2882">
        <f>(-0.214*(J108^2)-21.991*J108+4665)*(10^(-4))/J101</f>
        <v>0.15146103896103896</v>
      </c>
      <c r="K109" s="2882">
        <f>(-0.214*(K108^2)-21.991*K108+4665)*(10^(-4))/K101</f>
        <v>0.15146103896103896</v>
      </c>
      <c r="L109" s="2882">
        <f>(-0.214*(L108^2)-21.991*L108+4665)*(10^(-4))/L101</f>
        <v>0.15146103896103896</v>
      </c>
      <c r="M109" s="2882">
        <f>(-0.214*(M108^2)-21.991*M108+4665)*(10^(-4))/M101</f>
        <v>0.15146103896103896</v>
      </c>
      <c r="N109" s="2882">
        <f>(-0.214*(N108^2)-21.991*N108+4665)*(10^(-4))/N101</f>
        <v>0.15146103896103896</v>
      </c>
    </row>
    <row r="110" spans="1:14">
      <c r="A110" s="3274" t="s">
        <v>2980</v>
      </c>
      <c r="B110" s="3274"/>
      <c r="C110" s="3274"/>
      <c r="D110" s="3274"/>
      <c r="E110" s="3274"/>
      <c r="F110" s="3274"/>
      <c r="G110" s="3274"/>
      <c r="H110" s="3274"/>
      <c r="I110" s="3274"/>
      <c r="J110" s="3274"/>
      <c r="K110" s="2885"/>
      <c r="L110" s="2885"/>
      <c r="M110" s="2885"/>
      <c r="N110" s="2885"/>
    </row>
    <row r="112" spans="1:14" ht="13.5" thickBot="1"/>
    <row r="113" spans="1:13" ht="25.5" thickBot="1">
      <c r="A113" s="903" t="s">
        <v>2981</v>
      </c>
      <c r="B113" s="1286">
        <f>G3</f>
        <v>3.08</v>
      </c>
      <c r="C113" s="904" t="s">
        <v>2982</v>
      </c>
      <c r="D113" s="905">
        <f>SUMPRODUCT((A115:A118=F113)*(B114:M114=H113)*B115:M118)</f>
        <v>0</v>
      </c>
      <c r="E113" s="2716" t="s">
        <v>2814</v>
      </c>
      <c r="F113" s="2887">
        <f>E2</f>
        <v>0</v>
      </c>
      <c r="G113" s="2716" t="s">
        <v>2815</v>
      </c>
      <c r="H113" s="2887">
        <f>G2</f>
        <v>0</v>
      </c>
      <c r="I113" s="2716"/>
      <c r="J113" s="2888"/>
      <c r="K113" s="2888"/>
      <c r="L113" s="2888"/>
      <c r="M113" s="2888"/>
    </row>
    <row r="114" spans="1:13">
      <c r="A114" s="908"/>
      <c r="B114" s="2889" t="s">
        <v>2983</v>
      </c>
      <c r="C114" s="2889" t="s">
        <v>2984</v>
      </c>
      <c r="D114" s="2889" t="s">
        <v>2985</v>
      </c>
      <c r="E114" s="2890" t="s">
        <v>2986</v>
      </c>
      <c r="F114" s="2890" t="s">
        <v>2987</v>
      </c>
      <c r="G114" s="2890" t="s">
        <v>2988</v>
      </c>
      <c r="H114" s="2891" t="s">
        <v>2989</v>
      </c>
      <c r="I114" s="2891" t="s">
        <v>2990</v>
      </c>
      <c r="J114" s="2892" t="s">
        <v>2991</v>
      </c>
      <c r="K114" s="2892" t="s">
        <v>2992</v>
      </c>
      <c r="L114" s="2892" t="s">
        <v>2993</v>
      </c>
      <c r="M114" s="2893"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3003</v>
      </c>
    </row>
    <row r="2" spans="1:5" ht="15.75">
      <c r="A2" s="2894" t="s">
        <v>2995</v>
      </c>
      <c r="B2" s="2895" t="e">
        <f ca="1">SUMIF(B6:B13,"&lt;&gt;#ref!",B6:B13)</f>
        <v>#DIV/0!</v>
      </c>
      <c r="C2" s="2894" t="s">
        <v>2996</v>
      </c>
      <c r="D2" s="2894" t="s">
        <v>2997</v>
      </c>
      <c r="E2" s="2895">
        <f ca="1">SUMIF(E6:E13,"&lt;&gt;#ref!",E6:E13)</f>
        <v>0</v>
      </c>
    </row>
    <row r="3" spans="1:5" ht="15.75">
      <c r="A3" s="2894" t="s">
        <v>2998</v>
      </c>
      <c r="B3" s="2895" t="e">
        <f ca="1">ROUND(B2*10000/E2,0)</f>
        <v>#DIV/0!</v>
      </c>
      <c r="C3" s="2894" t="s">
        <v>3004</v>
      </c>
      <c r="D3" s="2896"/>
      <c r="E3" s="2896"/>
    </row>
    <row r="4" spans="1:5" ht="15.75">
      <c r="A4" s="2897"/>
      <c r="B4" s="2896"/>
      <c r="C4" s="2896"/>
      <c r="D4" s="2896"/>
      <c r="E4" s="2896"/>
    </row>
    <row r="5" spans="1:5" ht="28.5">
      <c r="A5" s="2898" t="s">
        <v>2999</v>
      </c>
      <c r="B5" s="2894" t="s">
        <v>3000</v>
      </c>
      <c r="C5" s="2895"/>
      <c r="D5" s="2896"/>
      <c r="E5" s="2894" t="s">
        <v>3001</v>
      </c>
    </row>
    <row r="6" spans="1:5" ht="15.75">
      <c r="A6" s="2899" t="s">
        <v>3002</v>
      </c>
      <c r="B6" s="2895" t="e">
        <f ca="1">SUMIF(INDIRECT("'"&amp;A6&amp;"'"&amp;"!A:A"),"总价",INDIRECT("'"&amp;A6&amp;"'"&amp;"!B:B"))</f>
        <v>#DIV/0!</v>
      </c>
      <c r="C6" s="2894" t="s">
        <v>2996</v>
      </c>
      <c r="D6" s="2896"/>
      <c r="E6" s="2568">
        <f ca="1">SUMIF(INDIRECT("'"&amp;A6&amp;"'"&amp;"!C:C"),"建筑面积",INDIRECT("'"&amp;A6&amp;"'"&amp;"!D:D"))</f>
        <v>0</v>
      </c>
    </row>
    <row r="7" spans="1:5" ht="15.75">
      <c r="A7" s="2899"/>
      <c r="B7" s="2895" t="e">
        <f ca="1">SUMIF(INDIRECT("'"&amp;A7&amp;"'"&amp;"!A:A"),"总价",INDIRECT("'"&amp;A7&amp;"'"&amp;"!B:B"))</f>
        <v>#REF!</v>
      </c>
      <c r="C7" s="2894" t="s">
        <v>2996</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2996</v>
      </c>
      <c r="D8" s="2896"/>
      <c r="E8" s="2568" t="e">
        <f t="shared" ca="1" si="0"/>
        <v>#REF!</v>
      </c>
    </row>
    <row r="9" spans="1:5" ht="15.75">
      <c r="A9" s="2899"/>
      <c r="B9" s="2895" t="e">
        <f t="shared" ca="1" si="1"/>
        <v>#REF!</v>
      </c>
      <c r="C9" s="2894" t="s">
        <v>2996</v>
      </c>
      <c r="D9" s="2896"/>
      <c r="E9" s="2568" t="e">
        <f t="shared" ca="1" si="0"/>
        <v>#REF!</v>
      </c>
    </row>
    <row r="10" spans="1:5" ht="15.75">
      <c r="A10" s="2899"/>
      <c r="B10" s="2895" t="e">
        <f t="shared" ca="1" si="1"/>
        <v>#REF!</v>
      </c>
      <c r="C10" s="2894" t="s">
        <v>2996</v>
      </c>
      <c r="D10" s="2896"/>
      <c r="E10" s="2568" t="e">
        <f t="shared" ca="1" si="0"/>
        <v>#REF!</v>
      </c>
    </row>
    <row r="11" spans="1:5" ht="15.75">
      <c r="A11" s="2899"/>
      <c r="B11" s="2895" t="e">
        <f t="shared" ca="1" si="1"/>
        <v>#REF!</v>
      </c>
      <c r="C11" s="2894" t="s">
        <v>2996</v>
      </c>
      <c r="D11" s="2896"/>
      <c r="E11" s="2568" t="e">
        <f t="shared" ca="1" si="0"/>
        <v>#REF!</v>
      </c>
    </row>
    <row r="12" spans="1:5" ht="15.75">
      <c r="A12" s="2899"/>
      <c r="B12" s="2895" t="e">
        <f t="shared" ca="1" si="1"/>
        <v>#REF!</v>
      </c>
      <c r="C12" s="2894" t="s">
        <v>2996</v>
      </c>
      <c r="D12" s="2896"/>
      <c r="E12" s="2568" t="e">
        <f t="shared" ca="1" si="0"/>
        <v>#REF!</v>
      </c>
    </row>
    <row r="13" spans="1:5" ht="15.75">
      <c r="A13" s="2899"/>
      <c r="B13" s="2895" t="e">
        <f t="shared" ca="1" si="1"/>
        <v>#REF!</v>
      </c>
      <c r="C13" s="2894" t="s">
        <v>2996</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51"/>
      <c r="B4" s="2977" t="s">
        <v>1624</v>
      </c>
      <c r="C4" s="2977"/>
      <c r="D4" s="2977"/>
      <c r="E4" s="1951"/>
    </row>
    <row r="5" spans="1:5" ht="16.5" thickTop="1">
      <c r="A5" s="1949"/>
      <c r="B5" s="2975" t="s">
        <v>1616</v>
      </c>
      <c r="C5" s="1952" t="s">
        <v>1617</v>
      </c>
      <c r="D5" s="1040">
        <f ca="1">结果表!H101</f>
        <v>36141</v>
      </c>
      <c r="E5" s="1949"/>
    </row>
    <row r="6" spans="1:5" ht="15.75">
      <c r="A6" s="1949"/>
      <c r="B6" s="2975"/>
      <c r="C6" s="1952" t="s">
        <v>1618</v>
      </c>
      <c r="D6" s="1040" t="str">
        <f ca="1">NUMBERSTRING(INT(D5*10000),2)&amp;"元整"</f>
        <v>叁亿陆仟壹佰肆拾壹万元整</v>
      </c>
      <c r="E6" s="1949"/>
    </row>
    <row r="7" spans="1:5" ht="15.75">
      <c r="A7" s="1949"/>
      <c r="B7" s="2980"/>
      <c r="C7" s="1953" t="s">
        <v>1619</v>
      </c>
      <c r="D7" s="1041">
        <f ca="1">结果表!H102</f>
        <v>22301</v>
      </c>
      <c r="E7" s="1949"/>
    </row>
    <row r="8" spans="1:5" ht="15.75">
      <c r="A8" s="1949"/>
      <c r="B8" s="2981" t="str">
        <f>结果表!E103</f>
        <v>2.估价师知悉的法定优先受偿款</v>
      </c>
      <c r="C8" s="1954" t="s">
        <v>1620</v>
      </c>
      <c r="D8" s="1041">
        <f>结果表!H103</f>
        <v>0</v>
      </c>
      <c r="E8" s="1949"/>
    </row>
    <row r="9" spans="1:5" ht="15.75">
      <c r="A9" s="1949"/>
      <c r="B9" s="2983"/>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74" t="str">
        <f>结果表!E107</f>
        <v>3.房地产抵押价值</v>
      </c>
      <c r="C13" s="1957" t="s">
        <v>1617</v>
      </c>
      <c r="D13" s="1043">
        <f ca="1">结果表!H107</f>
        <v>36141</v>
      </c>
      <c r="E13" s="1949"/>
    </row>
    <row r="14" spans="1:5" ht="15.75">
      <c r="A14" s="1949"/>
      <c r="B14" s="2975"/>
      <c r="C14" s="1952" t="s">
        <v>1618</v>
      </c>
      <c r="D14" s="1040" t="str">
        <f ca="1">NUMBERSTRING(INT(D13*10000),2)&amp;"元整"</f>
        <v>叁亿陆仟壹佰肆拾壹万元整</v>
      </c>
      <c r="E14" s="1949"/>
    </row>
    <row r="15" spans="1:5" ht="15">
      <c r="A15" s="1949"/>
      <c r="B15" s="2980"/>
      <c r="C15" s="1953" t="s">
        <v>1628</v>
      </c>
      <c r="D15" s="1052">
        <f ca="1">结果表!H108</f>
        <v>22301</v>
      </c>
      <c r="E15" s="1949"/>
    </row>
    <row r="16" spans="1:5" ht="15">
      <c r="A16" s="1949"/>
      <c r="B16" s="2981" t="str">
        <f>结果表!E109</f>
        <v>——</v>
      </c>
      <c r="C16" s="1957" t="s">
        <v>1629</v>
      </c>
      <c r="D16" s="1958" t="str">
        <f>结果表!H109</f>
        <v>——</v>
      </c>
      <c r="E16" s="1949"/>
    </row>
    <row r="17" spans="1:5" ht="15.75">
      <c r="A17" s="1949"/>
      <c r="B17" s="2982"/>
      <c r="C17" s="1952" t="s">
        <v>1630</v>
      </c>
      <c r="D17" s="1040" t="e">
        <f>NUMBERSTRING(INT(D16*10000),2)&amp;"元整"</f>
        <v>#VALUE!</v>
      </c>
      <c r="E17" s="1949"/>
    </row>
    <row r="18" spans="1:5" ht="15">
      <c r="A18" s="1949"/>
      <c r="B18" s="2983"/>
      <c r="C18" s="1953" t="s">
        <v>1619</v>
      </c>
      <c r="D18" s="1052" t="str">
        <f>结果表!H110</f>
        <v>——</v>
      </c>
      <c r="E18" s="1949"/>
    </row>
    <row r="19" spans="1:5" ht="15.75">
      <c r="A19" s="1949"/>
      <c r="B19" s="2974" t="str">
        <f>结果表!E111</f>
        <v>——</v>
      </c>
      <c r="C19" s="1957" t="s">
        <v>1617</v>
      </c>
      <c r="D19" s="1041" t="str">
        <f>结果表!H111</f>
        <v>——</v>
      </c>
      <c r="E19" s="1949"/>
    </row>
    <row r="20" spans="1:5" ht="15.75">
      <c r="A20" s="1949"/>
      <c r="B20" s="2975"/>
      <c r="C20" s="1952" t="s">
        <v>1630</v>
      </c>
      <c r="D20" s="1040" t="e">
        <f>NUMBERSTRING(INT(D19*10000),2)&amp;"元整"</f>
        <v>#VALUE!</v>
      </c>
      <c r="E20" s="1949"/>
    </row>
    <row r="21" spans="1:5" ht="15.75" thickBot="1">
      <c r="A21" s="1949"/>
      <c r="B21" s="2976"/>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0" t="s">
        <v>1145</v>
      </c>
      <c r="C1" s="3290"/>
      <c r="D1" s="3290"/>
      <c r="E1" s="3290"/>
      <c r="F1" s="3290"/>
      <c r="G1" s="3289" t="s">
        <v>1146</v>
      </c>
      <c r="H1" s="3289"/>
      <c r="I1" s="3289"/>
      <c r="J1" s="3289"/>
      <c r="K1" s="3289"/>
      <c r="L1" s="3289"/>
      <c r="N1" s="3289" t="s">
        <v>1147</v>
      </c>
      <c r="O1" s="3289"/>
      <c r="P1" s="3289"/>
      <c r="Q1" s="3289"/>
      <c r="R1" s="1445"/>
      <c r="S1" s="3289" t="s">
        <v>1148</v>
      </c>
      <c r="T1" s="3289"/>
      <c r="U1" s="3289"/>
      <c r="V1" s="3289"/>
      <c r="X1" s="3288" t="s">
        <v>1149</v>
      </c>
      <c r="Y1" s="3289"/>
      <c r="Z1" s="3289"/>
      <c r="AA1" s="3289"/>
      <c r="AB1" s="3289"/>
      <c r="AD1" s="3288" t="s">
        <v>1150</v>
      </c>
      <c r="AE1" s="3289"/>
      <c r="AF1" s="3289"/>
      <c r="AG1" s="3289"/>
      <c r="AH1" s="328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3036</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3049</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86">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6"/>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6"/>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95"/>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3032</v>
      </c>
      <c r="B15" s="1468">
        <v>439</v>
      </c>
      <c r="C15" s="1468">
        <v>327</v>
      </c>
      <c r="D15" s="1468">
        <f>C15</f>
        <v>327</v>
      </c>
      <c r="E15" s="1468">
        <v>627</v>
      </c>
      <c r="F15" s="1469">
        <v>283</v>
      </c>
      <c r="G15" s="3291">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6"/>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86"/>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95"/>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91">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6"/>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6"/>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7"/>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85">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6"/>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6"/>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7"/>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85">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6"/>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6"/>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7"/>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92">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93"/>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93"/>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94"/>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85">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6"/>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6"/>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87"/>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85">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6">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6">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7">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85">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6">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6">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7">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85">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6">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6">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7">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85">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6">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6">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7">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85">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6">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6">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7">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85">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6">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6">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7">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85">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6">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6">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7">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85">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6">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6">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7">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85">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6">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6">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87">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85">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6">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6">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87">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126" activePane="bottomLeft" state="frozen"/>
      <selection activeCell="C50" sqref="C50"/>
      <selection pane="bottomLeft" activeCell="R24" sqref="R24:S135"/>
    </sheetView>
  </sheetViews>
  <sheetFormatPr defaultColWidth="9" defaultRowHeight="12.75"/>
  <cols>
    <col min="1" max="1" width="3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97" t="s">
        <v>3006</v>
      </c>
      <c r="D1" s="3298"/>
      <c r="E1" s="3298"/>
      <c r="F1" s="3298"/>
      <c r="G1" s="3298"/>
      <c r="H1" s="3298"/>
      <c r="I1" s="3298"/>
      <c r="J1" s="3298"/>
      <c r="K1" s="3298"/>
      <c r="L1" s="3298"/>
      <c r="M1" s="3298"/>
      <c r="N1" s="3298"/>
      <c r="O1" s="3298"/>
      <c r="P1" s="3298"/>
      <c r="Q1" s="3298"/>
      <c r="R1" s="3298"/>
      <c r="S1" s="3299"/>
      <c r="T1" s="1204" t="s">
        <v>3007</v>
      </c>
    </row>
    <row r="2" spans="1:45" s="707" customFormat="1">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3015</v>
      </c>
      <c r="B17" s="2901" t="s">
        <v>3016</v>
      </c>
      <c r="C17" s="3323" t="s">
        <v>3329</v>
      </c>
      <c r="D17" s="3324" t="s">
        <v>3330</v>
      </c>
      <c r="E17" s="3324" t="s">
        <v>3331</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2" t="s">
        <v>3017</v>
      </c>
      <c r="E19" s="1783"/>
      <c r="F19" s="1783"/>
      <c r="G19" s="1783"/>
      <c r="H19" s="1279"/>
      <c r="I19" s="168"/>
      <c r="J19" s="168"/>
      <c r="K19" s="168"/>
      <c r="L19" s="168"/>
      <c r="M19" s="168"/>
      <c r="N19" s="168"/>
      <c r="O19" s="168"/>
      <c r="P19" s="168"/>
      <c r="Q19" s="168"/>
      <c r="R19" s="788"/>
      <c r="S19" s="138"/>
    </row>
    <row r="20" spans="1:45" ht="16.5" thickBot="1">
      <c r="A20" s="715" t="s">
        <v>3018</v>
      </c>
      <c r="B20" s="338">
        <f ca="1">IF(D20="——",S22,S22-F20)</f>
        <v>36141</v>
      </c>
      <c r="C20" s="168"/>
      <c r="D20" s="2903" t="s">
        <v>70</v>
      </c>
      <c r="E20" s="1784"/>
      <c r="F20" s="1204" t="e">
        <f ca="1">SUMIF(INDIRECT("'"&amp;H20&amp;"'"&amp;"!A:A"),"承租人权益价值",INDIRECT("'"&amp;H20&amp;"'"&amp;"!c:c"))</f>
        <v>#REF!</v>
      </c>
      <c r="G20" s="1204" t="s">
        <v>3019</v>
      </c>
      <c r="H20" s="2904"/>
      <c r="I20" s="168"/>
      <c r="J20" s="168"/>
      <c r="K20" s="168"/>
      <c r="L20" s="168"/>
      <c r="M20" s="168"/>
      <c r="N20" s="168"/>
      <c r="O20" s="168"/>
      <c r="P20" s="168"/>
      <c r="Q20" s="168"/>
      <c r="R20" s="788"/>
      <c r="S20" s="138"/>
    </row>
    <row r="21" spans="1:45" ht="15.75">
      <c r="A21" s="715" t="s">
        <v>3020</v>
      </c>
      <c r="B21" s="338">
        <f ca="1">ROUND(B20*10000/B22,0)</f>
        <v>22301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16206.229999999998</v>
      </c>
      <c r="C22" s="3154" t="s">
        <v>33</v>
      </c>
      <c r="D22" s="3155"/>
      <c r="E22" s="3155"/>
      <c r="F22" s="3155"/>
      <c r="G22" s="3155"/>
      <c r="H22" s="3155"/>
      <c r="I22" s="3155"/>
      <c r="J22" s="3155"/>
      <c r="K22" s="3155"/>
      <c r="L22" s="3155"/>
      <c r="M22" s="3155"/>
      <c r="N22" s="3155"/>
      <c r="O22" s="3155"/>
      <c r="P22" s="3155"/>
      <c r="Q22" s="3296"/>
      <c r="R22" s="716">
        <f ca="1">ROUND(S22*10000/B22,0)</f>
        <v>22301</v>
      </c>
      <c r="S22" s="24">
        <f ca="1">SUM(S24:S10000)</f>
        <v>36141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Sheet1!C2</f>
        <v>昌平区能源东路1号院1号楼4层3单元401</v>
      </c>
      <c r="B24" s="718">
        <f>Sheet1!D2</f>
        <v>112.45</v>
      </c>
      <c r="C24" s="719">
        <v>1</v>
      </c>
      <c r="D24" s="720"/>
      <c r="E24" s="719">
        <v>1</v>
      </c>
      <c r="F24" s="720"/>
      <c r="G24" s="719">
        <v>1</v>
      </c>
      <c r="H24" s="720"/>
      <c r="I24" s="719">
        <v>1</v>
      </c>
      <c r="J24" s="720"/>
      <c r="K24" s="719">
        <v>1</v>
      </c>
      <c r="L24" s="720"/>
      <c r="M24" s="719">
        <v>1</v>
      </c>
      <c r="N24" s="720"/>
      <c r="O24" s="719">
        <v>1</v>
      </c>
      <c r="P24" s="3325" t="s">
        <v>3332</v>
      </c>
      <c r="Q24" s="719">
        <v>1</v>
      </c>
      <c r="R24" s="721">
        <f ca="1">'结果表-基准'!G20</f>
        <v>21748</v>
      </c>
      <c r="S24" s="719">
        <f t="shared" ref="S24:S54" ca="1" si="11">ROUND(R24*B24/10000,0)</f>
        <v>245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Sheet1!C3</f>
        <v>昌平区能源东路1号院1号楼4层3单元402</v>
      </c>
      <c r="B25" s="718">
        <f>Sheet1!D3</f>
        <v>106.55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3325" t="s">
        <v>3332</v>
      </c>
      <c r="Q25" s="24">
        <f>(SUMIF($17:$17,P25,$18:$18)-SUMIF($17:$17,$P$24,$18:$18)+100)/100</f>
        <v>1</v>
      </c>
      <c r="R25" s="716">
        <f ca="1">IF(B25="",0,ROUND($R$24*C25*E25*G25*I25*K25*M25*O25*Q25,0))</f>
        <v>21748</v>
      </c>
      <c r="S25" s="361">
        <f t="shared" ca="1" si="11"/>
        <v>232</v>
      </c>
    </row>
    <row r="26" spans="1:45">
      <c r="A26" s="718" t="str">
        <f>Sheet1!C4</f>
        <v>昌平区能源东路1号院1号楼4层3单元403</v>
      </c>
      <c r="B26" s="718">
        <f>Sheet1!D4</f>
        <v>106.55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3325" t="s">
        <v>3332</v>
      </c>
      <c r="Q26" s="24">
        <f t="shared" ref="Q26:Q89" si="19">(SUMIF($17:$17,P26,$18:$18)-SUMIF($17:$17,$P$24,$18:$18)+100)/100</f>
        <v>1</v>
      </c>
      <c r="R26" s="716">
        <f t="shared" ref="R26:R89" ca="1" si="20">IF(B26="",0,ROUND($R$24*C26*E26*G26*I26*K26*M26*O26*Q26,0))</f>
        <v>21748</v>
      </c>
      <c r="S26" s="361">
        <f t="shared" ca="1" si="11"/>
        <v>232</v>
      </c>
    </row>
    <row r="27" spans="1:45">
      <c r="A27" s="718" t="str">
        <f>Sheet1!C5</f>
        <v>昌平区能源东路1号院1号楼4层3单元404</v>
      </c>
      <c r="B27" s="718">
        <f>Sheet1!D5</f>
        <v>107.13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3325" t="s">
        <v>3332</v>
      </c>
      <c r="Q27" s="24">
        <f t="shared" si="19"/>
        <v>1</v>
      </c>
      <c r="R27" s="716">
        <f t="shared" ca="1" si="20"/>
        <v>21748</v>
      </c>
      <c r="S27" s="361">
        <f t="shared" ca="1" si="11"/>
        <v>233</v>
      </c>
    </row>
    <row r="28" spans="1:45">
      <c r="A28" s="718" t="str">
        <f>Sheet1!C6</f>
        <v>昌平区能源东路1号院1号楼4层3单元405</v>
      </c>
      <c r="B28" s="718">
        <f>Sheet1!D6</f>
        <v>83.13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3325" t="s">
        <v>3332</v>
      </c>
      <c r="Q28" s="24">
        <f t="shared" si="19"/>
        <v>1</v>
      </c>
      <c r="R28" s="716">
        <f t="shared" ca="1" si="20"/>
        <v>21313</v>
      </c>
      <c r="S28" s="361">
        <f t="shared" ca="1" si="11"/>
        <v>177</v>
      </c>
    </row>
    <row r="29" spans="1:45">
      <c r="A29" s="718" t="str">
        <f>Sheet1!C7</f>
        <v>昌平区能源东路1号院1号楼4层3单元406</v>
      </c>
      <c r="B29" s="718">
        <f>Sheet1!D7</f>
        <v>111.52</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3325" t="s">
        <v>3332</v>
      </c>
      <c r="Q29" s="24">
        <f t="shared" si="19"/>
        <v>1</v>
      </c>
      <c r="R29" s="716">
        <f t="shared" ca="1" si="20"/>
        <v>21748</v>
      </c>
      <c r="S29" s="361">
        <f t="shared" ca="1" si="11"/>
        <v>243</v>
      </c>
    </row>
    <row r="30" spans="1:45">
      <c r="A30" s="718" t="str">
        <f>Sheet1!C8</f>
        <v>昌平区能源东路1号院1号楼4层3单元407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3325" t="s">
        <v>3332</v>
      </c>
      <c r="Q30" s="24">
        <f t="shared" si="19"/>
        <v>1</v>
      </c>
      <c r="R30" s="716">
        <f t="shared" ca="1" si="20"/>
        <v>21748</v>
      </c>
      <c r="S30" s="361">
        <f t="shared" ca="1" si="11"/>
        <v>575</v>
      </c>
    </row>
    <row r="31" spans="1:45">
      <c r="A31" s="718" t="str">
        <f>Sheet1!C9</f>
        <v>昌平区能源东路1号院1号楼4层3单元408</v>
      </c>
      <c r="B31" s="718">
        <f>Sheet1!D9</f>
        <v>109.64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3325" t="s">
        <v>3332</v>
      </c>
      <c r="Q31" s="24">
        <f t="shared" si="19"/>
        <v>1</v>
      </c>
      <c r="R31" s="716">
        <f t="shared" ca="1" si="20"/>
        <v>21748</v>
      </c>
      <c r="S31" s="361">
        <f t="shared" ca="1" si="11"/>
        <v>238</v>
      </c>
    </row>
    <row r="32" spans="1:45">
      <c r="A32" s="718" t="str">
        <f>Sheet1!C10</f>
        <v>昌平区能源东路1号院1号楼4层3单元409</v>
      </c>
      <c r="B32" s="718">
        <f>Sheet1!D10</f>
        <v>103.75</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3325" t="s">
        <v>3332</v>
      </c>
      <c r="Q32" s="24">
        <f t="shared" si="19"/>
        <v>1</v>
      </c>
      <c r="R32" s="716">
        <f t="shared" ca="1" si="20"/>
        <v>21748</v>
      </c>
      <c r="S32" s="361">
        <f t="shared" ca="1" si="11"/>
        <v>226</v>
      </c>
    </row>
    <row r="33" spans="1:21">
      <c r="A33" s="718" t="str">
        <f>Sheet1!C11</f>
        <v>昌平区能源东路1号院1号楼4层3单元410</v>
      </c>
      <c r="B33" s="718">
        <f>Sheet1!D11</f>
        <v>103.75</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3325" t="s">
        <v>3332</v>
      </c>
      <c r="Q33" s="24">
        <f t="shared" si="19"/>
        <v>1</v>
      </c>
      <c r="R33" s="716">
        <f t="shared" ca="1" si="20"/>
        <v>21748</v>
      </c>
      <c r="S33" s="361">
        <f t="shared" ca="1" si="11"/>
        <v>226</v>
      </c>
    </row>
    <row r="34" spans="1:21">
      <c r="A34" s="718" t="str">
        <f>Sheet1!C12</f>
        <v>昌平区能源东路1号院1号楼4层3单元411</v>
      </c>
      <c r="B34" s="718">
        <f>Sheet1!D12</f>
        <v>103.75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3325" t="s">
        <v>3332</v>
      </c>
      <c r="Q34" s="24">
        <f t="shared" si="19"/>
        <v>1</v>
      </c>
      <c r="R34" s="716">
        <f t="shared" ca="1" si="20"/>
        <v>21748</v>
      </c>
      <c r="S34" s="361">
        <f t="shared" ca="1" si="11"/>
        <v>226</v>
      </c>
      <c r="U34" s="795">
        <f ca="1">S22-S24</f>
        <v>35896</v>
      </c>
    </row>
    <row r="35" spans="1:21">
      <c r="A35" s="718" t="str">
        <f>Sheet1!C13</f>
        <v>昌平区能源东路1号院1号楼4层3单元412</v>
      </c>
      <c r="B35" s="718">
        <f>Sheet1!D13</f>
        <v>103.75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3325" t="s">
        <v>3332</v>
      </c>
      <c r="Q35" s="24">
        <f t="shared" si="19"/>
        <v>1</v>
      </c>
      <c r="R35" s="716">
        <f t="shared" ca="1" si="20"/>
        <v>21748</v>
      </c>
      <c r="S35" s="361">
        <f t="shared" ca="1" si="11"/>
        <v>226</v>
      </c>
      <c r="U35" s="795">
        <f>B22-B24</f>
        <v>16093.779999999997</v>
      </c>
    </row>
    <row r="36" spans="1:21">
      <c r="A36" s="718" t="str">
        <f>Sheet1!C14</f>
        <v>昌平区能源东路1号院1号楼4层3单元413</v>
      </c>
      <c r="B36" s="718">
        <f>Sheet1!D14</f>
        <v>109.64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3325" t="s">
        <v>3332</v>
      </c>
      <c r="Q36" s="24">
        <f t="shared" si="19"/>
        <v>1</v>
      </c>
      <c r="R36" s="716">
        <f t="shared" ca="1" si="20"/>
        <v>21748</v>
      </c>
      <c r="S36" s="361">
        <f t="shared" ca="1" si="11"/>
        <v>238</v>
      </c>
      <c r="U36" s="795">
        <f ca="1">U34/U35</f>
        <v>2.2304269102721679</v>
      </c>
    </row>
    <row r="37" spans="1:21">
      <c r="A37" s="718" t="str">
        <f>Sheet1!C15</f>
        <v>昌平区能源东路1号院1号楼4层3单元414</v>
      </c>
      <c r="B37" s="718">
        <f>Sheet1!D15</f>
        <v>264.01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3325" t="s">
        <v>3332</v>
      </c>
      <c r="Q37" s="24">
        <f t="shared" si="19"/>
        <v>1</v>
      </c>
      <c r="R37" s="716">
        <f t="shared" ca="1" si="20"/>
        <v>21748</v>
      </c>
      <c r="S37" s="361">
        <f t="shared" ca="1" si="11"/>
        <v>574</v>
      </c>
    </row>
    <row r="38" spans="1:21">
      <c r="A38" s="718" t="str">
        <f>Sheet1!C16</f>
        <v>昌平区能源东路1号院1号楼5层3单元501</v>
      </c>
      <c r="B38" s="718">
        <f>Sheet1!D16</f>
        <v>163.13999999999999</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3325" t="s">
        <v>3332</v>
      </c>
      <c r="Q38" s="24">
        <f t="shared" si="19"/>
        <v>1</v>
      </c>
      <c r="R38" s="716">
        <f t="shared" ca="1" si="20"/>
        <v>21748</v>
      </c>
      <c r="S38" s="361">
        <f t="shared" ca="1" si="11"/>
        <v>355</v>
      </c>
    </row>
    <row r="39" spans="1:21">
      <c r="A39" s="718" t="str">
        <f>Sheet1!C17</f>
        <v>昌平区能源东路1号院1号楼5层3单元502</v>
      </c>
      <c r="B39" s="718">
        <f>Sheet1!D17</f>
        <v>116.85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3325" t="s">
        <v>3332</v>
      </c>
      <c r="Q39" s="24">
        <f t="shared" si="19"/>
        <v>1</v>
      </c>
      <c r="R39" s="716">
        <f t="shared" ca="1" si="20"/>
        <v>21748</v>
      </c>
      <c r="S39" s="361">
        <f t="shared" ca="1" si="11"/>
        <v>254</v>
      </c>
    </row>
    <row r="40" spans="1:21">
      <c r="A40" s="718" t="str">
        <f>Sheet1!C18</f>
        <v>昌平区能源东路1号院1号楼5层3单元503</v>
      </c>
      <c r="B40" s="718">
        <f>Sheet1!D18</f>
        <v>116.39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3325" t="s">
        <v>3332</v>
      </c>
      <c r="Q40" s="24">
        <f t="shared" si="19"/>
        <v>1</v>
      </c>
      <c r="R40" s="716">
        <f t="shared" ca="1" si="20"/>
        <v>21748</v>
      </c>
      <c r="S40" s="361">
        <f t="shared" ca="1" si="11"/>
        <v>253</v>
      </c>
    </row>
    <row r="41" spans="1:21">
      <c r="A41" s="718" t="str">
        <f>Sheet1!C19</f>
        <v>昌平区能源东路1号院1号楼5层3单元504</v>
      </c>
      <c r="B41" s="718">
        <f>Sheet1!D19</f>
        <v>119.69</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3325" t="s">
        <v>3332</v>
      </c>
      <c r="Q41" s="24">
        <f t="shared" si="19"/>
        <v>1</v>
      </c>
      <c r="R41" s="716">
        <f t="shared" ca="1" si="20"/>
        <v>21748</v>
      </c>
      <c r="S41" s="361">
        <f t="shared" ca="1" si="11"/>
        <v>260</v>
      </c>
    </row>
    <row r="42" spans="1:21">
      <c r="A42" s="718" t="str">
        <f>Sheet1!C20</f>
        <v>昌平区能源东路1号院1号楼5层3单元505</v>
      </c>
      <c r="B42" s="718">
        <f>Sheet1!D20</f>
        <v>116.8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3325" t="s">
        <v>3332</v>
      </c>
      <c r="Q42" s="24">
        <f t="shared" si="19"/>
        <v>1</v>
      </c>
      <c r="R42" s="716">
        <f t="shared" ca="1" si="20"/>
        <v>21748</v>
      </c>
      <c r="S42" s="361">
        <f t="shared" ca="1" si="11"/>
        <v>254</v>
      </c>
    </row>
    <row r="43" spans="1:21">
      <c r="A43" s="718" t="str">
        <f>Sheet1!C21</f>
        <v>昌平区能源东路1号院1号楼5层3单元506</v>
      </c>
      <c r="B43" s="718">
        <f>Sheet1!D21</f>
        <v>160.81</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3325" t="s">
        <v>3332</v>
      </c>
      <c r="Q43" s="24">
        <f t="shared" si="19"/>
        <v>1</v>
      </c>
      <c r="R43" s="716">
        <f t="shared" ca="1" si="20"/>
        <v>21748</v>
      </c>
      <c r="S43" s="361">
        <f t="shared" ca="1" si="11"/>
        <v>350</v>
      </c>
    </row>
    <row r="44" spans="1:21">
      <c r="A44" s="718" t="str">
        <f>Sheet1!C22</f>
        <v>昌平区能源东路1号院1号楼5层3单元507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3325" t="s">
        <v>3332</v>
      </c>
      <c r="Q44" s="24">
        <f t="shared" si="19"/>
        <v>1</v>
      </c>
      <c r="R44" s="716">
        <f t="shared" ca="1" si="20"/>
        <v>21748</v>
      </c>
      <c r="S44" s="361">
        <f t="shared" ca="1" si="11"/>
        <v>521</v>
      </c>
    </row>
    <row r="45" spans="1:21">
      <c r="A45" s="718" t="str">
        <f>Sheet1!C23</f>
        <v>昌平区能源东路1号院1号楼5层3单元508</v>
      </c>
      <c r="B45" s="718">
        <f>Sheet1!D23</f>
        <v>160.66</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3325" t="s">
        <v>3332</v>
      </c>
      <c r="Q45" s="24">
        <f t="shared" si="19"/>
        <v>1</v>
      </c>
      <c r="R45" s="716">
        <f t="shared" ca="1" si="20"/>
        <v>21748</v>
      </c>
      <c r="S45" s="361">
        <f t="shared" ca="1" si="11"/>
        <v>349</v>
      </c>
    </row>
    <row r="46" spans="1:21">
      <c r="A46" s="718" t="str">
        <f>Sheet1!C24</f>
        <v>昌平区能源东路1号院1号楼5层3单元509</v>
      </c>
      <c r="B46" s="718">
        <f>Sheet1!D24</f>
        <v>119.57</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3325" t="s">
        <v>3332</v>
      </c>
      <c r="Q46" s="24">
        <f t="shared" si="19"/>
        <v>1</v>
      </c>
      <c r="R46" s="716">
        <f t="shared" ca="1" si="20"/>
        <v>21748</v>
      </c>
      <c r="S46" s="361">
        <f t="shared" ca="1" si="11"/>
        <v>260</v>
      </c>
    </row>
    <row r="47" spans="1:21">
      <c r="A47" s="718" t="str">
        <f>Sheet1!C25</f>
        <v>昌平区能源东路1号院1号楼5层3单元510</v>
      </c>
      <c r="B47" s="718">
        <f>Sheet1!D25</f>
        <v>109.59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3325" t="s">
        <v>3332</v>
      </c>
      <c r="Q47" s="24">
        <f t="shared" si="19"/>
        <v>1</v>
      </c>
      <c r="R47" s="716">
        <f t="shared" ca="1" si="20"/>
        <v>21748</v>
      </c>
      <c r="S47" s="361">
        <f t="shared" ca="1" si="11"/>
        <v>238</v>
      </c>
    </row>
    <row r="48" spans="1:21">
      <c r="A48" s="718" t="str">
        <f>Sheet1!C26</f>
        <v>昌平区能源东路1号院1号楼5层3单元511</v>
      </c>
      <c r="B48" s="718">
        <f>Sheet1!D26</f>
        <v>118.98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3325" t="s">
        <v>3332</v>
      </c>
      <c r="Q48" s="24">
        <f t="shared" si="19"/>
        <v>1</v>
      </c>
      <c r="R48" s="716">
        <f t="shared" ca="1" si="20"/>
        <v>21748</v>
      </c>
      <c r="S48" s="361">
        <f t="shared" ca="1" si="11"/>
        <v>259</v>
      </c>
    </row>
    <row r="49" spans="1:19">
      <c r="A49" s="718" t="str">
        <f>Sheet1!C27</f>
        <v>昌平区能源东路1号院1号楼5层3单元512</v>
      </c>
      <c r="B49" s="718">
        <f>Sheet1!D27</f>
        <v>117.41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3325" t="s">
        <v>3332</v>
      </c>
      <c r="Q49" s="24">
        <f t="shared" si="19"/>
        <v>1</v>
      </c>
      <c r="R49" s="716">
        <f t="shared" ca="1" si="20"/>
        <v>21748</v>
      </c>
      <c r="S49" s="361">
        <f t="shared" ca="1" si="11"/>
        <v>255</v>
      </c>
    </row>
    <row r="50" spans="1:19">
      <c r="A50" s="718" t="str">
        <f>Sheet1!C28</f>
        <v>昌平区能源东路1号院1号楼5层3单元513</v>
      </c>
      <c r="B50" s="718">
        <f>Sheet1!D28</f>
        <v>164.46</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3325" t="s">
        <v>3332</v>
      </c>
      <c r="Q50" s="24">
        <f t="shared" si="19"/>
        <v>1</v>
      </c>
      <c r="R50" s="716">
        <f t="shared" ca="1" si="20"/>
        <v>21748</v>
      </c>
      <c r="S50" s="361">
        <f t="shared" ca="1" si="11"/>
        <v>358</v>
      </c>
    </row>
    <row r="51" spans="1:19">
      <c r="A51" s="718" t="str">
        <f>Sheet1!C29</f>
        <v>昌平区能源东路1号院1号楼5层3单元514</v>
      </c>
      <c r="B51" s="718">
        <f>Sheet1!D29</f>
        <v>238.94</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3325" t="s">
        <v>3332</v>
      </c>
      <c r="Q51" s="24">
        <f t="shared" si="19"/>
        <v>1</v>
      </c>
      <c r="R51" s="716">
        <f t="shared" ca="1" si="20"/>
        <v>21748</v>
      </c>
      <c r="S51" s="361">
        <f t="shared" ca="1" si="11"/>
        <v>520</v>
      </c>
    </row>
    <row r="52" spans="1:19">
      <c r="A52" s="718" t="str">
        <f>Sheet1!C30</f>
        <v>昌平区能源东路1号院1号楼6层3单元601</v>
      </c>
      <c r="B52" s="718">
        <f>Sheet1!D30</f>
        <v>163.63</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3325" t="s">
        <v>3332</v>
      </c>
      <c r="Q52" s="24">
        <f t="shared" si="19"/>
        <v>1</v>
      </c>
      <c r="R52" s="716">
        <f t="shared" ca="1" si="20"/>
        <v>21748</v>
      </c>
      <c r="S52" s="361">
        <f t="shared" ca="1" si="11"/>
        <v>356</v>
      </c>
    </row>
    <row r="53" spans="1:19">
      <c r="A53" s="718" t="str">
        <f>Sheet1!C31</f>
        <v>昌平区能源东路1号院1号楼6层3单元602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3325" t="s">
        <v>3332</v>
      </c>
      <c r="Q53" s="24">
        <f t="shared" si="19"/>
        <v>1</v>
      </c>
      <c r="R53" s="716">
        <f t="shared" ca="1" si="20"/>
        <v>21748</v>
      </c>
      <c r="S53" s="361">
        <f t="shared" ca="1" si="11"/>
        <v>254</v>
      </c>
    </row>
    <row r="54" spans="1:19">
      <c r="A54" s="718" t="str">
        <f>Sheet1!C32</f>
        <v>昌平区能源东路1号院1号楼6层3单元603</v>
      </c>
      <c r="B54" s="718">
        <f>Sheet1!D32</f>
        <v>118.49</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3325" t="s">
        <v>3332</v>
      </c>
      <c r="Q54" s="24">
        <f t="shared" si="19"/>
        <v>1</v>
      </c>
      <c r="R54" s="716">
        <f t="shared" ca="1" si="20"/>
        <v>21748</v>
      </c>
      <c r="S54" s="361">
        <f t="shared" ca="1" si="11"/>
        <v>258</v>
      </c>
    </row>
    <row r="55" spans="1:19">
      <c r="A55" s="718" t="str">
        <f>Sheet1!C33</f>
        <v>昌平区能源东路1号院1号楼6层3单元604</v>
      </c>
      <c r="B55" s="718">
        <f>Sheet1!D33</f>
        <v>117.45</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3325" t="s">
        <v>3332</v>
      </c>
      <c r="Q55" s="24">
        <f t="shared" si="19"/>
        <v>1</v>
      </c>
      <c r="R55" s="716">
        <f t="shared" ca="1" si="20"/>
        <v>21748</v>
      </c>
      <c r="S55" s="361">
        <f t="shared" ref="S55:S77" ca="1" si="21">ROUND(R55*B55/10000,0)</f>
        <v>255</v>
      </c>
    </row>
    <row r="56" spans="1:19">
      <c r="A56" s="718" t="str">
        <f>Sheet1!C34</f>
        <v>昌平区能源东路1号院1号楼6层3单元605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3325" t="s">
        <v>3332</v>
      </c>
      <c r="Q56" s="24">
        <f t="shared" si="19"/>
        <v>1</v>
      </c>
      <c r="R56" s="716">
        <f t="shared" ca="1" si="20"/>
        <v>21748</v>
      </c>
      <c r="S56" s="361">
        <f t="shared" ca="1" si="21"/>
        <v>254</v>
      </c>
    </row>
    <row r="57" spans="1:19">
      <c r="A57" s="718" t="str">
        <f>Sheet1!C35</f>
        <v>昌平区能源东路1号院1号楼6层3单元606</v>
      </c>
      <c r="B57" s="718">
        <f>Sheet1!D35</f>
        <v>163.51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3325" t="s">
        <v>3332</v>
      </c>
      <c r="Q57" s="24">
        <f t="shared" si="19"/>
        <v>1</v>
      </c>
      <c r="R57" s="716">
        <f t="shared" ca="1" si="20"/>
        <v>21748</v>
      </c>
      <c r="S57" s="361">
        <f t="shared" ca="1" si="21"/>
        <v>356</v>
      </c>
    </row>
    <row r="58" spans="1:19">
      <c r="A58" s="718" t="str">
        <f>Sheet1!C36</f>
        <v>昌平区能源东路1号院1号楼6层3单元607</v>
      </c>
      <c r="B58" s="718">
        <f>Sheet1!D36</f>
        <v>238.77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3325" t="s">
        <v>3332</v>
      </c>
      <c r="Q58" s="24">
        <f t="shared" si="19"/>
        <v>1</v>
      </c>
      <c r="R58" s="716">
        <f t="shared" ca="1" si="20"/>
        <v>21748</v>
      </c>
      <c r="S58" s="361">
        <f t="shared" ca="1" si="21"/>
        <v>519</v>
      </c>
    </row>
    <row r="59" spans="1:19">
      <c r="A59" s="718" t="str">
        <f>Sheet1!C37</f>
        <v>昌平区能源东路1号院1号楼6层3单元608</v>
      </c>
      <c r="B59" s="718">
        <f>Sheet1!D37</f>
        <v>160.83000000000001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3325" t="s">
        <v>3332</v>
      </c>
      <c r="Q59" s="24">
        <f t="shared" si="19"/>
        <v>1</v>
      </c>
      <c r="R59" s="716">
        <f t="shared" ca="1" si="20"/>
        <v>21748</v>
      </c>
      <c r="S59" s="361">
        <f t="shared" ca="1" si="21"/>
        <v>350</v>
      </c>
    </row>
    <row r="60" spans="1:19">
      <c r="A60" s="718" t="str">
        <f>Sheet1!C38</f>
        <v>昌平区能源东路1号院1号楼6层3单元609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3325" t="s">
        <v>3332</v>
      </c>
      <c r="Q60" s="24">
        <f t="shared" si="19"/>
        <v>1</v>
      </c>
      <c r="R60" s="716">
        <f t="shared" ca="1" si="20"/>
        <v>21748</v>
      </c>
      <c r="S60" s="361">
        <f t="shared" ca="1" si="21"/>
        <v>254</v>
      </c>
    </row>
    <row r="61" spans="1:19">
      <c r="A61" s="718" t="str">
        <f>Sheet1!C39</f>
        <v>昌平区能源东路1号院1号楼6层3单元610</v>
      </c>
      <c r="B61" s="718">
        <f>Sheet1!D39</f>
        <v>110.64</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3325" t="s">
        <v>3332</v>
      </c>
      <c r="Q61" s="24">
        <f t="shared" si="19"/>
        <v>1</v>
      </c>
      <c r="R61" s="716">
        <f t="shared" ca="1" si="20"/>
        <v>21748</v>
      </c>
      <c r="S61" s="361">
        <f t="shared" ca="1" si="21"/>
        <v>241</v>
      </c>
    </row>
    <row r="62" spans="1:19">
      <c r="A62" s="718" t="str">
        <f>Sheet1!C40</f>
        <v>昌平区能源东路1号院1号楼6层3单元611</v>
      </c>
      <c r="B62" s="718">
        <f>Sheet1!D40</f>
        <v>117.45</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3325" t="s">
        <v>3332</v>
      </c>
      <c r="Q62" s="24">
        <f t="shared" si="19"/>
        <v>1</v>
      </c>
      <c r="R62" s="716">
        <f t="shared" ca="1" si="20"/>
        <v>21748</v>
      </c>
      <c r="S62" s="361">
        <f t="shared" ca="1" si="21"/>
        <v>255</v>
      </c>
    </row>
    <row r="63" spans="1:19">
      <c r="A63" s="718" t="str">
        <f>Sheet1!C41</f>
        <v>昌平区能源东路1号院1号楼6层3单元612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3325" t="s">
        <v>3332</v>
      </c>
      <c r="Q63" s="24">
        <f t="shared" si="19"/>
        <v>1</v>
      </c>
      <c r="R63" s="716">
        <f t="shared" ca="1" si="20"/>
        <v>21748</v>
      </c>
      <c r="S63" s="361">
        <f t="shared" ca="1" si="21"/>
        <v>254</v>
      </c>
    </row>
    <row r="64" spans="1:19">
      <c r="A64" s="718" t="str">
        <f>Sheet1!C42</f>
        <v>昌平区能源东路1号院1号楼6层3单元613</v>
      </c>
      <c r="B64" s="718">
        <f>Sheet1!D42</f>
        <v>163.87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3325" t="s">
        <v>3332</v>
      </c>
      <c r="Q64" s="24">
        <f t="shared" si="19"/>
        <v>1</v>
      </c>
      <c r="R64" s="716">
        <f t="shared" ca="1" si="20"/>
        <v>21748</v>
      </c>
      <c r="S64" s="361">
        <f t="shared" ca="1" si="21"/>
        <v>356</v>
      </c>
    </row>
    <row r="65" spans="1:19">
      <c r="A65" s="718" t="str">
        <f>Sheet1!C43</f>
        <v>昌平区能源东路1号院1号楼6层3单元614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3325" t="s">
        <v>3332</v>
      </c>
      <c r="Q65" s="24">
        <f t="shared" si="19"/>
        <v>1</v>
      </c>
      <c r="R65" s="716">
        <f t="shared" ca="1" si="20"/>
        <v>21748</v>
      </c>
      <c r="S65" s="361">
        <f t="shared" ca="1" si="21"/>
        <v>518</v>
      </c>
    </row>
    <row r="66" spans="1:19">
      <c r="A66" s="718" t="str">
        <f>Sheet1!C44</f>
        <v>昌平区能源东路1号院1号楼7层3单元701</v>
      </c>
      <c r="B66" s="718">
        <f>Sheet1!D44</f>
        <v>163.13999999999999</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3325" t="s">
        <v>3332</v>
      </c>
      <c r="Q66" s="24">
        <f t="shared" si="19"/>
        <v>1</v>
      </c>
      <c r="R66" s="716">
        <f t="shared" ca="1" si="20"/>
        <v>21748</v>
      </c>
      <c r="S66" s="361">
        <f t="shared" ca="1" si="21"/>
        <v>355</v>
      </c>
    </row>
    <row r="67" spans="1:19">
      <c r="A67" s="718" t="str">
        <f>Sheet1!C45</f>
        <v>昌平区能源东路1号院1号楼7层3单元702</v>
      </c>
      <c r="B67" s="718">
        <f>Sheet1!D45</f>
        <v>116.85</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3325" t="s">
        <v>3332</v>
      </c>
      <c r="Q67" s="24">
        <f t="shared" si="19"/>
        <v>1</v>
      </c>
      <c r="R67" s="716">
        <f t="shared" ca="1" si="20"/>
        <v>21748</v>
      </c>
      <c r="S67" s="361">
        <f t="shared" ca="1" si="21"/>
        <v>254</v>
      </c>
    </row>
    <row r="68" spans="1:19">
      <c r="A68" s="718" t="str">
        <f>Sheet1!C46</f>
        <v>昌平区能源东路1号院1号楼7层3单元703</v>
      </c>
      <c r="B68" s="718">
        <f>Sheet1!D46</f>
        <v>116.39</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3325" t="s">
        <v>3332</v>
      </c>
      <c r="Q68" s="24">
        <f t="shared" si="19"/>
        <v>1</v>
      </c>
      <c r="R68" s="716">
        <f t="shared" ca="1" si="20"/>
        <v>21748</v>
      </c>
      <c r="S68" s="361">
        <f t="shared" ca="1" si="21"/>
        <v>253</v>
      </c>
    </row>
    <row r="69" spans="1:19">
      <c r="A69" s="718" t="str">
        <f>Sheet1!C47</f>
        <v>昌平区能源东路1号院1号楼7层3单元704</v>
      </c>
      <c r="B69" s="718">
        <f>Sheet1!D47</f>
        <v>119.69</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3325" t="s">
        <v>3332</v>
      </c>
      <c r="Q69" s="24">
        <f t="shared" si="19"/>
        <v>1</v>
      </c>
      <c r="R69" s="716">
        <f t="shared" ca="1" si="20"/>
        <v>21748</v>
      </c>
      <c r="S69" s="361">
        <f t="shared" ca="1" si="21"/>
        <v>260</v>
      </c>
    </row>
    <row r="70" spans="1:19">
      <c r="A70" s="718" t="str">
        <f>Sheet1!C48</f>
        <v>昌平区能源东路1号院1号楼7层3单元705</v>
      </c>
      <c r="B70" s="718">
        <f>Sheet1!D48</f>
        <v>116.8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3325" t="s">
        <v>3332</v>
      </c>
      <c r="Q70" s="24">
        <f t="shared" si="19"/>
        <v>1</v>
      </c>
      <c r="R70" s="716">
        <f t="shared" ca="1" si="20"/>
        <v>21748</v>
      </c>
      <c r="S70" s="361">
        <f t="shared" ca="1" si="21"/>
        <v>254</v>
      </c>
    </row>
    <row r="71" spans="1:19">
      <c r="A71" s="718" t="str">
        <f>Sheet1!C49</f>
        <v>昌平区能源东路1号院1号楼7层3单元706</v>
      </c>
      <c r="B71" s="718">
        <f>Sheet1!D49</f>
        <v>160.81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3325" t="s">
        <v>3332</v>
      </c>
      <c r="Q71" s="24">
        <f t="shared" si="19"/>
        <v>1</v>
      </c>
      <c r="R71" s="716">
        <f t="shared" ca="1" si="20"/>
        <v>21748</v>
      </c>
      <c r="S71" s="361">
        <f t="shared" ca="1" si="21"/>
        <v>350</v>
      </c>
    </row>
    <row r="72" spans="1:19">
      <c r="A72" s="718" t="str">
        <f>Sheet1!C50</f>
        <v>昌平区能源东路1号院1号楼7层3单元707</v>
      </c>
      <c r="B72" s="718">
        <f>Sheet1!D50</f>
        <v>238.77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3325" t="s">
        <v>3332</v>
      </c>
      <c r="Q72" s="24">
        <f t="shared" si="19"/>
        <v>1</v>
      </c>
      <c r="R72" s="716">
        <f t="shared" ca="1" si="20"/>
        <v>21748</v>
      </c>
      <c r="S72" s="361">
        <f t="shared" ca="1" si="21"/>
        <v>519</v>
      </c>
    </row>
    <row r="73" spans="1:19">
      <c r="A73" s="718" t="str">
        <f>Sheet1!C51</f>
        <v>昌平区能源东路1号院1号楼7层3单元708</v>
      </c>
      <c r="B73" s="718">
        <f>Sheet1!D51</f>
        <v>160.66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3325" t="s">
        <v>3332</v>
      </c>
      <c r="Q73" s="24">
        <f t="shared" si="19"/>
        <v>1</v>
      </c>
      <c r="R73" s="716">
        <f t="shared" ca="1" si="20"/>
        <v>21748</v>
      </c>
      <c r="S73" s="361">
        <f t="shared" ca="1" si="21"/>
        <v>349</v>
      </c>
    </row>
    <row r="74" spans="1:19">
      <c r="A74" s="718" t="str">
        <f>Sheet1!C52</f>
        <v>昌平区能源东路1号院1号楼7层3单元709</v>
      </c>
      <c r="B74" s="718">
        <f>Sheet1!D52</f>
        <v>119.57</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3325" t="s">
        <v>3332</v>
      </c>
      <c r="Q74" s="24">
        <f t="shared" si="19"/>
        <v>1</v>
      </c>
      <c r="R74" s="716">
        <f t="shared" ca="1" si="20"/>
        <v>21748</v>
      </c>
      <c r="S74" s="361">
        <f t="shared" ca="1" si="21"/>
        <v>260</v>
      </c>
    </row>
    <row r="75" spans="1:19">
      <c r="A75" s="718" t="str">
        <f>Sheet1!C53</f>
        <v>昌平区能源东路1号院1号楼7层3单元710</v>
      </c>
      <c r="B75" s="718">
        <f>Sheet1!D53</f>
        <v>109.59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3325" t="s">
        <v>3332</v>
      </c>
      <c r="Q75" s="24">
        <f t="shared" si="19"/>
        <v>1</v>
      </c>
      <c r="R75" s="716">
        <f t="shared" ca="1" si="20"/>
        <v>21748</v>
      </c>
      <c r="S75" s="361">
        <f t="shared" ca="1" si="21"/>
        <v>238</v>
      </c>
    </row>
    <row r="76" spans="1:19">
      <c r="A76" s="718" t="str">
        <f>Sheet1!C54</f>
        <v>昌平区能源东路1号院1号楼7层3单元711</v>
      </c>
      <c r="B76" s="718">
        <f>Sheet1!D54</f>
        <v>118.98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3325" t="s">
        <v>3332</v>
      </c>
      <c r="Q76" s="24">
        <f t="shared" si="19"/>
        <v>1</v>
      </c>
      <c r="R76" s="716">
        <f t="shared" ca="1" si="20"/>
        <v>21748</v>
      </c>
      <c r="S76" s="361">
        <f t="shared" ca="1" si="21"/>
        <v>259</v>
      </c>
    </row>
    <row r="77" spans="1:19">
      <c r="A77" s="718" t="str">
        <f>Sheet1!C55</f>
        <v>昌平区能源东路1号院1号楼7层3单元712</v>
      </c>
      <c r="B77" s="718">
        <f>Sheet1!D55</f>
        <v>117.41</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3325" t="s">
        <v>3332</v>
      </c>
      <c r="Q77" s="24">
        <f t="shared" si="19"/>
        <v>1</v>
      </c>
      <c r="R77" s="716">
        <f t="shared" ca="1" si="20"/>
        <v>21748</v>
      </c>
      <c r="S77" s="361">
        <f t="shared" ca="1" si="21"/>
        <v>255</v>
      </c>
    </row>
    <row r="78" spans="1:19">
      <c r="A78" s="718" t="str">
        <f>Sheet1!C56</f>
        <v>昌平区能源东路1号院1号楼7层3单元713</v>
      </c>
      <c r="B78" s="718">
        <f>Sheet1!D56</f>
        <v>164.46</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3325" t="s">
        <v>3332</v>
      </c>
      <c r="Q78" s="24">
        <f t="shared" si="19"/>
        <v>1</v>
      </c>
      <c r="R78" s="716">
        <f t="shared" ca="1" si="20"/>
        <v>21748</v>
      </c>
      <c r="S78" s="361">
        <f t="shared" ref="S78:S122" ca="1" si="22">ROUND(R78*B78/10000,0)</f>
        <v>358</v>
      </c>
    </row>
    <row r="79" spans="1:19">
      <c r="A79" s="718" t="str">
        <f>Sheet1!C57</f>
        <v>昌平区能源东路1号院1号楼7层3单元714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3325" t="s">
        <v>3332</v>
      </c>
      <c r="Q79" s="24">
        <f t="shared" si="19"/>
        <v>1</v>
      </c>
      <c r="R79" s="716">
        <f t="shared" ca="1" si="20"/>
        <v>21748</v>
      </c>
      <c r="S79" s="361">
        <f t="shared" ca="1" si="22"/>
        <v>518</v>
      </c>
    </row>
    <row r="80" spans="1:19">
      <c r="A80" s="718" t="str">
        <f>Sheet1!C58</f>
        <v>昌平区能源东路1号院1号楼8层3单元801</v>
      </c>
      <c r="B80" s="718">
        <f>Sheet1!D58</f>
        <v>163.63</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3325" t="s">
        <v>3329</v>
      </c>
      <c r="Q80" s="24">
        <f t="shared" si="19"/>
        <v>1.05</v>
      </c>
      <c r="R80" s="716">
        <f t="shared" ca="1" si="20"/>
        <v>22835</v>
      </c>
      <c r="S80" s="361">
        <f t="shared" ca="1" si="22"/>
        <v>374</v>
      </c>
    </row>
    <row r="81" spans="1:19">
      <c r="A81" s="718" t="str">
        <f>Sheet1!C59</f>
        <v>昌平区能源东路1号院1号楼8层3单元802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3325" t="s">
        <v>3329</v>
      </c>
      <c r="Q81" s="24">
        <f t="shared" si="19"/>
        <v>1.05</v>
      </c>
      <c r="R81" s="716">
        <f t="shared" ca="1" si="20"/>
        <v>22835</v>
      </c>
      <c r="S81" s="361">
        <f t="shared" ca="1" si="22"/>
        <v>267</v>
      </c>
    </row>
    <row r="82" spans="1:19">
      <c r="A82" s="718" t="str">
        <f>Sheet1!C60</f>
        <v>昌平区能源东路1号院1号楼8层3单元803</v>
      </c>
      <c r="B82" s="718">
        <f>Sheet1!D60</f>
        <v>118.49</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3325" t="s">
        <v>3329</v>
      </c>
      <c r="Q82" s="24">
        <f t="shared" si="19"/>
        <v>1.05</v>
      </c>
      <c r="R82" s="716">
        <f t="shared" ca="1" si="20"/>
        <v>22835</v>
      </c>
      <c r="S82" s="361">
        <f t="shared" ca="1" si="22"/>
        <v>271</v>
      </c>
    </row>
    <row r="83" spans="1:19">
      <c r="A83" s="718" t="str">
        <f>Sheet1!C61</f>
        <v>昌平区能源东路1号院1号楼8层3单元804</v>
      </c>
      <c r="B83" s="718">
        <f>Sheet1!D61</f>
        <v>117.45</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3325" t="s">
        <v>3329</v>
      </c>
      <c r="Q83" s="24">
        <f t="shared" si="19"/>
        <v>1.05</v>
      </c>
      <c r="R83" s="716">
        <f t="shared" ca="1" si="20"/>
        <v>22835</v>
      </c>
      <c r="S83" s="361">
        <f t="shared" ca="1" si="22"/>
        <v>268</v>
      </c>
    </row>
    <row r="84" spans="1:19">
      <c r="A84" s="718" t="str">
        <f>Sheet1!C62</f>
        <v>昌平区能源东路1号院1号楼8层3单元805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3325" t="s">
        <v>3329</v>
      </c>
      <c r="Q84" s="24">
        <f t="shared" si="19"/>
        <v>1.05</v>
      </c>
      <c r="R84" s="716">
        <f t="shared" ca="1" si="20"/>
        <v>22835</v>
      </c>
      <c r="S84" s="361">
        <f t="shared" ca="1" si="22"/>
        <v>267</v>
      </c>
    </row>
    <row r="85" spans="1:19">
      <c r="A85" s="718" t="str">
        <f>Sheet1!C63</f>
        <v>昌平区能源东路1号院1号楼8层3单元806</v>
      </c>
      <c r="B85" s="718">
        <f>Sheet1!D63</f>
        <v>163.51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3325" t="s">
        <v>3329</v>
      </c>
      <c r="Q85" s="24">
        <f t="shared" si="19"/>
        <v>1.05</v>
      </c>
      <c r="R85" s="716">
        <f t="shared" ca="1" si="20"/>
        <v>22835</v>
      </c>
      <c r="S85" s="361">
        <f t="shared" ca="1" si="22"/>
        <v>373</v>
      </c>
    </row>
    <row r="86" spans="1:19">
      <c r="A86" s="718" t="str">
        <f>Sheet1!C64</f>
        <v>昌平区能源东路1号院1号楼8层3单元807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3325" t="s">
        <v>3329</v>
      </c>
      <c r="Q86" s="24">
        <f t="shared" si="19"/>
        <v>1.05</v>
      </c>
      <c r="R86" s="716">
        <f t="shared" ca="1" si="20"/>
        <v>22835</v>
      </c>
      <c r="S86" s="361">
        <f t="shared" ca="1" si="22"/>
        <v>543</v>
      </c>
    </row>
    <row r="87" spans="1:19">
      <c r="A87" s="718" t="str">
        <f>Sheet1!C65</f>
        <v>昌平区能源东路1号院1号楼8层3单元808</v>
      </c>
      <c r="B87" s="718">
        <f>Sheet1!D65</f>
        <v>160.83000000000001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3325" t="s">
        <v>3329</v>
      </c>
      <c r="Q87" s="24">
        <f t="shared" si="19"/>
        <v>1.05</v>
      </c>
      <c r="R87" s="716">
        <f t="shared" ca="1" si="20"/>
        <v>22835</v>
      </c>
      <c r="S87" s="361">
        <f t="shared" ca="1" si="22"/>
        <v>367</v>
      </c>
    </row>
    <row r="88" spans="1:19">
      <c r="A88" s="718" t="str">
        <f>Sheet1!C66</f>
        <v>昌平区能源东路1号院1号楼8层3单元809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3325" t="s">
        <v>3329</v>
      </c>
      <c r="Q88" s="24">
        <f t="shared" si="19"/>
        <v>1.05</v>
      </c>
      <c r="R88" s="716">
        <f t="shared" ca="1" si="20"/>
        <v>22835</v>
      </c>
      <c r="S88" s="361">
        <f t="shared" ca="1" si="22"/>
        <v>267</v>
      </c>
    </row>
    <row r="89" spans="1:19">
      <c r="A89" s="718" t="str">
        <f>Sheet1!C67</f>
        <v>昌平区能源东路1号院1号楼8层3单元810</v>
      </c>
      <c r="B89" s="718">
        <f>Sheet1!D67</f>
        <v>110.64</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3325" t="s">
        <v>3329</v>
      </c>
      <c r="Q89" s="24">
        <f t="shared" si="19"/>
        <v>1.05</v>
      </c>
      <c r="R89" s="716">
        <f t="shared" ca="1" si="20"/>
        <v>22835</v>
      </c>
      <c r="S89" s="361">
        <f t="shared" ca="1" si="22"/>
        <v>253</v>
      </c>
    </row>
    <row r="90" spans="1:19">
      <c r="A90" s="718" t="str">
        <f>Sheet1!C68</f>
        <v>昌平区能源东路1号院1号楼8层3单元811</v>
      </c>
      <c r="B90" s="718">
        <f>Sheet1!D68</f>
        <v>117.45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3325" t="s">
        <v>3329</v>
      </c>
      <c r="Q90" s="24">
        <f t="shared" ref="Q90:Q153" si="30">(SUMIF($17:$17,P90,$18:$18)-SUMIF($17:$17,$P$24,$18:$18)+100)/100</f>
        <v>1.05</v>
      </c>
      <c r="R90" s="716">
        <f t="shared" ref="R90:R153" ca="1" si="31">IF(B90="",0,ROUND($R$24*C90*E90*G90*I90*K90*M90*O90*Q90,0))</f>
        <v>22835</v>
      </c>
      <c r="S90" s="361">
        <f t="shared" ca="1" si="22"/>
        <v>268</v>
      </c>
    </row>
    <row r="91" spans="1:19">
      <c r="A91" s="718" t="str">
        <f>Sheet1!C69</f>
        <v>昌平区能源东路1号院1号楼8层3单元812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3325" t="s">
        <v>3329</v>
      </c>
      <c r="Q91" s="24">
        <f t="shared" si="30"/>
        <v>1.05</v>
      </c>
      <c r="R91" s="716">
        <f t="shared" ca="1" si="31"/>
        <v>22835</v>
      </c>
      <c r="S91" s="361">
        <f t="shared" ca="1" si="22"/>
        <v>267</v>
      </c>
    </row>
    <row r="92" spans="1:19">
      <c r="A92" s="718" t="str">
        <f>Sheet1!C70</f>
        <v>昌平区能源东路1号院1号楼8层3单元813</v>
      </c>
      <c r="B92" s="718">
        <f>Sheet1!D70</f>
        <v>163.87</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3325" t="s">
        <v>3329</v>
      </c>
      <c r="Q92" s="24">
        <f t="shared" si="30"/>
        <v>1.05</v>
      </c>
      <c r="R92" s="716">
        <f t="shared" ca="1" si="31"/>
        <v>22835</v>
      </c>
      <c r="S92" s="361">
        <f t="shared" ca="1" si="22"/>
        <v>374</v>
      </c>
    </row>
    <row r="93" spans="1:19">
      <c r="A93" s="718" t="str">
        <f>Sheet1!C71</f>
        <v>昌平区能源东路1号院1号楼8层3单元814</v>
      </c>
      <c r="B93" s="718">
        <f>Sheet1!D71</f>
        <v>237.22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3325" t="s">
        <v>3329</v>
      </c>
      <c r="Q93" s="24">
        <f t="shared" si="30"/>
        <v>1.05</v>
      </c>
      <c r="R93" s="716">
        <f t="shared" ca="1" si="31"/>
        <v>22835</v>
      </c>
      <c r="S93" s="361">
        <f t="shared" ca="1" si="22"/>
        <v>542</v>
      </c>
    </row>
    <row r="94" spans="1:19">
      <c r="A94" s="718" t="str">
        <f>Sheet1!C72</f>
        <v>昌平区能源东路1号院1号楼9层3单元901</v>
      </c>
      <c r="B94" s="718">
        <f>Sheet1!D72</f>
        <v>163.13999999999999</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3325" t="s">
        <v>3329</v>
      </c>
      <c r="Q94" s="24">
        <f t="shared" si="30"/>
        <v>1.05</v>
      </c>
      <c r="R94" s="716">
        <f t="shared" ca="1" si="31"/>
        <v>22835</v>
      </c>
      <c r="S94" s="361">
        <f t="shared" ca="1" si="22"/>
        <v>373</v>
      </c>
    </row>
    <row r="95" spans="1:19">
      <c r="A95" s="718" t="str">
        <f>Sheet1!C73</f>
        <v>昌平区能源东路1号院1号楼9层3单元902</v>
      </c>
      <c r="B95" s="718">
        <f>Sheet1!D73</f>
        <v>116.85</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3325" t="s">
        <v>3329</v>
      </c>
      <c r="Q95" s="24">
        <f t="shared" si="30"/>
        <v>1.05</v>
      </c>
      <c r="R95" s="716">
        <f t="shared" ca="1" si="31"/>
        <v>22835</v>
      </c>
      <c r="S95" s="361">
        <f t="shared" ca="1" si="22"/>
        <v>267</v>
      </c>
    </row>
    <row r="96" spans="1:19">
      <c r="A96" s="718" t="str">
        <f>Sheet1!C74</f>
        <v>昌平区能源东路1号院1号楼9层3单元903</v>
      </c>
      <c r="B96" s="718">
        <f>Sheet1!D74</f>
        <v>116.39</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3325" t="s">
        <v>3329</v>
      </c>
      <c r="Q96" s="24">
        <f t="shared" si="30"/>
        <v>1.05</v>
      </c>
      <c r="R96" s="716">
        <f t="shared" ca="1" si="31"/>
        <v>22835</v>
      </c>
      <c r="S96" s="361">
        <f t="shared" ca="1" si="22"/>
        <v>266</v>
      </c>
    </row>
    <row r="97" spans="1:19">
      <c r="A97" s="718" t="str">
        <f>Sheet1!C75</f>
        <v>昌平区能源东路1号院1号楼9层3单元904</v>
      </c>
      <c r="B97" s="718">
        <f>Sheet1!D75</f>
        <v>119.69</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3325" t="s">
        <v>3329</v>
      </c>
      <c r="Q97" s="24">
        <f t="shared" si="30"/>
        <v>1.05</v>
      </c>
      <c r="R97" s="716">
        <f t="shared" ca="1" si="31"/>
        <v>22835</v>
      </c>
      <c r="S97" s="361">
        <f t="shared" ca="1" si="22"/>
        <v>273</v>
      </c>
    </row>
    <row r="98" spans="1:19">
      <c r="A98" s="718" t="str">
        <f>Sheet1!C76</f>
        <v>昌平区能源东路1号院1号楼9层3单元905</v>
      </c>
      <c r="B98" s="718">
        <f>Sheet1!D76</f>
        <v>116.8</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3325" t="s">
        <v>3329</v>
      </c>
      <c r="Q98" s="24">
        <f t="shared" si="30"/>
        <v>1.05</v>
      </c>
      <c r="R98" s="716">
        <f t="shared" ca="1" si="31"/>
        <v>22835</v>
      </c>
      <c r="S98" s="361">
        <f t="shared" ca="1" si="22"/>
        <v>267</v>
      </c>
    </row>
    <row r="99" spans="1:19">
      <c r="A99" s="718" t="str">
        <f>Sheet1!C77</f>
        <v>昌平区能源东路1号院1号楼9层3单元906</v>
      </c>
      <c r="B99" s="718">
        <f>Sheet1!D77</f>
        <v>160.81</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3325" t="s">
        <v>3329</v>
      </c>
      <c r="Q99" s="24">
        <f t="shared" si="30"/>
        <v>1.05</v>
      </c>
      <c r="R99" s="716">
        <f t="shared" ca="1" si="31"/>
        <v>22835</v>
      </c>
      <c r="S99" s="361">
        <f t="shared" ca="1" si="22"/>
        <v>367</v>
      </c>
    </row>
    <row r="100" spans="1:19">
      <c r="A100" s="718" t="str">
        <f>Sheet1!C78</f>
        <v>昌平区能源东路1号院1号楼9层3单元907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3325" t="s">
        <v>3329</v>
      </c>
      <c r="Q100" s="24">
        <f t="shared" si="30"/>
        <v>1.05</v>
      </c>
      <c r="R100" s="716">
        <f t="shared" ca="1" si="31"/>
        <v>22835</v>
      </c>
      <c r="S100" s="361">
        <f t="shared" ca="1" si="22"/>
        <v>543</v>
      </c>
    </row>
    <row r="101" spans="1:19">
      <c r="A101" s="718" t="str">
        <f>Sheet1!C79</f>
        <v>昌平区能源东路1号院1号楼9层3单元908</v>
      </c>
      <c r="B101" s="718">
        <f>Sheet1!D79</f>
        <v>160.66</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3325" t="s">
        <v>3329</v>
      </c>
      <c r="Q101" s="24">
        <f t="shared" si="30"/>
        <v>1.05</v>
      </c>
      <c r="R101" s="716">
        <f t="shared" ca="1" si="31"/>
        <v>22835</v>
      </c>
      <c r="S101" s="361">
        <f t="shared" ca="1" si="22"/>
        <v>367</v>
      </c>
    </row>
    <row r="102" spans="1:19">
      <c r="A102" s="718" t="str">
        <f>Sheet1!C80</f>
        <v>昌平区能源东路1号院1号楼9层3单元909</v>
      </c>
      <c r="B102" s="718">
        <f>Sheet1!D80</f>
        <v>119.57</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3325" t="s">
        <v>3329</v>
      </c>
      <c r="Q102" s="24">
        <f t="shared" si="30"/>
        <v>1.05</v>
      </c>
      <c r="R102" s="716">
        <f t="shared" ca="1" si="31"/>
        <v>22835</v>
      </c>
      <c r="S102" s="361">
        <f t="shared" ca="1" si="22"/>
        <v>273</v>
      </c>
    </row>
    <row r="103" spans="1:19">
      <c r="A103" s="718" t="str">
        <f>Sheet1!C81</f>
        <v>昌平区能源东路1号院1号楼9层3单元910</v>
      </c>
      <c r="B103" s="718">
        <f>Sheet1!D81</f>
        <v>109.59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3325" t="s">
        <v>3329</v>
      </c>
      <c r="Q103" s="24">
        <f t="shared" si="30"/>
        <v>1.05</v>
      </c>
      <c r="R103" s="716">
        <f t="shared" ca="1" si="31"/>
        <v>22835</v>
      </c>
      <c r="S103" s="361">
        <f t="shared" ca="1" si="22"/>
        <v>250</v>
      </c>
    </row>
    <row r="104" spans="1:19">
      <c r="A104" s="718" t="str">
        <f>Sheet1!C82</f>
        <v>昌平区能源东路1号院1号楼9层3单元911</v>
      </c>
      <c r="B104" s="718">
        <f>Sheet1!D82</f>
        <v>118.98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3325" t="s">
        <v>3329</v>
      </c>
      <c r="Q104" s="24">
        <f t="shared" si="30"/>
        <v>1.05</v>
      </c>
      <c r="R104" s="716">
        <f t="shared" ca="1" si="31"/>
        <v>22835</v>
      </c>
      <c r="S104" s="361">
        <f t="shared" ca="1" si="22"/>
        <v>272</v>
      </c>
    </row>
    <row r="105" spans="1:19">
      <c r="A105" s="718" t="str">
        <f>Sheet1!C83</f>
        <v>昌平区能源东路1号院1号楼9层3单元912</v>
      </c>
      <c r="B105" s="718">
        <f>Sheet1!D83</f>
        <v>117.41</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3325" t="s">
        <v>3329</v>
      </c>
      <c r="Q105" s="24">
        <f t="shared" si="30"/>
        <v>1.05</v>
      </c>
      <c r="R105" s="716">
        <f t="shared" ca="1" si="31"/>
        <v>22835</v>
      </c>
      <c r="S105" s="361">
        <f t="shared" ca="1" si="22"/>
        <v>268</v>
      </c>
    </row>
    <row r="106" spans="1:19">
      <c r="A106" s="718" t="str">
        <f>Sheet1!C84</f>
        <v>昌平区能源东路1号院1号楼9层3单元913</v>
      </c>
      <c r="B106" s="718">
        <f>Sheet1!D84</f>
        <v>164.46</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3325" t="s">
        <v>3329</v>
      </c>
      <c r="Q106" s="24">
        <f t="shared" si="30"/>
        <v>1.05</v>
      </c>
      <c r="R106" s="716">
        <f t="shared" ca="1" si="31"/>
        <v>22835</v>
      </c>
      <c r="S106" s="361">
        <f t="shared" ca="1" si="22"/>
        <v>376</v>
      </c>
    </row>
    <row r="107" spans="1:19">
      <c r="A107" s="718" t="str">
        <f>Sheet1!C85</f>
        <v>昌平区能源东路1号院1号楼9层3单元914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3325" t="s">
        <v>3329</v>
      </c>
      <c r="Q107" s="24">
        <f t="shared" si="30"/>
        <v>1.05</v>
      </c>
      <c r="R107" s="716">
        <f t="shared" ca="1" si="31"/>
        <v>22835</v>
      </c>
      <c r="S107" s="361">
        <f t="shared" ca="1" si="22"/>
        <v>542</v>
      </c>
    </row>
    <row r="108" spans="1:19">
      <c r="A108" s="718" t="str">
        <f>Sheet1!C86</f>
        <v>昌平区能源东路1号院1号楼10层3单元1001</v>
      </c>
      <c r="B108" s="718">
        <f>Sheet1!D86</f>
        <v>163.63</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3325" t="s">
        <v>3329</v>
      </c>
      <c r="Q108" s="24">
        <f t="shared" si="30"/>
        <v>1.05</v>
      </c>
      <c r="R108" s="716">
        <f t="shared" ca="1" si="31"/>
        <v>22835</v>
      </c>
      <c r="S108" s="361">
        <f t="shared" ca="1" si="22"/>
        <v>374</v>
      </c>
    </row>
    <row r="109" spans="1:19">
      <c r="A109" s="718" t="str">
        <f>Sheet1!C87</f>
        <v>昌平区能源东路1号院1号楼10层3单元1002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3325" t="s">
        <v>3329</v>
      </c>
      <c r="Q109" s="24">
        <f t="shared" si="30"/>
        <v>1.05</v>
      </c>
      <c r="R109" s="716">
        <f t="shared" ca="1" si="31"/>
        <v>22835</v>
      </c>
      <c r="S109" s="361">
        <f t="shared" ca="1" si="22"/>
        <v>267</v>
      </c>
    </row>
    <row r="110" spans="1:19">
      <c r="A110" s="718" t="str">
        <f>Sheet1!C88</f>
        <v>昌平区能源东路1号院1号楼10层3单元1003</v>
      </c>
      <c r="B110" s="718">
        <f>Sheet1!D88</f>
        <v>118.49</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3325" t="s">
        <v>3329</v>
      </c>
      <c r="Q110" s="24">
        <f t="shared" si="30"/>
        <v>1.05</v>
      </c>
      <c r="R110" s="716">
        <f t="shared" ca="1" si="31"/>
        <v>22835</v>
      </c>
      <c r="S110" s="361">
        <f t="shared" ca="1" si="22"/>
        <v>271</v>
      </c>
    </row>
    <row r="111" spans="1:19">
      <c r="A111" s="718" t="str">
        <f>Sheet1!C89</f>
        <v>昌平区能源东路1号院1号楼10层3单元1004</v>
      </c>
      <c r="B111" s="718">
        <f>Sheet1!D89</f>
        <v>117.45</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3325" t="s">
        <v>3329</v>
      </c>
      <c r="Q111" s="24">
        <f t="shared" si="30"/>
        <v>1.05</v>
      </c>
      <c r="R111" s="716">
        <f t="shared" ca="1" si="31"/>
        <v>22835</v>
      </c>
      <c r="S111" s="361">
        <f t="shared" ca="1" si="22"/>
        <v>268</v>
      </c>
    </row>
    <row r="112" spans="1:19">
      <c r="A112" s="718" t="str">
        <f>Sheet1!C90</f>
        <v>昌平区能源东路1号院1号楼10层3单元1005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3325" t="s">
        <v>3329</v>
      </c>
      <c r="Q112" s="24">
        <f t="shared" si="30"/>
        <v>1.05</v>
      </c>
      <c r="R112" s="716">
        <f t="shared" ca="1" si="31"/>
        <v>22835</v>
      </c>
      <c r="S112" s="361">
        <f t="shared" ca="1" si="22"/>
        <v>267</v>
      </c>
    </row>
    <row r="113" spans="1:19">
      <c r="A113" s="718" t="str">
        <f>Sheet1!C91</f>
        <v>昌平区能源东路1号院1号楼10层3单元1006</v>
      </c>
      <c r="B113" s="718">
        <f>Sheet1!D91</f>
        <v>163.51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3325" t="s">
        <v>3329</v>
      </c>
      <c r="Q113" s="24">
        <f t="shared" si="30"/>
        <v>1.05</v>
      </c>
      <c r="R113" s="716">
        <f t="shared" ca="1" si="31"/>
        <v>22835</v>
      </c>
      <c r="S113" s="361">
        <f t="shared" ca="1" si="22"/>
        <v>373</v>
      </c>
    </row>
    <row r="114" spans="1:19">
      <c r="A114" s="718" t="str">
        <f>Sheet1!C92</f>
        <v>昌平区能源东路1号院1号楼10层3单元1007</v>
      </c>
      <c r="B114" s="718">
        <f>Sheet1!D92</f>
        <v>236.98</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3325" t="s">
        <v>3329</v>
      </c>
      <c r="Q114" s="24">
        <f t="shared" si="30"/>
        <v>1.05</v>
      </c>
      <c r="R114" s="716">
        <f t="shared" ca="1" si="31"/>
        <v>22835</v>
      </c>
      <c r="S114" s="361">
        <f t="shared" ca="1" si="22"/>
        <v>541</v>
      </c>
    </row>
    <row r="115" spans="1:19">
      <c r="A115" s="718" t="str">
        <f>Sheet1!C93</f>
        <v>昌平区能源东路1号院1号楼10层3单元1008</v>
      </c>
      <c r="B115" s="718">
        <f>Sheet1!D93</f>
        <v>160.83000000000001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3325" t="s">
        <v>3329</v>
      </c>
      <c r="Q115" s="24">
        <f t="shared" si="30"/>
        <v>1.05</v>
      </c>
      <c r="R115" s="716">
        <f t="shared" ca="1" si="31"/>
        <v>22835</v>
      </c>
      <c r="S115" s="361">
        <f t="shared" ca="1" si="22"/>
        <v>367</v>
      </c>
    </row>
    <row r="116" spans="1:19">
      <c r="A116" s="718" t="str">
        <f>Sheet1!C94</f>
        <v>昌平区能源东路1号院1号楼10层3单元1009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3325" t="s">
        <v>3329</v>
      </c>
      <c r="Q116" s="24">
        <f t="shared" si="30"/>
        <v>1.05</v>
      </c>
      <c r="R116" s="716">
        <f t="shared" ca="1" si="31"/>
        <v>22835</v>
      </c>
      <c r="S116" s="361">
        <f t="shared" ca="1" si="22"/>
        <v>267</v>
      </c>
    </row>
    <row r="117" spans="1:19">
      <c r="A117" s="718" t="str">
        <f>Sheet1!C95</f>
        <v>昌平区能源东路1号院1号楼10层3单元1010</v>
      </c>
      <c r="B117" s="718">
        <f>Sheet1!D95</f>
        <v>110.64</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3325" t="s">
        <v>3329</v>
      </c>
      <c r="Q117" s="24">
        <f t="shared" si="30"/>
        <v>1.05</v>
      </c>
      <c r="R117" s="716">
        <f t="shared" ca="1" si="31"/>
        <v>22835</v>
      </c>
      <c r="S117" s="361">
        <f t="shared" ca="1" si="22"/>
        <v>253</v>
      </c>
    </row>
    <row r="118" spans="1:19">
      <c r="A118" s="718" t="str">
        <f>Sheet1!C96</f>
        <v>昌平区能源东路1号院1号楼10层3单元1011</v>
      </c>
      <c r="B118" s="718">
        <f>Sheet1!D96</f>
        <v>117.45</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3325" t="s">
        <v>3329</v>
      </c>
      <c r="Q118" s="24">
        <f t="shared" si="30"/>
        <v>1.05</v>
      </c>
      <c r="R118" s="716">
        <f t="shared" ca="1" si="31"/>
        <v>22835</v>
      </c>
      <c r="S118" s="361">
        <f t="shared" ca="1" si="22"/>
        <v>268</v>
      </c>
    </row>
    <row r="119" spans="1:19">
      <c r="A119" s="718" t="str">
        <f>Sheet1!C97</f>
        <v>昌平区能源东路1号院1号楼10层3单元1012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3325" t="s">
        <v>3329</v>
      </c>
      <c r="Q119" s="24">
        <f t="shared" si="30"/>
        <v>1.05</v>
      </c>
      <c r="R119" s="716">
        <f t="shared" ca="1" si="31"/>
        <v>22835</v>
      </c>
      <c r="S119" s="361">
        <f t="shared" ca="1" si="22"/>
        <v>267</v>
      </c>
    </row>
    <row r="120" spans="1:19">
      <c r="A120" s="718" t="str">
        <f>Sheet1!C98</f>
        <v>昌平区能源东路1号院1号楼10层3单元1013</v>
      </c>
      <c r="B120" s="718">
        <f>Sheet1!D98</f>
        <v>163.87</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3325" t="s">
        <v>3329</v>
      </c>
      <c r="Q120" s="24">
        <f t="shared" si="30"/>
        <v>1.05</v>
      </c>
      <c r="R120" s="716">
        <f t="shared" ca="1" si="31"/>
        <v>22835</v>
      </c>
      <c r="S120" s="361">
        <f t="shared" ca="1" si="22"/>
        <v>374</v>
      </c>
    </row>
    <row r="121" spans="1:19">
      <c r="A121" s="718" t="str">
        <f>Sheet1!C99</f>
        <v>昌平区能源东路1号院1号楼10层3单元1014</v>
      </c>
      <c r="B121" s="718">
        <f>Sheet1!D99</f>
        <v>236.27</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3325" t="s">
        <v>3329</v>
      </c>
      <c r="Q121" s="24">
        <f t="shared" si="30"/>
        <v>1.05</v>
      </c>
      <c r="R121" s="716">
        <f t="shared" ca="1" si="31"/>
        <v>22835</v>
      </c>
      <c r="S121" s="361">
        <f t="shared" ca="1" si="22"/>
        <v>540</v>
      </c>
    </row>
    <row r="122" spans="1:19">
      <c r="A122" s="718" t="str">
        <f>Sheet1!C100</f>
        <v>昌平区能源东路1号院1号楼11层3单元1101</v>
      </c>
      <c r="B122" s="718">
        <f>Sheet1!D100</f>
        <v>163.13999999999999</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3325" t="s">
        <v>3329</v>
      </c>
      <c r="Q122" s="24">
        <f t="shared" si="30"/>
        <v>1.05</v>
      </c>
      <c r="R122" s="716">
        <f t="shared" ca="1" si="31"/>
        <v>22835</v>
      </c>
      <c r="S122" s="361">
        <f t="shared" ca="1" si="22"/>
        <v>373</v>
      </c>
    </row>
    <row r="123" spans="1:19">
      <c r="A123" s="718" t="str">
        <f>Sheet1!C101</f>
        <v>昌平区能源东路1号院1号楼11层3单元1102</v>
      </c>
      <c r="B123" s="718">
        <f>Sheet1!D101</f>
        <v>116.85</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3325" t="s">
        <v>3329</v>
      </c>
      <c r="Q123" s="24">
        <f t="shared" si="30"/>
        <v>1.05</v>
      </c>
      <c r="R123" s="716">
        <f t="shared" ca="1" si="31"/>
        <v>22835</v>
      </c>
      <c r="S123" s="361">
        <f t="shared" ref="S123:S186" ca="1" si="32">ROUND(R123*B123/10000,0)</f>
        <v>267</v>
      </c>
    </row>
    <row r="124" spans="1:19">
      <c r="A124" s="718" t="str">
        <f>Sheet1!C102</f>
        <v>昌平区能源东路1号院1号楼11层3单元1103</v>
      </c>
      <c r="B124" s="718">
        <f>Sheet1!D102</f>
        <v>116.39</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3325" t="s">
        <v>3329</v>
      </c>
      <c r="Q124" s="24">
        <f t="shared" si="30"/>
        <v>1.05</v>
      </c>
      <c r="R124" s="716">
        <f t="shared" ca="1" si="31"/>
        <v>22835</v>
      </c>
      <c r="S124" s="361">
        <f t="shared" ca="1" si="32"/>
        <v>266</v>
      </c>
    </row>
    <row r="125" spans="1:19">
      <c r="A125" s="718" t="str">
        <f>Sheet1!C103</f>
        <v>昌平区能源东路1号院1号楼11层3单元1104</v>
      </c>
      <c r="B125" s="718">
        <f>Sheet1!D103</f>
        <v>119.69</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3325" t="s">
        <v>3329</v>
      </c>
      <c r="Q125" s="24">
        <f t="shared" si="30"/>
        <v>1.05</v>
      </c>
      <c r="R125" s="716">
        <f t="shared" ca="1" si="31"/>
        <v>22835</v>
      </c>
      <c r="S125" s="361">
        <f t="shared" ca="1" si="32"/>
        <v>273</v>
      </c>
    </row>
    <row r="126" spans="1:19">
      <c r="A126" s="718" t="str">
        <f>Sheet1!C104</f>
        <v>昌平区能源东路1号院1号楼11层3单元1105</v>
      </c>
      <c r="B126" s="718">
        <f>Sheet1!D104</f>
        <v>116.8</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3325" t="s">
        <v>3329</v>
      </c>
      <c r="Q126" s="24">
        <f t="shared" si="30"/>
        <v>1.05</v>
      </c>
      <c r="R126" s="716">
        <f t="shared" ca="1" si="31"/>
        <v>22835</v>
      </c>
      <c r="S126" s="361">
        <f t="shared" ca="1" si="32"/>
        <v>267</v>
      </c>
    </row>
    <row r="127" spans="1:19">
      <c r="A127" s="718" t="str">
        <f>Sheet1!C105</f>
        <v>昌平区能源东路1号院1号楼11层3单元1106</v>
      </c>
      <c r="B127" s="718">
        <f>Sheet1!D105</f>
        <v>160.81</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3325" t="s">
        <v>3329</v>
      </c>
      <c r="Q127" s="24">
        <f t="shared" si="30"/>
        <v>1.05</v>
      </c>
      <c r="R127" s="716">
        <f t="shared" ca="1" si="31"/>
        <v>22835</v>
      </c>
      <c r="S127" s="361">
        <f t="shared" ca="1" si="32"/>
        <v>367</v>
      </c>
    </row>
    <row r="128" spans="1:19">
      <c r="A128" s="718" t="str">
        <f>Sheet1!C106</f>
        <v>昌平区能源东路1号院1号楼11层3单元1107</v>
      </c>
      <c r="B128" s="718">
        <f>Sheet1!D106</f>
        <v>236.98</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3325" t="s">
        <v>3329</v>
      </c>
      <c r="Q128" s="24">
        <f t="shared" si="30"/>
        <v>1.05</v>
      </c>
      <c r="R128" s="716">
        <f t="shared" ca="1" si="31"/>
        <v>22835</v>
      </c>
      <c r="S128" s="361">
        <f t="shared" ca="1" si="32"/>
        <v>541</v>
      </c>
    </row>
    <row r="129" spans="1:19">
      <c r="A129" s="718" t="str">
        <f>Sheet1!C107</f>
        <v>昌平区能源东路1号院1号楼11层3单元1108</v>
      </c>
      <c r="B129" s="718">
        <f>Sheet1!D107</f>
        <v>160.66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3325" t="s">
        <v>3329</v>
      </c>
      <c r="Q129" s="24">
        <f t="shared" si="30"/>
        <v>1.05</v>
      </c>
      <c r="R129" s="716">
        <f t="shared" ca="1" si="31"/>
        <v>22835</v>
      </c>
      <c r="S129" s="361">
        <f t="shared" ca="1" si="32"/>
        <v>367</v>
      </c>
    </row>
    <row r="130" spans="1:19">
      <c r="A130" s="718" t="str">
        <f>Sheet1!C108</f>
        <v>昌平区能源东路1号院1号楼11层3单元1109</v>
      </c>
      <c r="B130" s="718">
        <f>Sheet1!D108</f>
        <v>119.57</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3325" t="s">
        <v>3329</v>
      </c>
      <c r="Q130" s="24">
        <f t="shared" si="30"/>
        <v>1.05</v>
      </c>
      <c r="R130" s="716">
        <f t="shared" ca="1" si="31"/>
        <v>22835</v>
      </c>
      <c r="S130" s="361">
        <f t="shared" ca="1" si="32"/>
        <v>273</v>
      </c>
    </row>
    <row r="131" spans="1:19">
      <c r="A131" s="718" t="str">
        <f>Sheet1!C109</f>
        <v>昌平区能源东路1号院1号楼11层3单元1110</v>
      </c>
      <c r="B131" s="718">
        <f>Sheet1!D109</f>
        <v>109.59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3325" t="s">
        <v>3329</v>
      </c>
      <c r="Q131" s="24">
        <f t="shared" si="30"/>
        <v>1.05</v>
      </c>
      <c r="R131" s="716">
        <f t="shared" ca="1" si="31"/>
        <v>22835</v>
      </c>
      <c r="S131" s="361">
        <f t="shared" ca="1" si="32"/>
        <v>250</v>
      </c>
    </row>
    <row r="132" spans="1:19">
      <c r="A132" s="718" t="str">
        <f>Sheet1!C110</f>
        <v>昌平区能源东路1号院1号楼11层3单元1111</v>
      </c>
      <c r="B132" s="718">
        <f>Sheet1!D110</f>
        <v>118.98</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3325" t="s">
        <v>3329</v>
      </c>
      <c r="Q132" s="24">
        <f t="shared" si="30"/>
        <v>1.05</v>
      </c>
      <c r="R132" s="716">
        <f t="shared" ca="1" si="31"/>
        <v>22835</v>
      </c>
      <c r="S132" s="361">
        <f t="shared" ca="1" si="32"/>
        <v>272</v>
      </c>
    </row>
    <row r="133" spans="1:19">
      <c r="A133" s="718" t="str">
        <f>Sheet1!C111</f>
        <v>昌平区能源东路1号院1号楼11层3单元1112</v>
      </c>
      <c r="B133" s="718">
        <f>Sheet1!D111</f>
        <v>117.41</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3325" t="s">
        <v>3329</v>
      </c>
      <c r="Q133" s="24">
        <f t="shared" si="30"/>
        <v>1.05</v>
      </c>
      <c r="R133" s="716">
        <f t="shared" ca="1" si="31"/>
        <v>22835</v>
      </c>
      <c r="S133" s="361">
        <f t="shared" ca="1" si="32"/>
        <v>268</v>
      </c>
    </row>
    <row r="134" spans="1:19">
      <c r="A134" s="718" t="str">
        <f>Sheet1!C112</f>
        <v>昌平区能源东路1号院1号楼11层3单元1113</v>
      </c>
      <c r="B134" s="718">
        <f>Sheet1!D112</f>
        <v>164.46</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3325" t="s">
        <v>3329</v>
      </c>
      <c r="Q134" s="24">
        <f t="shared" si="30"/>
        <v>1.05</v>
      </c>
      <c r="R134" s="716">
        <f t="shared" ca="1" si="31"/>
        <v>22835</v>
      </c>
      <c r="S134" s="361">
        <f t="shared" ca="1" si="32"/>
        <v>376</v>
      </c>
    </row>
    <row r="135" spans="1:19">
      <c r="A135" s="718" t="str">
        <f>Sheet1!C113</f>
        <v>昌平区能源东路1号院1号楼11层3单元1114</v>
      </c>
      <c r="B135" s="718">
        <f>Sheet1!D113</f>
        <v>236.3</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3325" t="s">
        <v>3329</v>
      </c>
      <c r="Q135" s="24">
        <f t="shared" si="30"/>
        <v>1.05</v>
      </c>
      <c r="R135" s="716">
        <f t="shared" ca="1" si="31"/>
        <v>22835</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718"/>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718"/>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718"/>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718"/>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718"/>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718"/>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718"/>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718"/>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718"/>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718"/>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718"/>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718"/>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718"/>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718"/>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718"/>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718"/>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718"/>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718"/>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718"/>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718"/>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718"/>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718"/>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718"/>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718"/>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718"/>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718"/>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718"/>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718"/>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718"/>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718"/>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718"/>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718"/>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718"/>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718"/>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718"/>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718"/>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718"/>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718"/>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718"/>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30483</v>
      </c>
      <c r="C2" s="2" t="s">
        <v>133</v>
      </c>
      <c r="D2" s="243"/>
      <c r="E2" s="243"/>
      <c r="F2" s="243"/>
      <c r="G2" s="243"/>
    </row>
    <row r="3" spans="1:7" s="244" customFormat="1" ht="18" customHeight="1" thickBot="1">
      <c r="A3" s="247" t="s">
        <v>85</v>
      </c>
      <c r="B3" s="248">
        <f ca="1">ROUND(B2*10000/'数据-汇总表'!E3,0)</f>
        <v>18809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16206.229999999998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16206.229999999998</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2056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4271</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4271</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324</v>
      </c>
      <c r="D37" s="261">
        <f>'数据-汇总表'!E3</f>
        <v>16206.229999999998</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17</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17</v>
      </c>
      <c r="D42" s="282"/>
      <c r="E42" s="282"/>
      <c r="F42" s="283"/>
      <c r="G42" s="3161" t="s">
        <v>121</v>
      </c>
    </row>
    <row r="43" spans="1:7" ht="13.5" customHeight="1">
      <c r="A43" s="951" t="s">
        <v>792</v>
      </c>
      <c r="B43" s="259" t="s">
        <v>1060</v>
      </c>
      <c r="C43" s="282">
        <f ca="1">ROUND(IF('数据-取费表'!B22&lt;=1,C39*F22*'数据-取费表'!B21/2,C39*(POWER((1+F22),'数据-取费表'!B21/2)-1)),0)</f>
        <v>0</v>
      </c>
      <c r="D43" s="282"/>
      <c r="E43" s="282"/>
      <c r="F43" s="283"/>
      <c r="G43" s="3162"/>
    </row>
    <row r="44" spans="1:7" ht="13.5" customHeight="1">
      <c r="A44" s="951" t="s">
        <v>793</v>
      </c>
      <c r="B44" s="259" t="s">
        <v>1062</v>
      </c>
      <c r="C44" s="282">
        <f ca="1">ROUND(IF('数据-取费表'!B22&lt;=1,C40*F22*'数据-取费表'!B21/2,C40*(POWER((1+F22),'数据-取费表'!B21/2)-1)),4)</f>
        <v>1E-3</v>
      </c>
      <c r="D44" s="282"/>
      <c r="E44" s="282"/>
      <c r="F44" s="283"/>
      <c r="G44" s="3163"/>
    </row>
    <row r="45" spans="1:7" s="258" customFormat="1" ht="13.5" customHeight="1">
      <c r="A45" s="948" t="s">
        <v>786</v>
      </c>
      <c r="B45" s="288" t="s">
        <v>112</v>
      </c>
      <c r="C45" s="289">
        <f>C46</f>
        <v>73</v>
      </c>
      <c r="D45" s="279">
        <f>C47</f>
        <v>4.0000000000000001E-3</v>
      </c>
      <c r="E45" s="280" t="s">
        <v>129</v>
      </c>
      <c r="F45" s="290"/>
      <c r="G45" s="291" t="s">
        <v>1068</v>
      </c>
    </row>
    <row r="46" spans="1:7" s="258" customFormat="1" ht="13.5" customHeight="1">
      <c r="A46" s="951" t="s">
        <v>794</v>
      </c>
      <c r="B46" s="292" t="s">
        <v>1061</v>
      </c>
      <c r="C46" s="293">
        <f>ROUND((C33+C39)*F27,0)</f>
        <v>73</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491</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481</v>
      </c>
      <c r="D51" s="276"/>
      <c r="E51" s="276"/>
      <c r="F51" s="308"/>
      <c r="G51" s="278" t="s">
        <v>64</v>
      </c>
    </row>
    <row r="52" spans="1:7" s="252" customFormat="1" ht="16.5" thickBot="1">
      <c r="A52" s="309" t="s">
        <v>65</v>
      </c>
      <c r="B52" s="310"/>
      <c r="C52" s="311">
        <f ca="1">C31+C51</f>
        <v>30483</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867</v>
      </c>
      <c r="B1" s="330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N13" sqref="N13"/>
    </sheetView>
  </sheetViews>
  <sheetFormatPr defaultRowHeight="13.5"/>
  <cols>
    <col min="1" max="1" width="14.625" customWidth="1"/>
  </cols>
  <sheetData>
    <row r="1" spans="1:4">
      <c r="A1" s="3304" t="s">
        <v>3303</v>
      </c>
      <c r="B1">
        <v>146</v>
      </c>
      <c r="C1">
        <v>31500</v>
      </c>
      <c r="D1">
        <f>ROUND(1-(2019-2016)/60,2)</f>
        <v>0.95</v>
      </c>
    </row>
    <row r="2" spans="1:4">
      <c r="A2" s="3304" t="s">
        <v>3304</v>
      </c>
      <c r="B2">
        <v>1078.31</v>
      </c>
      <c r="C2">
        <v>29000</v>
      </c>
      <c r="D2">
        <f>ROUND(1-(2019-2017)/60,2)</f>
        <v>0.97</v>
      </c>
    </row>
    <row r="3" spans="1:4">
      <c r="A3" s="3304" t="s">
        <v>3305</v>
      </c>
      <c r="B3">
        <v>63</v>
      </c>
      <c r="C3">
        <v>26984</v>
      </c>
      <c r="D3">
        <f>ROUND(1-(2019-2014)/60,2)</f>
        <v>0.92</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4" t="s">
        <v>1632</v>
      </c>
      <c r="E3" s="1044" t="s">
        <v>1638</v>
      </c>
      <c r="F3" s="1044" t="s">
        <v>1632</v>
      </c>
      <c r="G3" s="1044" t="s">
        <v>1633</v>
      </c>
      <c r="H3" s="1044" t="s">
        <v>1632</v>
      </c>
      <c r="I3" s="1044" t="s">
        <v>1633</v>
      </c>
    </row>
    <row r="4" spans="1:9" ht="30">
      <c r="A4" s="1963" t="str">
        <f>项目基本情况!S2</f>
        <v>北京市出让国有建设用地使用权及在建建筑物房地产</v>
      </c>
      <c r="B4" s="1044">
        <f>项目基本情况!C17</f>
        <v>16206.229999999998</v>
      </c>
      <c r="C4" s="1044">
        <f>项目基本情况!C18</f>
        <v>5264.7</v>
      </c>
      <c r="D4" s="1044" t="e">
        <f ca="1">结果表!D118</f>
        <v>#REF!</v>
      </c>
      <c r="E4" s="1044" t="e">
        <f ca="1">结果表!E118</f>
        <v>#REF!</v>
      </c>
      <c r="F4" s="1044" t="e">
        <f ca="1">结果表!F118</f>
        <v>#REF!</v>
      </c>
      <c r="G4" s="1044" t="e">
        <f ca="1">结果表!G118</f>
        <v>#REF!</v>
      </c>
      <c r="H4" s="1044">
        <f ca="1">结果表!H118</f>
        <v>36141</v>
      </c>
      <c r="I4" s="1044">
        <f ca="1">结果表!I118</f>
        <v>22301</v>
      </c>
    </row>
    <row r="5" spans="1:9" ht="30" customHeight="1">
      <c r="A5" s="2988" t="s">
        <v>1634</v>
      </c>
      <c r="B5" s="2988"/>
      <c r="C5" s="2988"/>
      <c r="D5" s="2989" t="e">
        <f ca="1">结果表!D119</f>
        <v>#REF!</v>
      </c>
      <c r="E5" s="2989"/>
      <c r="F5" s="2989" t="e">
        <f ca="1">结果表!F119</f>
        <v>#REF!</v>
      </c>
      <c r="G5" s="2989"/>
      <c r="H5" s="2989" t="str">
        <f ca="1">结果表!H119</f>
        <v>叁亿陆仟壹佰肆拾壹万元整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1634</v>
      </c>
      <c r="B7" s="2988"/>
      <c r="C7" s="2988"/>
      <c r="D7" s="2990" t="str">
        <f>结果表!D121</f>
        <v>零元整</v>
      </c>
      <c r="E7" s="2991"/>
      <c r="F7" s="2991"/>
      <c r="G7" s="2991"/>
      <c r="H7" s="2991"/>
      <c r="I7" s="2992"/>
    </row>
    <row r="8" spans="1:9" ht="15.75">
      <c r="A8" s="2987" t="str">
        <f>结果表!A122</f>
        <v>房地产抵押价值</v>
      </c>
      <c r="B8" s="2987"/>
      <c r="C8" s="2987"/>
      <c r="D8" s="2987">
        <f ca="1">结果表!D122</f>
        <v>36141</v>
      </c>
      <c r="E8" s="2987"/>
      <c r="F8" s="2987"/>
      <c r="G8" s="2987"/>
      <c r="H8" s="2987"/>
      <c r="I8" s="2987"/>
    </row>
    <row r="9" spans="1:9" ht="15">
      <c r="A9" s="2988" t="s">
        <v>1634</v>
      </c>
      <c r="B9" s="2988"/>
      <c r="C9" s="2988"/>
      <c r="D9" s="2989" t="str">
        <f ca="1">结果表!D123</f>
        <v>叁亿陆仟壹佰肆拾壹万元整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1634</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01" t="s">
        <v>1656</v>
      </c>
      <c r="B1" s="3001"/>
      <c r="C1" s="3001"/>
      <c r="D1" s="3001"/>
    </row>
    <row r="2" spans="1:4" ht="18">
      <c r="A2" s="3002" t="s">
        <v>1640</v>
      </c>
      <c r="B2" s="3002"/>
      <c r="C2" s="3002"/>
      <c r="D2" s="3002"/>
    </row>
    <row r="3" spans="1:4" ht="18.75">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郑燚</v>
      </c>
      <c r="B5" s="1969">
        <f ca="1">项目基本情况!E4</f>
        <v>1120070131</v>
      </c>
      <c r="C5" s="1972"/>
      <c r="D5" s="1971" t="s">
        <v>1645</v>
      </c>
    </row>
    <row r="6" spans="1:4" ht="18">
      <c r="A6" s="3002" t="s">
        <v>1646</v>
      </c>
      <c r="B6" s="3002"/>
      <c r="C6" s="3002"/>
      <c r="D6" s="3002"/>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03"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1650</v>
      </c>
      <c r="B16" s="2997"/>
      <c r="C16" s="2997"/>
      <c r="D16" s="2997"/>
    </row>
    <row r="17" spans="1:4" ht="144" customHeight="1">
      <c r="A17" s="2997" t="s">
        <v>1651</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1652</v>
      </c>
      <c r="B22" s="2999"/>
      <c r="C22" s="2999"/>
      <c r="D22" s="2999"/>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09" t="s">
        <v>1663</v>
      </c>
      <c r="B15" s="3004" t="s">
        <v>136</v>
      </c>
      <c r="C15" s="3005"/>
    </row>
    <row r="16" spans="1:7" ht="13.5">
      <c r="A16" s="3010"/>
      <c r="B16" s="3004" t="s">
        <v>69</v>
      </c>
      <c r="C16" s="3005"/>
    </row>
    <row r="17" spans="1:3" ht="13.5">
      <c r="A17" s="3010"/>
      <c r="B17" s="3007" t="s">
        <v>1664</v>
      </c>
      <c r="C17" s="1990" t="s">
        <v>1663</v>
      </c>
    </row>
    <row r="18" spans="1:3" ht="13.5">
      <c r="A18" s="3010"/>
      <c r="B18" s="3007"/>
      <c r="C18" s="1990" t="s">
        <v>1665</v>
      </c>
    </row>
    <row r="19" spans="1:3" ht="13.5">
      <c r="A19" s="3010"/>
      <c r="B19" s="3007"/>
      <c r="C19" s="1990" t="s">
        <v>1666</v>
      </c>
    </row>
    <row r="20" spans="1:3" ht="13.5">
      <c r="A20" s="3011"/>
      <c r="B20" s="3006" t="s">
        <v>1667</v>
      </c>
      <c r="C20" s="3005"/>
    </row>
    <row r="21" spans="1:3" ht="13.5">
      <c r="A21" s="1991" t="s">
        <v>1668</v>
      </c>
      <c r="B21" s="1992"/>
      <c r="C21" s="1993"/>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0" t="s">
        <v>1674</v>
      </c>
    </row>
    <row r="26" spans="1:3" ht="13.5">
      <c r="A26" s="3008"/>
      <c r="B26" s="3007"/>
      <c r="C26" s="1990" t="s">
        <v>1675</v>
      </c>
    </row>
    <row r="27" spans="1:3" ht="13.5">
      <c r="A27" s="3008"/>
      <c r="B27" s="3007"/>
      <c r="C27" s="1990" t="s">
        <v>1676</v>
      </c>
    </row>
    <row r="28" spans="1:3" ht="13.5">
      <c r="A28" s="3008"/>
      <c r="B28" s="3007"/>
      <c r="C28" s="1990" t="s">
        <v>1677</v>
      </c>
    </row>
    <row r="29" spans="1:3" ht="13.5">
      <c r="A29" s="3008"/>
      <c r="B29" s="3007"/>
      <c r="C29" s="1990" t="s">
        <v>1678</v>
      </c>
    </row>
    <row r="30" spans="1:3" ht="13.5">
      <c r="A30" s="3008"/>
      <c r="B30" s="3007"/>
      <c r="C30" s="1990" t="s">
        <v>1679</v>
      </c>
    </row>
    <row r="31" spans="1:3" ht="13.5">
      <c r="A31" s="3008"/>
      <c r="B31" s="3007"/>
      <c r="C31" s="1990" t="s">
        <v>1680</v>
      </c>
    </row>
    <row r="32" spans="1:3" ht="13.5">
      <c r="A32" s="3008"/>
      <c r="B32" s="3007"/>
      <c r="C32" s="1990" t="s">
        <v>1681</v>
      </c>
    </row>
    <row r="33" spans="1:3" ht="13.5">
      <c r="A33" s="3008"/>
      <c r="B33" s="3007"/>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43983</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0">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0">
        <v>44876</v>
      </c>
      <c r="D8" s="2342" t="s">
        <v>835</v>
      </c>
      <c r="E8" s="1022">
        <f ca="1">IF(F8&lt;B2,"已过期",2000110082)</f>
        <v>2000110082</v>
      </c>
      <c r="F8" s="1030">
        <v>46387</v>
      </c>
    </row>
    <row r="9" spans="1:6" ht="24" customHeight="1">
      <c r="A9" s="1701" t="s">
        <v>836</v>
      </c>
      <c r="B9" s="1022">
        <f ca="1">IF(C9&lt;B2,"已过期",1419970001)</f>
        <v>1419970001</v>
      </c>
      <c r="C9" s="2920">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0"/>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3044</v>
      </c>
      <c r="B14" s="1022">
        <f ca="1">IF(C14&lt;B2,"已过期",1120040230)</f>
        <v>1120040230</v>
      </c>
      <c r="C14" s="2339">
        <v>44864</v>
      </c>
      <c r="D14" s="2342" t="s">
        <v>3044</v>
      </c>
      <c r="E14" s="1022">
        <f ca="1">IF(F14&lt;B2,"已过期",98030020)</f>
        <v>98030020</v>
      </c>
      <c r="F14" s="1030">
        <v>47118</v>
      </c>
    </row>
    <row r="15" spans="1:6" ht="24" customHeight="1">
      <c r="A15" s="1702"/>
      <c r="B15" s="1022"/>
      <c r="C15" s="2339"/>
      <c r="D15" s="2343"/>
      <c r="E15" s="1022"/>
      <c r="F15" s="1023"/>
    </row>
    <row r="16" spans="1:6" ht="24" customHeight="1">
      <c r="A16" s="1701"/>
      <c r="B16" s="1022"/>
      <c r="C16" s="2920"/>
      <c r="D16" s="2342"/>
      <c r="E16" s="1022"/>
      <c r="F16" s="1030"/>
    </row>
    <row r="17" spans="1:7" ht="24" customHeight="1">
      <c r="A17" s="1701"/>
      <c r="B17" s="1022"/>
      <c r="C17" s="2339"/>
      <c r="D17" s="2342"/>
      <c r="E17" s="1022"/>
      <c r="F17" s="1030"/>
    </row>
    <row r="18" spans="1:7" ht="24" customHeight="1">
      <c r="A18" s="1701" t="s">
        <v>3051</v>
      </c>
      <c r="B18" s="1022">
        <v>1120190079</v>
      </c>
      <c r="C18" s="2920">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0">
        <v>44339</v>
      </c>
      <c r="D22" s="2342" t="s">
        <v>841</v>
      </c>
      <c r="E22" s="1022">
        <f ca="1">IF(F22&lt;B2,"已过期",2000110137)</f>
        <v>2000110137</v>
      </c>
      <c r="F22" s="1030">
        <v>46387</v>
      </c>
    </row>
    <row r="23" spans="1:7" ht="24" customHeight="1">
      <c r="A23" s="1701" t="s">
        <v>3053</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12" t="s">
        <v>842</v>
      </c>
      <c r="B25" s="3012"/>
      <c r="C25" s="3012"/>
      <c r="D25" s="3012"/>
      <c r="E25" s="3012"/>
      <c r="F25" s="3012"/>
      <c r="G25" s="3012"/>
    </row>
    <row r="26" spans="1:7" s="1025" customFormat="1" ht="24" customHeight="1">
      <c r="A26" s="3013" t="s">
        <v>843</v>
      </c>
      <c r="B26" s="3013"/>
      <c r="C26" s="3014"/>
      <c r="D26" s="3015" t="s">
        <v>844</v>
      </c>
      <c r="E26" s="3013"/>
      <c r="F26" s="3013"/>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2020-06-01T09:18:45Z</dcterms:modified>
</cp:coreProperties>
</file>