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合同租金" sheetId="82" r:id="rId31"/>
    <sheet name="租金案例" sheetId="81"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1" sheetId="83" r:id="rId49"/>
  </sheets>
  <externalReferences>
    <externalReference r:id="rId50"/>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4" i="82" l="1"/>
  <c r="H5" i="82"/>
  <c r="H6" i="82"/>
  <c r="H7" i="82"/>
  <c r="H8" i="82"/>
  <c r="H9" i="82"/>
  <c r="H10" i="82"/>
  <c r="H11" i="82"/>
  <c r="H12" i="82"/>
  <c r="H13" i="82"/>
  <c r="H14" i="82"/>
  <c r="H15" i="82"/>
  <c r="H16" i="82"/>
  <c r="H3" i="82"/>
  <c r="D7" i="80"/>
  <c r="C7" i="80"/>
  <c r="D6" i="80"/>
  <c r="D5" i="80"/>
  <c r="D4" i="80"/>
  <c r="D3" i="80"/>
  <c r="D2" i="80"/>
  <c r="I28" i="80" l="1"/>
  <c r="L19" i="1" l="1"/>
  <c r="C14" i="80"/>
  <c r="A14" i="80"/>
  <c r="E7" i="82"/>
  <c r="E6" i="82"/>
  <c r="E5" i="82"/>
  <c r="E4" i="82"/>
  <c r="B17" i="82"/>
  <c r="B16" i="82"/>
  <c r="B15" i="82"/>
  <c r="B14" i="82"/>
  <c r="B13" i="82"/>
  <c r="B12" i="82"/>
  <c r="B11" i="82"/>
  <c r="B10" i="82"/>
  <c r="B9" i="82"/>
  <c r="B8" i="82"/>
  <c r="B7" i="82"/>
  <c r="B6" i="82"/>
  <c r="B5" i="82"/>
  <c r="L26" i="1"/>
  <c r="L24" i="1"/>
  <c r="E16" i="37" l="1"/>
  <c r="J49" i="67" l="1"/>
  <c r="I13" i="3" l="1"/>
  <c r="F19" i="6" s="1"/>
  <c r="C30" i="37" s="1"/>
  <c r="B7" i="80"/>
  <c r="G90" i="43" l="1"/>
  <c r="G89" i="43"/>
  <c r="G88" i="43"/>
  <c r="G87" i="43"/>
  <c r="G86" i="43"/>
  <c r="G85" i="43"/>
  <c r="G84" i="43"/>
  <c r="G83" i="43"/>
  <c r="B14" i="74"/>
  <c r="B59" i="1"/>
  <c r="J30" i="1"/>
  <c r="J42" i="1" s="1"/>
  <c r="I30" i="1"/>
  <c r="I42" i="1" s="1"/>
  <c r="J40" i="1" l="1"/>
  <c r="J41" i="1"/>
  <c r="I40" i="1"/>
  <c r="I41" i="1"/>
  <c r="L21" i="1" l="1"/>
  <c r="C33" i="37" l="1"/>
  <c r="Y6" i="1"/>
  <c r="I7" i="79"/>
  <c r="E33" i="37" l="1"/>
  <c r="I33" i="37"/>
  <c r="G33" i="37"/>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G84" i="34"/>
  <c r="J21" i="34"/>
  <c r="G83" i="33"/>
  <c r="J21" i="33"/>
  <c r="F83" i="21"/>
  <c r="H21" i="21"/>
  <c r="F38" i="69"/>
  <c r="E37" i="69"/>
  <c r="F36" i="69"/>
  <c r="F35" i="69"/>
  <c r="F21" i="69"/>
  <c r="F40" i="69" s="1"/>
  <c r="F20" i="69"/>
  <c r="F39" i="69" s="1"/>
  <c r="E10" i="69"/>
  <c r="E9" i="69"/>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A7" i="1"/>
  <c r="B7" i="1" s="1"/>
  <c r="E7" i="1" s="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3" i="1" s="1"/>
  <c r="M13" i="1" s="1"/>
  <c r="O13" i="1" s="1"/>
  <c r="P13" i="1" s="1"/>
  <c r="E20" i="6"/>
  <c r="E21" i="6"/>
  <c r="F23" i="15"/>
  <c r="D24" i="15" s="1"/>
  <c r="E22" i="6"/>
  <c r="K8" i="1" s="1"/>
  <c r="M8"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AB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AC11" i="39"/>
  <c r="AZ563" i="3"/>
  <c r="AZ501" i="3"/>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0" i="37"/>
  <c r="AC35" i="37"/>
  <c r="W39" i="37"/>
  <c r="S30"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M22" i="67"/>
  <c r="M6" i="67"/>
  <c r="F7" i="67"/>
  <c r="M28" i="15"/>
  <c r="F8" i="67"/>
  <c r="J15" i="67"/>
  <c r="F26" i="67"/>
  <c r="D5" i="73"/>
  <c r="M6" i="15"/>
  <c r="F38" i="67"/>
  <c r="B7" i="76"/>
  <c r="C76" i="67"/>
  <c r="B8" i="76"/>
  <c r="M9" i="67"/>
  <c r="F13" i="15"/>
  <c r="M26" i="15"/>
  <c r="F6" i="15"/>
  <c r="F3" i="73"/>
  <c r="M22" i="15"/>
  <c r="M8" i="67"/>
  <c r="AO13" i="1"/>
  <c r="C76" i="15"/>
  <c r="F37" i="15"/>
  <c r="M8" i="15"/>
  <c r="D7" i="73"/>
  <c r="F37" i="67"/>
  <c r="D3" i="73"/>
  <c r="E7" i="76"/>
  <c r="F40" i="67"/>
  <c r="F42" i="15"/>
  <c r="F16" i="67"/>
  <c r="F40" i="15"/>
  <c r="F26" i="15"/>
  <c r="F8" i="15"/>
  <c r="F43" i="15"/>
  <c r="F16" i="15"/>
  <c r="F36" i="15"/>
  <c r="E2" i="68"/>
  <c r="L48" i="67"/>
  <c r="J15" i="15"/>
  <c r="M26" i="67"/>
  <c r="F6" i="67"/>
  <c r="M28" i="67"/>
  <c r="F43" i="67"/>
  <c r="L48" i="15"/>
  <c r="B10" i="76"/>
  <c r="M24" i="15"/>
  <c r="F9" i="15"/>
  <c r="L47" i="15"/>
  <c r="F7" i="15"/>
  <c r="E10" i="76"/>
  <c r="B13" i="76"/>
  <c r="F9" i="67"/>
  <c r="M24" i="67"/>
  <c r="D6" i="73"/>
  <c r="E2" i="69"/>
  <c r="F42" i="67"/>
  <c r="E9" i="76"/>
  <c r="F36" i="67"/>
  <c r="D4" i="73"/>
  <c r="F4" i="73"/>
  <c r="F7" i="73"/>
  <c r="E11" i="76"/>
  <c r="B9" i="76"/>
  <c r="B12" i="76"/>
  <c r="M23" i="15"/>
  <c r="E13" i="76"/>
  <c r="F20" i="31"/>
  <c r="M29" i="15"/>
  <c r="F13" i="67"/>
  <c r="M9" i="15"/>
  <c r="M23" i="67"/>
  <c r="L47" i="67"/>
  <c r="M29" i="67"/>
  <c r="F5" i="73"/>
  <c r="F6" i="73"/>
  <c r="F38" i="15"/>
  <c r="E12" i="76"/>
  <c r="B11" i="76"/>
  <c r="AP6" i="1" l="1"/>
  <c r="AA29" i="37"/>
  <c r="U36" i="37"/>
  <c r="AC15" i="37"/>
  <c r="H17" i="37"/>
  <c r="U17" i="37" s="1"/>
  <c r="F73" i="37"/>
  <c r="G73" i="37" s="1"/>
  <c r="J17" i="37"/>
  <c r="W17" i="37" s="1"/>
  <c r="F17" i="37"/>
  <c r="AA17" i="37" s="1"/>
  <c r="H19" i="37"/>
  <c r="F75" i="37"/>
  <c r="G75" i="37" s="1"/>
  <c r="F19" i="37"/>
  <c r="S19" i="37" s="1"/>
  <c r="J19" i="37"/>
  <c r="W19" i="37" s="1"/>
  <c r="F77" i="37"/>
  <c r="G77" i="37" s="1"/>
  <c r="F21" i="37"/>
  <c r="J21" i="37"/>
  <c r="AC21" i="37" s="1"/>
  <c r="H21" i="37"/>
  <c r="H23" i="37"/>
  <c r="F79" i="37"/>
  <c r="G79" i="37" s="1"/>
  <c r="F23" i="37"/>
  <c r="S23" i="37" s="1"/>
  <c r="J23" i="37"/>
  <c r="W23" i="37" s="1"/>
  <c r="AA31" i="37"/>
  <c r="S32" i="37"/>
  <c r="H33" i="37"/>
  <c r="G99" i="37"/>
  <c r="H99" i="37" s="1"/>
  <c r="I99" i="37" s="1"/>
  <c r="J99" i="37" s="1"/>
  <c r="K99" i="37" s="1"/>
  <c r="L99" i="37" s="1"/>
  <c r="M99" i="37" s="1"/>
  <c r="J33" i="37"/>
  <c r="AC33" i="37" s="1"/>
  <c r="F33" i="37"/>
  <c r="AA33" i="37" s="1"/>
  <c r="AC34" i="37"/>
  <c r="F107" i="37"/>
  <c r="G107" i="37" s="1"/>
  <c r="H107" i="37" s="1"/>
  <c r="I107" i="37" s="1"/>
  <c r="J107" i="37" s="1"/>
  <c r="K107" i="37" s="1"/>
  <c r="L107" i="37" s="1"/>
  <c r="M107" i="37" s="1"/>
  <c r="H37" i="37"/>
  <c r="U37" i="37" s="1"/>
  <c r="J37" i="37"/>
  <c r="AC37" i="37" s="1"/>
  <c r="F37" i="37"/>
  <c r="AA37" i="37" s="1"/>
  <c r="W37" i="37"/>
  <c r="AB37" i="37"/>
  <c r="U32" i="37"/>
  <c r="U30" i="37"/>
  <c r="W36" i="37"/>
  <c r="S36" i="37"/>
  <c r="AB35" i="37"/>
  <c r="W38" i="37"/>
  <c r="AA38" i="37"/>
  <c r="AB31" i="37"/>
  <c r="W31" i="37"/>
  <c r="AC19" i="37"/>
  <c r="S17" i="37"/>
  <c r="AC23" i="37"/>
  <c r="AA19" i="37"/>
  <c r="U15" i="37"/>
  <c r="AZ17" i="3"/>
  <c r="H69" i="43"/>
  <c r="H67" i="43"/>
  <c r="F9" i="1"/>
  <c r="G9" i="1" s="1"/>
  <c r="F10" i="1"/>
  <c r="G10" i="1" s="1"/>
  <c r="F8" i="1"/>
  <c r="G8" i="1" s="1"/>
  <c r="G16" i="1" s="1"/>
  <c r="F10" i="39" s="1"/>
  <c r="G6" i="1"/>
  <c r="I24" i="43"/>
  <c r="C24" i="12"/>
  <c r="C21" i="68"/>
  <c r="C40" i="69"/>
  <c r="BA5" i="3"/>
  <c r="G5" i="3"/>
  <c r="B3" i="3" s="1"/>
  <c r="E461" i="3" s="1"/>
  <c r="BL5" i="3"/>
  <c r="G28" i="6"/>
  <c r="F29" i="6"/>
  <c r="E29" i="6" s="1"/>
  <c r="K15" i="1" s="1"/>
  <c r="H50" i="43"/>
  <c r="A118" i="9"/>
  <c r="D19" i="53"/>
  <c r="B38" i="72" s="1"/>
  <c r="D21" i="53"/>
  <c r="B39" i="72" s="1"/>
  <c r="D16" i="53"/>
  <c r="B34" i="72" s="1"/>
  <c r="C28" i="67"/>
  <c r="M47" i="9"/>
  <c r="C7" i="21"/>
  <c r="C58" i="21" s="1"/>
  <c r="D58" i="21" s="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438" i="3"/>
  <c r="E171" i="3"/>
  <c r="E74" i="3"/>
  <c r="E204" i="3"/>
  <c r="E485" i="3"/>
  <c r="E531" i="3"/>
  <c r="E182" i="3"/>
  <c r="E572" i="3"/>
  <c r="E14" i="6"/>
  <c r="E63" i="39" s="1"/>
  <c r="I4" i="6"/>
  <c r="G3" i="43" s="1"/>
  <c r="F26" i="43" s="1"/>
  <c r="F30" i="6"/>
  <c r="G30" i="6"/>
  <c r="G31" i="6" s="1"/>
  <c r="E28" i="6"/>
  <c r="K14" i="1" s="1"/>
  <c r="L19" i="6"/>
  <c r="L27" i="6" s="1"/>
  <c r="M6" i="1"/>
  <c r="O6" i="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217" i="3"/>
  <c r="E526" i="3"/>
  <c r="E268" i="3"/>
  <c r="E322" i="3"/>
  <c r="AJ6" i="3"/>
  <c r="E509"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F27" i="69"/>
  <c r="C16" i="15"/>
  <c r="C16" i="67"/>
  <c r="D9" i="69"/>
  <c r="G1" i="73"/>
  <c r="AA23" i="37" l="1"/>
  <c r="E273" i="3"/>
  <c r="E28" i="3"/>
  <c r="E345" i="3"/>
  <c r="Z6" i="3"/>
  <c r="E368" i="3"/>
  <c r="E315" i="3"/>
  <c r="E471" i="3"/>
  <c r="E313" i="3"/>
  <c r="S33" i="37"/>
  <c r="S37" i="37"/>
  <c r="AC17" i="37"/>
  <c r="AB17" i="37"/>
  <c r="AB19" i="37"/>
  <c r="U19" i="37"/>
  <c r="W21" i="37"/>
  <c r="U21" i="37"/>
  <c r="AB21" i="37"/>
  <c r="AA21" i="37"/>
  <c r="S21" i="37"/>
  <c r="AB23" i="37"/>
  <c r="U23" i="37"/>
  <c r="AB33" i="37"/>
  <c r="U33" i="37"/>
  <c r="E26" i="43"/>
  <c r="N94" i="46"/>
  <c r="J26" i="43"/>
  <c r="N370" i="46"/>
  <c r="G26" i="43"/>
  <c r="E109" i="3"/>
  <c r="E377" i="3"/>
  <c r="E211" i="3"/>
  <c r="E70" i="3"/>
  <c r="E489" i="3"/>
  <c r="E557" i="3"/>
  <c r="E400" i="3"/>
  <c r="AO6" i="3"/>
  <c r="E327" i="3"/>
  <c r="E89" i="3"/>
  <c r="E227" i="3"/>
  <c r="E362" i="3"/>
  <c r="E214" i="3"/>
  <c r="E54" i="3"/>
  <c r="W6" i="3"/>
  <c r="E529" i="3"/>
  <c r="E157" i="3"/>
  <c r="E13" i="3"/>
  <c r="E253" i="3"/>
  <c r="E453" i="3"/>
  <c r="E85" i="3"/>
  <c r="E314" i="3"/>
  <c r="E511" i="3"/>
  <c r="E99" i="3"/>
  <c r="E45" i="3"/>
  <c r="E193" i="3"/>
  <c r="E519" i="3"/>
  <c r="E573" i="3"/>
  <c r="E458" i="3"/>
  <c r="E527" i="3"/>
  <c r="E457" i="3"/>
  <c r="E562" i="3"/>
  <c r="E571" i="3"/>
  <c r="E450" i="3"/>
  <c r="E433" i="3"/>
  <c r="E72" i="3"/>
  <c r="E111"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K16" i="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475" i="3"/>
  <c r="E537" i="3"/>
  <c r="E288" i="3"/>
  <c r="E474" i="3"/>
  <c r="E532" i="3"/>
  <c r="E224" i="3"/>
  <c r="E306" i="3"/>
  <c r="E136" i="3"/>
  <c r="E122"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46" i="3"/>
  <c r="E18" i="3"/>
  <c r="E79" i="3"/>
  <c r="E96" i="3"/>
  <c r="E38" i="3"/>
  <c r="E78" i="3"/>
  <c r="E100" i="3"/>
  <c r="E129" i="3"/>
  <c r="E170" i="3"/>
  <c r="E190" i="3"/>
  <c r="E174" i="3"/>
  <c r="E220" i="3"/>
  <c r="E275" i="3"/>
  <c r="E235" i="3"/>
  <c r="E324" i="3"/>
  <c r="E383" i="3"/>
  <c r="E342" i="3"/>
  <c r="E522" i="3"/>
  <c r="E52" i="3"/>
  <c r="E36" i="3"/>
  <c r="E112" i="3"/>
  <c r="E123" i="3"/>
  <c r="E147" i="3"/>
  <c r="E289" i="3"/>
  <c r="E340" i="3"/>
  <c r="AF6" i="3"/>
  <c r="E50" i="3"/>
  <c r="E20" i="3"/>
  <c r="E62"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37" i="3"/>
  <c r="E194" i="3"/>
  <c r="E234" i="3"/>
  <c r="E219" i="3"/>
  <c r="E299" i="3"/>
  <c r="E339" i="3"/>
  <c r="E325" i="3"/>
  <c r="E392" i="3"/>
  <c r="AQ6" i="3"/>
  <c r="E35" i="3"/>
  <c r="E86" i="3"/>
  <c r="E34" i="3"/>
  <c r="E49" i="3"/>
  <c r="E206" i="3"/>
  <c r="E232" i="3"/>
  <c r="E251" i="3"/>
  <c r="E370" i="3"/>
  <c r="E364" i="3"/>
  <c r="E102" i="3"/>
  <c r="E80" i="3"/>
  <c r="E113" i="3"/>
  <c r="E176" i="3"/>
  <c r="E218" i="3"/>
  <c r="E265" i="3"/>
  <c r="E365" i="3"/>
  <c r="E524" i="3"/>
  <c r="E101" i="3"/>
  <c r="E83" i="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5" i="82" l="1"/>
  <c r="F8" i="82"/>
  <c r="F10" i="82"/>
  <c r="F14" i="82"/>
  <c r="F16" i="82"/>
  <c r="F4" i="82"/>
  <c r="F6" i="82"/>
  <c r="F9" i="82"/>
  <c r="F11" i="82"/>
  <c r="F13" i="82"/>
  <c r="F15" i="82"/>
  <c r="F17" i="82"/>
  <c r="F12" i="82"/>
  <c r="F3" i="82"/>
  <c r="F7" i="82"/>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15"/>
  <c r="F41" i="15"/>
  <c r="F18" i="82" l="1"/>
  <c r="S6" i="1"/>
  <c r="E6" i="70" s="1"/>
  <c r="S13" i="1"/>
  <c r="S8" i="1"/>
  <c r="E8" i="70" s="1"/>
  <c r="P37" i="43"/>
  <c r="M37" i="43"/>
  <c r="Q37" i="43"/>
  <c r="O37" i="43"/>
  <c r="N37" i="43"/>
  <c r="M21" i="6"/>
  <c r="I21" i="6" s="1"/>
  <c r="S21" i="6" s="1"/>
  <c r="C34" i="43"/>
  <c r="E34" i="43" s="1"/>
  <c r="F69" i="15"/>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17" i="67"/>
  <c r="D10" i="68"/>
  <c r="C14" i="67"/>
  <c r="D10" i="69"/>
  <c r="C34" i="69"/>
  <c r="C17" i="15"/>
  <c r="M19" i="9" l="1"/>
  <c r="C118" i="9" s="1"/>
  <c r="B2" i="74" s="1"/>
  <c r="D8" i="74" s="1"/>
  <c r="D33" i="43"/>
  <c r="D30" i="6"/>
  <c r="H25" i="6"/>
  <c r="T8" i="1"/>
  <c r="AR8" i="1"/>
  <c r="AQ8" i="1"/>
  <c r="AR13" i="1"/>
  <c r="T13" i="1"/>
  <c r="AQ13" i="1"/>
  <c r="C18" i="67"/>
  <c r="C15" i="67"/>
  <c r="H23" i="6"/>
  <c r="R23" i="6"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C8" i="69" s="1"/>
  <c r="D19" i="69"/>
  <c r="F50" i="69"/>
  <c r="F50" i="11"/>
  <c r="F50" i="68"/>
  <c r="C4" i="52"/>
  <c r="B45" i="72" s="1"/>
  <c r="A10" i="51"/>
  <c r="B9" i="72" s="1"/>
  <c r="A7" i="51"/>
  <c r="B7" i="72" s="1"/>
  <c r="R25" i="6"/>
  <c r="C10" i="68"/>
  <c r="C8" i="68" s="1"/>
  <c r="D19" i="68"/>
  <c r="H69" i="39"/>
  <c r="I67" i="39"/>
  <c r="D10" i="71"/>
  <c r="C9" i="71"/>
  <c r="C8" i="71" s="1"/>
  <c r="G65" i="40"/>
  <c r="H63" i="40"/>
  <c r="C43" i="37"/>
  <c r="F49" i="67" s="1"/>
  <c r="C49" i="67" s="1"/>
  <c r="C53" i="67" s="1"/>
  <c r="C48" i="67" s="1"/>
  <c r="C42" i="37"/>
  <c r="I48" i="35"/>
  <c r="C48" i="33"/>
  <c r="C49" i="33"/>
  <c r="H58" i="21"/>
  <c r="E47" i="37"/>
  <c r="F47" i="37" s="1"/>
  <c r="E46" i="37"/>
  <c r="F46" i="37" s="1"/>
  <c r="I47" i="37"/>
  <c r="J47" i="37" s="1"/>
  <c r="E53" i="33"/>
  <c r="F53" i="33" s="1"/>
  <c r="E52" i="33"/>
  <c r="F52" i="33" s="1"/>
  <c r="C33" i="15"/>
  <c r="C22" i="11"/>
  <c r="C31" i="11" s="1"/>
  <c r="C33" i="67"/>
  <c r="J19" i="67"/>
  <c r="C14" i="15"/>
  <c r="AE6" i="1"/>
  <c r="C34" i="68"/>
  <c r="D31" i="6" l="1"/>
  <c r="D1" i="43"/>
  <c r="C6" i="69"/>
  <c r="C7" i="69" s="1"/>
  <c r="E33" i="43"/>
  <c r="C60" i="67"/>
  <c r="C66" i="67"/>
  <c r="AG6" i="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M27" i="67"/>
  <c r="F41" i="67"/>
  <c r="C5" i="69" l="1"/>
  <c r="C23" i="69" s="1"/>
  <c r="C6" i="68"/>
  <c r="C30" i="43"/>
  <c r="F69" i="67"/>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E6" i="76"/>
  <c r="AC7" i="21" l="1"/>
  <c r="V48" i="21" s="1"/>
  <c r="I48" i="21" s="1"/>
  <c r="E2" i="76"/>
  <c r="B2" i="43"/>
  <c r="C20" i="69"/>
  <c r="C28" i="69" s="1"/>
  <c r="C27" i="69" s="1"/>
  <c r="C7" i="68"/>
  <c r="C5" i="68" s="1"/>
  <c r="R13" i="1"/>
  <c r="R12" i="1"/>
  <c r="R7" i="1"/>
  <c r="R10" i="1"/>
  <c r="R9" i="1"/>
  <c r="R8" i="1"/>
  <c r="R11" i="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67"/>
  <c r="B6" i="76"/>
  <c r="M21" i="15"/>
  <c r="C25" i="69" l="1"/>
  <c r="C22" i="69" s="1"/>
  <c r="C31" i="69" s="1"/>
  <c r="B2" i="76"/>
  <c r="B3" i="76" s="1"/>
  <c r="B3" i="43"/>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8" i="68" l="1"/>
  <c r="C27" i="68" s="1"/>
  <c r="C25" i="68"/>
  <c r="C22" i="68"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Q69" i="67" l="1"/>
  <c r="Q68" i="67" s="1"/>
  <c r="H39" i="67"/>
  <c r="C31" i="68"/>
  <c r="C52" i="68" s="1"/>
  <c r="B2"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68"/>
  <c r="C57" i="68" l="1"/>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19" i="9"/>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20" i="9"/>
  <c r="AO9" i="1"/>
  <c r="AO11" i="1"/>
  <c r="AO8" i="1"/>
  <c r="AO10" i="1"/>
  <c r="AO7" i="1"/>
  <c r="D103" i="9" l="1"/>
  <c r="G20" i="9"/>
  <c r="C32"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1" i="74" l="1"/>
  <c r="AO6" i="1"/>
  <c r="B6" i="70" l="1"/>
  <c r="B2" i="70" s="1"/>
  <c r="B3" i="70" s="1"/>
  <c r="H118" i="9"/>
  <c r="I118" i="9" s="1"/>
  <c r="C105" i="9" s="1"/>
  <c r="F118" i="9"/>
  <c r="G118" i="9" s="1"/>
  <c r="G4" i="52" s="1"/>
  <c r="B52" i="72" s="1"/>
  <c r="H102" i="9"/>
  <c r="I4" i="52" l="1"/>
  <c r="C104" i="9"/>
  <c r="H119" i="9"/>
  <c r="H5" i="52" s="1"/>
  <c r="H4" i="52"/>
  <c r="H101" i="9"/>
  <c r="E14" i="74"/>
  <c r="D7" i="53"/>
  <c r="B21" i="72" s="1"/>
  <c r="F4" i="52"/>
  <c r="B51" i="72" s="1"/>
  <c r="F119" i="9"/>
  <c r="F5" i="52" s="1"/>
  <c r="B53" i="72" s="1"/>
  <c r="D118" i="9"/>
  <c r="E118" i="9" l="1"/>
  <c r="E4" i="52" s="1"/>
  <c r="B48" i="72" s="1"/>
  <c r="D5" i="53"/>
  <c r="M48" i="9"/>
  <c r="D14" i="74"/>
  <c r="H107" i="9"/>
  <c r="D45" i="9"/>
  <c r="D4" i="52"/>
  <c r="B47" i="72" s="1"/>
  <c r="D119" i="9"/>
  <c r="D5" i="52" s="1"/>
  <c r="B49" i="72" s="1"/>
  <c r="D13" i="53" l="1"/>
  <c r="D122" i="9"/>
  <c r="H108" i="9"/>
  <c r="M49" i="9"/>
  <c r="D52" i="9"/>
  <c r="D55" i="9"/>
  <c r="M53" i="9" s="1"/>
  <c r="D53" i="9"/>
  <c r="C93" i="9"/>
  <c r="C86" i="9" s="1"/>
  <c r="C78" i="9"/>
  <c r="C73" i="9" s="1"/>
  <c r="C85" i="9"/>
  <c r="C72" i="9"/>
  <c r="C79" i="9" s="1"/>
  <c r="C64" i="9"/>
  <c r="C63" i="9" s="1"/>
  <c r="C67" i="9" s="1"/>
  <c r="F14" i="74"/>
  <c r="B5" i="74"/>
  <c r="B20" i="72"/>
  <c r="D6" i="53"/>
  <c r="B22" i="72" s="1"/>
  <c r="C95" i="9" l="1"/>
  <c r="C96" i="9" s="1"/>
  <c r="E96" i="9" s="1"/>
  <c r="E97" i="9" s="1"/>
  <c r="C5" i="74"/>
  <c r="D5" i="74"/>
  <c r="L66" i="9"/>
  <c r="M66" i="9" s="1"/>
  <c r="L68" i="9"/>
  <c r="M68" i="9" s="1"/>
  <c r="L67" i="9"/>
  <c r="M67" i="9" s="1"/>
  <c r="L63" i="9"/>
  <c r="M63" i="9" s="1"/>
  <c r="L64" i="9"/>
  <c r="M64" i="9" s="1"/>
  <c r="L65" i="9"/>
  <c r="M65" i="9" s="1"/>
  <c r="D8" i="52"/>
  <c r="D123" i="9"/>
  <c r="D9" i="52" s="1"/>
  <c r="D59" i="9"/>
  <c r="M55" i="9" s="1"/>
  <c r="C68" i="9"/>
  <c r="D54" i="9" s="1"/>
  <c r="C80" i="9"/>
  <c r="E80" i="9" s="1"/>
  <c r="E81" i="9" s="1"/>
  <c r="D15" i="53"/>
  <c r="B31" i="72" s="1"/>
  <c r="C6" i="74"/>
  <c r="B30" i="72"/>
  <c r="D14" i="53"/>
  <c r="B32" i="72"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<sst xmlns="http://schemas.openxmlformats.org/spreadsheetml/2006/main" count="7970" uniqueCount="3500">
  <si>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</si>
  <si>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</si>
  <si>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</si>
  <si>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</si>
  <si>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</si>
  <si>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</si>
  <si>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</si>
  <si>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</si>
  <si>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</si>
  <si>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</si>
  <si>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</si>
  <si>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</si>
  <si>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</si>
  <si>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</si>
  <si>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</si>
  <si>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</si>
  <si>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</si>
  <si>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</si>
  <si>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</si>
  <si>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</si>
  <si>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</si>
  <si>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</si>
  <si>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</si>
  <si>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</si>
  <si>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</si>
  <si>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</si>
  <si>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</si>
  <si>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</si>
  <si>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</si>
  <si>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</si>
  <si>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</si>
  <si>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</si>
  <si>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</si>
  <si>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</si>
  <si>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</si>
  <si>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</si>
  <si>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</si>
  <si>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</si>
  <si>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</si>
  <si>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</si>
  <si>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</si>
  <si>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</si>
  <si>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</si>
  <si>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</si>
  <si>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</si>
  <si>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</si>
  <si>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</si>
  <si>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</si>
  <si>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</si>
  <si>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</si>
  <si>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</si>
  <si>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</si>
  <si>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</si>
  <si>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</si>
  <si>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</si>
  <si>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</si>
  <si>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</si>
  <si>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</si>
  <si>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</si>
  <si>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</si>
  <si>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</si>
  <si>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</si>
  <si>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</si>
  <si>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</si>
  <si>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</si>
  <si>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</si>
  <si>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</si>
  <si>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</si>
  <si>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</si>
  <si>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</si>
  <si>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</si>
  <si>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</si>
  <si>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</si>
  <si>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</si>
  <si>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</si>
  <si>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</si>
  <si>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</si>
  <si>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</si>
  <si>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</si>
  <si>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</si>
  <si>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</si>
  <si>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</si>
  <si>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</si>
  <si>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</si>
  <si>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</si>
  <si>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</si>
  <si>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</si>
  <si>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</si>
  <si>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</si>
  <si>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</si>
  <si>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</si>
  <si>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</si>
  <si>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</si>
  <si>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</si>
  <si>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</si>
  <si>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</si>
  <si>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</si>
  <si>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</si>
  <si>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</si>
  <si>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</si>
  <si>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</si>
  <si>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</si>
  <si>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</si>
  <si>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</si>
  <si>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</si>
  <si>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</si>
  <si>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</si>
  <si>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</si>
  <si>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</si>
  <si>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</si>
  <si>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</si>
  <si>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</si>
  <si>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</si>
  <si>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</si>
  <si>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</si>
  <si>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</si>
  <si>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</si>
  <si>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</si>
  <si>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</si>
  <si>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</si>
  <si>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</si>
  <si>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</si>
  <si>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</si>
  <si>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</si>
  <si>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</si>
  <si>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</si>
  <si>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</si>
  <si>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</si>
  <si>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</si>
  <si>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</si>
  <si>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</si>
  <si>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</si>
  <si>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</si>
  <si>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</si>
  <si>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</si>
  <si>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</si>
  <si>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</si>
  <si>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</si>
  <si>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</si>
  <si>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</si>
  <si>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</si>
  <si>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</si>
  <si>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</si>
  <si>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</si>
  <si>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</si>
  <si>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</si>
  <si>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</si>
  <si>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</si>
  <si>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</si>
  <si>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</si>
  <si>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</si>
  <si>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</si>
  <si>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</si>
  <si>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</si>
  <si>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</si>
  <si>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</si>
  <si>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</si>
  <si>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</si>
  <si>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</si>
  <si>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</si>
  <si>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</si>
  <si>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</si>
  <si>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</si>
  <si>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</si>
  <si>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</si>
  <si>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</si>
  <si>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</si>
  <si>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</si>
  <si>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</si>
  <si>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</si>
  <si>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</si>
  <si>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</si>
  <si>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</si>
  <si>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</si>
  <si>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</si>
  <si>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</si>
  <si>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</si>
  <si>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</si>
  <si>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</si>
  <si>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</si>
  <si>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</si>
  <si>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</si>
  <si>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</si>
  <si>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</si>
  <si>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</si>
  <si>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</si>
  <si>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</si>
  <si>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</si>
  <si>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</si>
  <si>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</si>
  <si>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</si>
  <si>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</si>
  <si>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</si>
  <si>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</si>
  <si>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</si>
  <si>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</si>
  <si>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</si>
  <si>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</si>
  <si>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</si>
  <si>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</si>
  <si>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</si>
  <si>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</si>
  <si>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</si>
  <si>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</si>
  <si>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</si>
  <si>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</si>
  <si>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</si>
  <si>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</si>
  <si>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</si>
  <si>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</si>
  <si>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</si>
  <si>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</si>
  <si>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</si>
  <si>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</si>
  <si>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</si>
  <si>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</si>
  <si>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</si>
  <si>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</si>
  <si>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</si>
  <si>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</si>
  <si>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</si>
  <si>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</si>
  <si>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</si>
  <si>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</si>
  <si>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</si>
  <si>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</si>
  <si>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</si>
  <si>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</si>
  <si>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</si>
  <si>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</si>
  <si>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</si>
  <si>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</si>
  <si>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</si>
  <si>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</si>
  <si>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</si>
  <si>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</si>
  <si>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</si>
  <si>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</si>
  <si>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</si>
  <si>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</si>
  <si>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</si>
  <si>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</si>
  <si>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</si>
  <si>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</si>
  <si>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</si>
  <si>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</si>
  <si>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</si>
  <si>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</si>
  <si>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</si>
  <si>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</si>
  <si>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</si>
  <si>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</si>
  <si>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</si>
  <si>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</si>
  <si>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</si>
  <si>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</si>
  <si>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</si>
  <si>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</si>
  <si>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</si>
  <si>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</si>
  <si>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</si>
  <si>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</si>
  <si>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</si>
  <si>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</si>
  <si>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</si>
  <si>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</si>
  <si>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</si>
  <si>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</si>
  <si>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</si>
  <si>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</si>
  <si>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</si>
  <si>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</si>
  <si>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</si>
  <si>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</si>
  <si>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</si>
  <si>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</si>
  <si>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</si>
  <si>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</si>
  <si>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</si>
  <si>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</si>
  <si>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</si>
  <si>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</si>
  <si>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</si>
  <si>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</si>
  <si>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</si>
  <si>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</si>
  <si>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</si>
  <si>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</si>
  <si>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</si>
  <si>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</si>
  <si>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</si>
  <si>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</si>
  <si>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</si>
  <si>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</si>
  <si>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</si>
  <si>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</si>
  <si>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</si>
  <si>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</si>
  <si>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</si>
  <si>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</si>
  <si>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</si>
  <si>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</si>
  <si>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</si>
  <si>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</si>
  <si>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</si>
  <si>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</si>
  <si>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</si>
  <si>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</si>
  <si>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</si>
  <si>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</si>
  <si>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</si>
  <si>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</si>
  <si>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</si>
  <si>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</si>
  <si>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</si>
  <si>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</si>
  <si>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</si>
  <si>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</si>
  <si>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</si>
  <si>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</si>
  <si>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</si>
  <si>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</si>
  <si>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</si>
  <si>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</si>
  <si>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</si>
  <si>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</si>
  <si>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</si>
  <si>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</si>
  <si>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</si>
  <si>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</si>
  <si>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</si>
  <si>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</si>
  <si>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</si>
  <si>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</si>
  <si>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</si>
  <si>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</si>
  <si>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</si>
  <si>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</si>
  <si>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</si>
  <si>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</si>
  <si>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</si>
  <si>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</si>
  <si>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</si>
  <si>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</si>
  <si>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</si>
  <si>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</si>
  <si>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</si>
  <si>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</si>
  <si>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</si>
  <si>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</si>
  <si>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</si>
  <si>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</si>
  <si>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</si>
  <si>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</si>
  <si>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</si>
  <si>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</si>
  <si>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</si>
  <si>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</si>
  <si>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</si>
  <si>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</si>
  <si>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</si>
  <si>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</si>
  <si>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</si>
  <si>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</si>
  <si>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</si>
  <si>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</si>
  <si>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</si>
  <si>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</si>
  <si>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</si>
  <si>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</si>
  <si>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</si>
  <si>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</si>
  <si>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</si>
  <si>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</si>
  <si>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</si>
  <si>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</si>
  <si>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</si>
  <si>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</si>
  <si>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</si>
  <si>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</si>
  <si>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</si>
  <si>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</si>
  <si>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</si>
  <si>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</si>
  <si>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</si>
  <si>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</si>
  <si>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</si>
  <si>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</si>
  <si>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</si>
  <si>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</si>
  <si>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</si>
  <si>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</si>
  <si>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</si>
  <si>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</si>
  <si>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</si>
  <si>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</si>
  <si>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</si>
  <si>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</si>
  <si>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</si>
  <si>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</si>
  <si>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</si>
  <si>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</si>
  <si>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</si>
  <si>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</si>
  <si>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</si>
  <si>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</si>
  <si>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</si>
  <si>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</si>
  <si>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</si>
  <si>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</si>
  <si>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</si>
  <si>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</si>
  <si>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</si>
  <si>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</si>
  <si>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</si>
  <si>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</si>
  <si>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</si>
  <si>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</si>
  <si>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</si>
  <si>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</si>
  <si>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</si>
  <si>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</si>
  <si>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</si>
  <si>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</si>
  <si>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</si>
  <si>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</si>
  <si>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</si>
  <si>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</si>
  <si>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</si>
  <si>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</si>
  <si>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</si>
  <si>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</si>
  <si>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</si>
  <si>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</si>
  <si>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</si>
  <si>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</si>
  <si>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</si>
  <si>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</si>
  <si>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</si>
  <si>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</si>
  <si>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</si>
  <si>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</si>
  <si>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</si>
  <si>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</si>
  <si>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</si>
  <si>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</si>
  <si>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</si>
  <si>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</si>
  <si>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</si>
  <si>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</si>
  <si>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</si>
  <si>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</si>
  <si>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</si>
  <si>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</si>
  <si>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</si>
  <si>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</si>
  <si>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</si>
  <si>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</si>
  <si>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</si>
  <si>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</si>
  <si>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</si>
  <si>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</si>
  <si>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</si>
  <si>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</si>
  <si>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</si>
  <si>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</si>
  <si>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</si>
  <si>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</si>
  <si>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</si>
  <si>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</si>
  <si>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</si>
  <si>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</si>
  <si>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</si>
  <si>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</si>
  <si>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</si>
  <si>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</si>
  <si>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</si>
  <si>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</si>
  <si>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</si>
  <si>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</si>
  <si>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</si>
  <si>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</si>
  <si>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</si>
  <si>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</si>
  <si>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</si>
  <si>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</si>
  <si>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</si>
  <si>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</si>
  <si>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</si>
  <si>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</si>
  <si>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</si>
  <si>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</si>
  <si>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</si>
  <si>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</si>
  <si>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</si>
  <si>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</si>
  <si>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</si>
  <si>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</si>
  <si>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</si>
  <si>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</si>
  <si>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</si>
  <si>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</si>
  <si>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</si>
  <si>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</si>
  <si>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</si>
  <si>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</si>
  <si>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</si>
  <si>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</si>
  <si>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</si>
  <si>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</si>
  <si>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</si>
  <si>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</si>
  <si>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</si>
  <si>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</si>
  <si>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</si>
  <si>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</si>
  <si>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</si>
  <si>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</si>
  <si>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</si>
  <si>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</si>
  <si>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</si>
  <si>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</si>
  <si>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</si>
  <si>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</si>
  <si>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</si>
  <si>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</si>
  <si>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</si>
  <si>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</si>
  <si>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</si>
  <si>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</si>
  <si>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</si>
  <si>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</si>
  <si>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</si>
  <si>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</si>
  <si>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</si>
  <si>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</si>
  <si>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</si>
  <si>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</si>
  <si>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</si>
  <si>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</si>
  <si>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</si>
  <si>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</si>
  <si>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</si>
  <si>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</si>
  <si>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</si>
  <si>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</si>
  <si>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</si>
  <si>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</si>
  <si>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</si>
  <si>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</si>
  <si>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</si>
  <si>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</si>
  <si>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</si>
  <si>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</si>
  <si>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</si>
  <si>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</si>
  <si>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</si>
  <si>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</si>
  <si>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</si>
  <si>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</si>
  <si>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</si>
  <si>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</si>
  <si>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</si>
  <si>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</si>
  <si>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</si>
  <si>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</si>
  <si>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</si>
  <si>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</si>
  <si>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</si>
  <si>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</si>
  <si>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</si>
  <si>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</si>
  <si>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</si>
  <si>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</si>
  <si>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</si>
  <si>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</si>
  <si>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</si>
  <si>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</si>
  <si>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</si>
  <si>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</si>
  <si>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</si>
  <si>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</si>
  <si>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</si>
  <si>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</si>
  <si>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</si>
  <si>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</si>
  <si>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</si>
  <si>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</si>
  <si>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</si>
  <si>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</si>
  <si>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</si>
  <si>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</si>
  <si>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</si>
  <si>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</si>
  <si>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</si>
  <si>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</si>
  <si>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</si>
  <si>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</si>
  <si>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</si>
  <si>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</si>
  <si>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</si>
  <si>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</si>
  <si>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</si>
  <si>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</si>
  <si>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</si>
  <si>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</si>
  <si>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</si>
  <si>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</si>
  <si>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</si>
  <si>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</si>
  <si>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</si>
  <si>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</si>
  <si>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</si>
  <si>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</si>
  <si>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</si>
  <si>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</si>
  <si>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</si>
  <si>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</si>
  <si>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</si>
  <si>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</si>
  <si>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</si>
  <si>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</si>
  <si>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</si>
  <si>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</si>
  <si>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</si>
  <si>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</si>
  <si>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</si>
  <si>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</si>
  <si>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</si>
  <si>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</si>
  <si>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</si>
  <si>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</si>
  <si>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</si>
  <si>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</si>
  <si>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</si>
  <si>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</si>
  <si>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</si>
  <si>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</si>
  <si>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</si>
  <si>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</si>
  <si>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</si>
  <si>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</si>
  <si>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</si>
  <si>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</si>
  <si>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</si>
  <si>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</si>
  <si>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</si>
  <si>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</si>
  <si>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</si>
  <si>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</si>
  <si>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</si>
  <si>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</si>
  <si>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</si>
  <si>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</si>
  <si>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</si>
  <si>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</si>
  <si>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</si>
  <si>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</si>
  <si>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</si>
  <si>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</si>
  <si>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</si>
  <si>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</si>
  <si>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</si>
  <si>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</si>
  <si>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</si>
  <si>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</si>
  <si>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</si>
  <si>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</si>
  <si>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</si>
  <si>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</si>
  <si>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</si>
  <si>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</si>
  <si>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</si>
  <si>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</si>
  <si>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</si>
  <si>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</si>
  <si>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</si>
  <si>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</si>
  <si>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</si>
  <si>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</si>
  <si>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</si>
  <si>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</si>
  <si>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</si>
  <si>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</si>
  <si>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</si>
  <si>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</si>
  <si>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</si>
  <si>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</si>
  <si>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</si>
  <si>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</si>
  <si>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</si>
  <si>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</si>
  <si>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</si>
  <si>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</si>
  <si>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</si>
  <si>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</si>
  <si>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</si>
  <si>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</si>
  <si>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</si>
  <si>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</si>
  <si>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</si>
  <si>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</si>
  <si>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</si>
  <si>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</si>
  <si>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</si>
  <si>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</si>
  <si>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</si>
  <si>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</si>
  <si>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</si>
  <si>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</si>
  <si>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</si>
  <si>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</si>
  <si>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</si>
  <si>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</si>
  <si>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</si>
  <si>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</si>
  <si>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</si>
  <si>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</si>
  <si>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</si>
  <si>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</si>
  <si>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</si>
  <si>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</si>
  <si>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</si>
  <si>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</si>
  <si>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</si>
  <si>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</si>
  <si>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</si>
  <si>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</si>
  <si>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</si>
  <si>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</si>
  <si>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</si>
  <si>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</si>
  <si>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</si>
  <si>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</si>
  <si>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</si>
  <si>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</si>
  <si>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</si>
  <si>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</si>
  <si>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</si>
  <si>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</si>
  <si>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</si>
  <si>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</si>
  <si>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</si>
  <si>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</si>
  <si>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</si>
  <si>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</si>
  <si>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</si>
  <si>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</si>
  <si>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</si>
  <si>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</si>
  <si>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</si>
  <si>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</si>
  <si>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</si>
  <si>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</si>
  <si>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</si>
  <si>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</si>
  <si>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</si>
  <si>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</si>
  <si>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</si>
  <si>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</si>
  <si>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</si>
  <si>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</si>
  <si>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</si>
  <si>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</si>
  <si>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</si>
  <si>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</si>
  <si>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</si>
  <si>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</si>
  <si>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</si>
  <si>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</si>
  <si>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</si>
  <si>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</si>
  <si>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</si>
  <si>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</si>
  <si>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</si>
  <si>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</si>
  <si>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</si>
  <si>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</si>
  <si>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</si>
  <si>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</si>
  <si>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</si>
  <si>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</si>
  <si>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</si>
  <si>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</si>
  <si>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</si>
  <si>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</si>
  <si>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</si>
  <si>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</si>
  <si>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</si>
  <si>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</si>
  <si>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</si>
  <si>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</si>
  <si>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</si>
  <si>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</si>
  <si>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</si>
  <si>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</si>
  <si>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</si>
  <si>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</si>
  <si>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</si>
  <si>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</si>
  <si>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</si>
  <si>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</si>
  <si>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</si>
  <si>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</si>
  <si>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</si>
  <si>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</si>
  <si>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</si>
  <si>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</si>
  <si>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</si>
  <si>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</si>
  <si>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</si>
  <si>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</si>
  <si>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</si>
  <si>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</si>
  <si>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</si>
  <si>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</si>
  <si>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</si>
  <si>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</si>
  <si>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</si>
  <si>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</si>
  <si>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</si>
  <si>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</si>
  <si>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</si>
  <si>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</si>
  <si>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</si>
  <si>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</si>
  <si>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</si>
  <si>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</si>
  <si>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</si>
  <si>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</si>
  <si>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</si>
  <si>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</si>
  <si>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</si>
  <si>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</si>
  <si>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</si>
  <si>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</si>
  <si>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</si>
  <si>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</si>
  <si>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</si>
  <si>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</si>
  <si>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</si>
  <si>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</si>
  <si>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</si>
  <si>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</si>
  <si>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</si>
  <si>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</si>
  <si>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</si>
  <si>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</si>
  <si>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</si>
  <si>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</si>
  <si>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</si>
  <si>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</si>
  <si>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</si>
  <si>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</si>
  <si>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</si>
  <si>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</si>
  <si>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</si>
  <si>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</si>
  <si>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</si>
  <si>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</si>
  <si>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</si>
  <si>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</si>
  <si>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</si>
  <si>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</si>
  <si>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</si>
  <si>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</si>
  <si>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</si>
  <si>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</si>
  <si>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</si>
  <si>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</si>
  <si>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</si>
  <si>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</si>
  <si>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</si>
  <si>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</si>
  <si>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</si>
  <si>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</si>
  <si>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</si>
  <si>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</si>
  <si>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</si>
  <si>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</si>
  <si>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</si>
  <si>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</si>
  <si>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</si>
  <si>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</si>
  <si>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</si>
  <si>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</si>
  <si>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</si>
  <si>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</si>
  <si>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</si>
  <si>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</si>
  <si>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</si>
  <si>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</si>
  <si>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</si>
  <si>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</si>
  <si>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</si>
  <si>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</si>
  <si>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</si>
  <si>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</si>
  <si>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</si>
  <si>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</si>
  <si>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</si>
  <si>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</si>
  <si>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</si>
  <si>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</si>
  <si>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</si>
  <si>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</si>
  <si>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</si>
  <si>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</si>
  <si>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</si>
  <si>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</si>
  <si>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</si>
  <si>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</si>
  <si>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</si>
  <si>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</si>
  <si>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</si>
  <si>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</si>
  <si>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</si>
  <si>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</si>
  <si>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</si>
  <si>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</si>
  <si>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</si>
  <si>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</si>
  <si>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</si>
  <si>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</si>
  <si>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</si>
  <si>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</si>
  <si>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</si>
  <si>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</si>
  <si>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</si>
  <si>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</si>
  <si>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</si>
  <si>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</si>
  <si>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</si>
  <si>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</si>
  <si>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</si>
  <si>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</si>
  <si>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</si>
  <si>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</si>
  <si>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</si>
  <si>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</si>
  <si>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</si>
  <si>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</si>
  <si>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</si>
  <si>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</si>
  <si>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</si>
  <si>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</si>
  <si>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</si>
  <si>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</si>
  <si>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</si>
  <si>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</si>
  <si>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</si>
  <si>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</si>
  <si>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</si>
  <si>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</si>
  <si>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</si>
  <si>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</si>
  <si>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</si>
  <si>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</si>
  <si>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</si>
  <si>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</si>
  <si>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</si>
  <si>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</si>
  <si>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</si>
  <si>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</si>
  <si>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</si>
  <si>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</si>
  <si>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</si>
  <si>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</si>
  <si>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</si>
  <si>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</si>
  <si>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</si>
  <si>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</si>
  <si>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</si>
  <si>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</si>
  <si>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</si>
  <si>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</si>
  <si>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</si>
  <si>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</si>
  <si>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</si>
  <si>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</si>
  <si>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</si>
  <si>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</si>
  <si>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</si>
  <si>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</si>
  <si>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</si>
  <si>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</si>
  <si>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</si>
  <si>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</si>
  <si>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</si>
  <si>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</si>
  <si>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</si>
  <si>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</si>
  <si>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</si>
  <si>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</si>
  <si>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</si>
  <si>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</si>
  <si>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</si>
  <si>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</si>
  <si>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</si>
  <si>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</si>
  <si>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</si>
  <si>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</si>
  <si>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</si>
  <si>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</si>
  <si>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</si>
  <si>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</si>
  <si>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</si>
  <si>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</si>
  <si>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</si>
  <si>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</si>
  <si>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</si>
  <si>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</si>
  <si>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</si>
  <si>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</si>
  <si>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</si>
  <si>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</si>
  <si>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</si>
  <si>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</si>
  <si>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</si>
  <si>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</si>
  <si>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</si>
  <si>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</si>
  <si>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</si>
  <si>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</si>
  <si>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</si>
  <si>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</si>
  <si>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</si>
  <si>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</si>
  <si>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</si>
  <si>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</si>
  <si>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</si>
  <si>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</si>
  <si>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</si>
  <si>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</si>
  <si>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</si>
  <si>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</si>
  <si>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</si>
  <si>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</si>
  <si>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</si>
  <si>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</si>
  <si>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</si>
  <si>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</si>
  <si>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</si>
  <si>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</si>
  <si>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</si>
  <si>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</si>
  <si>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</si>
  <si>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</si>
  <si>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</si>
  <si>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</si>
  <si>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</si>
  <si>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</si>
  <si>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</si>
  <si>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</si>
  <si>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</si>
  <si>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</si>
  <si>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</si>
  <si>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</si>
  <si>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</si>
  <si>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</si>
  <si>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</si>
  <si>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</si>
  <si>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</si>
  <si>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</si>
  <si>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</si>
  <si>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</si>
  <si>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</si>
  <si>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</si>
  <si>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</si>
  <si>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</si>
  <si>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</si>
  <si>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</si>
  <si>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</si>
  <si>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</si>
  <si>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</si>
  <si>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</si>
  <si>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</si>
  <si>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</si>
  <si>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</si>
  <si>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</si>
  <si>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</si>
  <si>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</si>
  <si>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</si>
  <si>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</si>
  <si>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</si>
  <si>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</si>
  <si>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</si>
  <si>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</si>
  <si>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</si>
  <si>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</si>
  <si>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</si>
  <si>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</si>
  <si>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</si>
  <si>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</si>
  <si>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</si>
  <si>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</si>
  <si>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</si>
  <si>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</si>
  <si>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</si>
  <si>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</si>
  <si>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</si>
  <si>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</si>
  <si>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</si>
  <si>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</si>
  <si>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</si>
  <si>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</si>
  <si>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</si>
  <si>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</si>
  <si>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</si>
  <si>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</si>
  <si>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</si>
  <si>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</si>
  <si>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</si>
  <si>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</si>
  <si>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</si>
  <si>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</si>
  <si>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</si>
  <si>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</si>
  <si>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</si>
  <si>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</si>
  <si>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</si>
  <si>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</si>
  <si>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</si>
  <si>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</si>
  <si>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</si>
  <si>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</si>
  <si>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</si>
  <si>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</si>
  <si>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</si>
  <si>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</si>
  <si>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</si>
  <si>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</si>
  <si>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</si>
  <si>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</si>
  <si>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</si>
  <si>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</si>
  <si>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</si>
  <si>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</si>
  <si>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</si>
  <si>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</si>
  <si>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</si>
  <si>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</si>
  <si>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</si>
  <si>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</si>
  <si>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</si>
  <si>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</si>
  <si>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</si>
  <si>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</si>
  <si>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</si>
  <si>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</si>
  <si>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</si>
  <si>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</si>
  <si>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</si>
  <si>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</si>
  <si>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</si>
  <si>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</si>
  <si>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</si>
  <si>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</si>
  <si>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</si>
  <si>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</si>
  <si>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</si>
  <si>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</si>
  <si>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</si>
  <si>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</si>
  <si>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</si>
  <si>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</si>
  <si>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</si>
  <si>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</si>
  <si>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</si>
  <si>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</si>
  <si>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</si>
  <si>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</si>
  <si>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</si>
  <si>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</si>
  <si>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</si>
  <si>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</si>
  <si>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</si>
  <si>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</si>
  <si>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</si>
  <si>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</si>
  <si>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</si>
  <si>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</si>
  <si>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</si>
  <si>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</si>
  <si>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</si>
  <si>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</si>
  <si>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</si>
  <si>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</si>
  <si>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</si>
  <si>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</si>
  <si>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</si>
  <si>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</si>
  <si>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</si>
  <si>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</si>
  <si>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</si>
  <si>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</si>
  <si>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</si>
  <si>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</si>
  <si>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</si>
  <si>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</si>
  <si>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</si>
  <si>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</si>
  <si>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</si>
  <si>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</si>
  <si>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</si>
  <si>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</si>
  <si>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</si>
  <si>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</si>
  <si>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</si>
  <si>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</si>
  <si>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</si>
  <si>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</si>
  <si>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</si>
  <si>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</si>
  <si>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</si>
  <si>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</si>
  <si>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</si>
  <si>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</si>
  <si>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</si>
  <si>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</si>
  <si>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</si>
  <si>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</si>
  <si>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</si>
  <si>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</si>
  <si>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</si>
  <si>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</si>
  <si>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</si>
  <si>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</si>
  <si>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</si>
  <si>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</si>
  <si>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</si>
  <si>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</si>
  <si>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</si>
  <si>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</si>
  <si>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</si>
  <si>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</si>
  <si>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</si>
  <si>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</si>
  <si>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</si>
  <si>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</si>
  <si>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</si>
  <si>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</si>
  <si>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</si>
  <si>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</si>
  <si>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</si>
  <si>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</si>
  <si>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</si>
  <si>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</si>
  <si>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</si>
  <si>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</si>
  <si>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</si>
  <si>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</si>
  <si>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</si>
  <si>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</si>
  <si>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</si>
  <si>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</si>
  <si>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</si>
  <si>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</si>
  <si>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</si>
  <si>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</si>
  <si>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</si>
  <si>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</si>
  <si>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</si>
  <si>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</si>
  <si>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</si>
  <si>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</si>
  <si>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</si>
  <si>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</si>
  <si>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</si>
  <si>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</si>
  <si>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</si>
  <si>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</si>
  <si>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</si>
  <si>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</si>
  <si>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</si>
  <si>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</si>
  <si>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</si>
  <si>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</si>
  <si>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</si>
  <si>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</si>
  <si>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</si>
  <si>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</si>
  <si>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</si>
  <si>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</si>
  <si>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</si>
  <si>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</si>
  <si>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</si>
  <si>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</si>
  <si>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</si>
  <si>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</si>
  <si>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</si>
  <si>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</si>
  <si>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</si>
  <si>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</si>
  <si>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</si>
  <si>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</si>
  <si>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</si>
  <si>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</si>
  <si>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</si>
  <si>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</si>
  <si>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</si>
  <si>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</si>
  <si>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</si>
  <si>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</si>
  <si>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</si>
  <si>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</si>
  <si>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</si>
  <si>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</si>
  <si>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</si>
  <si>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</si>
  <si>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</si>
  <si>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</si>
  <si>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</si>
  <si>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</si>
  <si>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</si>
  <si>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</si>
  <si>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</si>
  <si>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</si>
  <si>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</si>
  <si>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</si>
  <si>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</si>
  <si>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</si>
  <si>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</si>
  <si>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</si>
  <si>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</si>
  <si>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</si>
  <si>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</si>
  <si>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</si>
  <si>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</si>
  <si>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</si>
  <si>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</si>
  <si>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</si>
  <si>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</si>
  <si>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</si>
  <si>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</si>
  <si>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</si>
  <si>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</si>
  <si>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</si>
  <si>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</si>
  <si>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</si>
  <si>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</si>
  <si>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</si>
  <si>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</si>
  <si>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</si>
  <si>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</si>
  <si>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</si>
  <si>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</si>
  <si>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</si>
  <si>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</si>
  <si>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</si>
  <si>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</si>
  <si>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</si>
  <si>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</si>
  <si>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</si>
  <si>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</si>
  <si>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</si>
  <si>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</si>
  <si>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</si>
  <si>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</si>
  <si>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</si>
  <si>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</si>
  <si>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</si>
  <si>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</si>
  <si>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</si>
  <si>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</si>
  <si>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</si>
  <si>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</si>
  <si>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</si>
  <si>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</si>
  <si>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</si>
  <si>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</si>
  <si>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</si>
  <si>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</si>
  <si>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</si>
  <si>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</si>
  <si>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</si>
  <si>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</si>
  <si>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</si>
  <si>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</si>
  <si>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</si>
  <si>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</si>
  <si>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</si>
  <si>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</si>
  <si>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</si>
  <si>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</si>
  <si>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</si>
  <si>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</si>
  <si>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</si>
  <si>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</si>
  <si>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</si>
  <si>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</si>
  <si>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</si>
  <si>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</si>
  <si>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</si>
  <si>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</si>
  <si>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</si>
  <si>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</si>
  <si>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</si>
  <si>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</si>
  <si>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</si>
  <si>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</si>
  <si>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</si>
  <si>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</si>
  <si>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</si>
  <si>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</si>
  <si>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</si>
  <si>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</si>
  <si>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</si>
  <si>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</si>
  <si>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</si>
  <si>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</si>
  <si>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</si>
  <si>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</si>
  <si>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</si>
  <si>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</si>
  <si>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</si>
  <si>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</si>
  <si>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</si>
  <si>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</si>
  <si>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</si>
  <si>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</si>
  <si>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</si>
  <si>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</si>
  <si>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</si>
  <si>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</si>
  <si>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</si>
  <si>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</si>
  <si>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</si>
  <si>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</si>
  <si>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</si>
  <si>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</si>
  <si>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</si>
  <si>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</si>
  <si>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</si>
  <si>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</si>
  <si>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</si>
  <si>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</si>
  <si>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</si>
  <si>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</si>
  <si>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</si>
  <si>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</si>
  <si>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</si>
  <si>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</si>
  <si>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</si>
  <si>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</si>
  <si>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</si>
  <si>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</si>
  <si>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</si>
  <si>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</si>
  <si>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</si>
  <si>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</si>
  <si>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</si>
  <si>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</si>
  <si>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</si>
  <si>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</si>
  <si>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</si>
  <si>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</si>
  <si>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</si>
  <si>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</si>
  <si>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</si>
  <si>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</si>
  <si>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</si>
  <si>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</si>
  <si>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</si>
  <si>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</si>
  <si>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</si>
  <si>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</si>
  <si>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</si>
  <si>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</si>
  <si>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</si>
  <si>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</si>
  <si>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</si>
  <si>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</si>
  <si>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</si>
  <si>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</si>
  <si>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</si>
  <si>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</si>
  <si>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</si>
  <si>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</si>
  <si>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</si>
  <si>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</si>
  <si>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</si>
  <si>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</si>
  <si>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</si>
  <si>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</si>
  <si>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</si>
  <si>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</si>
  <si>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</si>
  <si>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</si>
  <si>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</si>
  <si>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</si>
  <si>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</si>
  <si>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</si>
  <si>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</si>
  <si>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</si>
  <si>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</si>
  <si>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</si>
  <si>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</si>
  <si>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</si>
  <si>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</si>
  <si>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</si>
  <si>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</si>
  <si>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</si>
  <si>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</si>
  <si>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</si>
  <si>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</si>
  <si>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</si>
  <si>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</si>
  <si>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</si>
  <si>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</si>
  <si>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</si>
  <si>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</si>
  <si>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</si>
  <si>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</si>
  <si>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</si>
  <si>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</si>
  <si>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</si>
  <si>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</si>
  <si>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</si>
  <si>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</si>
  <si>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</si>
  <si>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</si>
  <si>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</si>
  <si>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</si>
  <si>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</si>
  <si>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</si>
  <si>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</si>
  <si>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</si>
  <si>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</si>
  <si>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</si>
  <si>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</si>
  <si>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</si>
  <si>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</si>
  <si>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</si>
  <si>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</si>
  <si>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</si>
  <si>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</si>
  <si>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</si>
  <si>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</si>
  <si>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</si>
  <si>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</si>
  <si>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</si>
  <si>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</si>
  <si>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</si>
  <si>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</si>
  <si>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</si>
  <si>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</si>
  <si>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</si>
  <si>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</si>
  <si>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</si>
  <si>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</si>
  <si>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</si>
  <si>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</si>
  <si>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</si>
  <si>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</si>
  <si>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</si>
  <si>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</si>
  <si>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</si>
  <si>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</si>
  <si>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</si>
  <si>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</si>
  <si>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</si>
  <si>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</si>
  <si>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</si>
  <si>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</si>
  <si>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</si>
  <si>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</si>
  <si>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</si>
  <si>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</si>
  <si>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</si>
  <si>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</si>
  <si>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</si>
  <si>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</si>
  <si>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</si>
  <si>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</si>
  <si>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</si>
  <si>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</si>
  <si>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</si>
  <si>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</si>
  <si>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</si>
  <si>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</si>
  <si>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</si>
  <si>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</si>
  <si>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</si>
  <si>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</si>
  <si>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</si>
  <si>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</si>
  <si>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</si>
  <si>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</si>
  <si>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</si>
  <si>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</si>
  <si>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</si>
  <si>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</si>
  <si>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</si>
  <si>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</si>
  <si>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</si>
  <si>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</si>
  <si>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</si>
  <si>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</si>
  <si>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</si>
  <si>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</si>
  <si>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</si>
  <si>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</si>
  <si>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</si>
  <si>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</si>
  <si>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</si>
  <si>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</si>
  <si>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</si>
  <si>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</si>
  <si>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</si>
  <si>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</si>
  <si>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</si>
  <si>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</si>
  <si>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</si>
  <si>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</si>
  <si>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</si>
  <si>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</si>
  <si>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</si>
  <si>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</si>
  <si>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</si>
  <si>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</si>
  <si>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</si>
  <si>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</si>
  <si>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</si>
  <si>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</si>
  <si>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</si>
  <si>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</si>
  <si>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</si>
  <si>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</si>
  <si>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</si>
  <si>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</si>
  <si>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</si>
  <si>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</si>
  <si>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</si>
  <si>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</si>
  <si>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</si>
  <si>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</si>
  <si>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</si>
  <si>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</si>
  <si>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</si>
  <si>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</si>
  <si>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</si>
  <si>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</si>
  <si>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</si>
  <si>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</si>
  <si>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</si>
  <si>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</si>
  <si>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</si>
  <si>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</si>
  <si>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</si>
  <si>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</si>
  <si>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</si>
  <si>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</si>
  <si>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</si>
  <si>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</si>
  <si>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</si>
  <si>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</si>
  <si>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</si>
  <si>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</si>
  <si>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</si>
  <si>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</si>
  <si>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</si>
  <si>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</si>
  <si>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</si>
  <si>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</si>
  <si>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</si>
  <si>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</si>
  <si>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</si>
  <si>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</si>
  <si>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</si>
  <si>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</si>
  <si>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</si>
  <si>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</si>
  <si>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</si>
  <si>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</si>
  <si>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</si>
  <si>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</si>
  <si>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</si>
  <si>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</si>
  <si>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</si>
  <si>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</si>
  <si>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</si>
  <si>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</si>
  <si>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</si>
  <si>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</si>
  <si>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</si>
  <si>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</si>
  <si>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</si>
  <si>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</si>
  <si>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</si>
  <si>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</si>
  <si>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</si>
  <si>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</si>
  <si>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</si>
  <si>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</si>
  <si>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</si>
  <si>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</si>
  <si>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</si>
  <si>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</si>
  <si>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</si>
  <si>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</si>
  <si>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</si>
  <si>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</si>
  <si>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</si>
  <si>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</si>
  <si>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</si>
  <si>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</si>
  <si>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</si>
  <si>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</si>
  <si>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</si>
  <si>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</si>
  <si>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</si>
  <si>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</si>
  <si>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</si>
  <si>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</si>
  <si>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</si>
  <si>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</si>
  <si>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</si>
  <si>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</si>
  <si>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</si>
  <si>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</si>
  <si>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</si>
  <si>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</si>
  <si>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</si>
  <si>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</si>
  <si>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</si>
  <si>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</si>
  <si>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</si>
  <si>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</si>
  <si>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</si>
  <si>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</si>
  <si>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</si>
  <si>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</si>
  <si>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</si>
  <si>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</si>
  <si>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</si>
  <si>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</si>
  <si>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</si>
  <si>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</si>
  <si>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</si>
  <si>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</si>
  <si>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</si>
  <si>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</si>
  <si>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</si>
  <si>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</si>
  <si>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</si>
  <si>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</si>
  <si>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</si>
  <si>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</si>
  <si>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</si>
  <si>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</si>
  <si>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</si>
  <si>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</si>
  <si>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</si>
  <si>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</si>
  <si>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</si>
  <si>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</si>
  <si>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</si>
  <si>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</si>
  <si>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</si>
  <si>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</si>
  <si>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</si>
  <si>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</si>
  <si>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</si>
  <si>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</si>
  <si>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</si>
  <si>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</si>
  <si>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</si>
  <si>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</si>
  <si>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</si>
  <si>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</si>
  <si>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</si>
  <si>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</si>
  <si>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</si>
  <si>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</si>
  <si>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</si>
  <si>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</si>
  <si>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</si>
  <si>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</si>
  <si>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</si>
  <si>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</si>
  <si>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</si>
  <si>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</si>
  <si>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</si>
  <si>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</si>
  <si>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</si>
  <si>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</si>
  <si>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</si>
  <si>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</si>
  <si>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</si>
  <si>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</si>
  <si>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</si>
  <si>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</si>
  <si>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</si>
  <si>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</si>
  <si>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</si>
  <si>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</si>
  <si>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</si>
  <si>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</si>
  <si>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</si>
  <si>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</si>
  <si>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</si>
  <si>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</si>
  <si>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</si>
  <si>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</si>
  <si>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</si>
  <si>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</si>
  <si>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</si>
  <si>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</si>
  <si>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</si>
  <si>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</si>
  <si>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</si>
  <si>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</si>
  <si>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</si>
  <si>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</si>
  <si>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</si>
  <si>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</si>
  <si>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</si>
  <si>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</si>
  <si>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</si>
  <si>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</si>
  <si>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</si>
  <si>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</si>
  <si>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</si>
  <si>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</si>
  <si>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</si>
  <si>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</si>
  <si>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</si>
  <si>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</si>
  <si>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</si>
  <si>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</si>
  <si>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</si>
  <si>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</si>
  <si>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</si>
  <si>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</si>
  <si>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</si>
  <si>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</si>
  <si>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</si>
  <si>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</si>
  <si>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</si>
  <si>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</si>
  <si>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</si>
  <si>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</si>
  <si>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</si>
  <si>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</si>
  <si>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</si>
  <si>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</si>
  <si>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</si>
  <si>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</si>
  <si>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</si>
  <si>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</si>
  <si>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</si>
  <si>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</si>
  <si>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</si>
  <si>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</si>
  <si>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</si>
  <si>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</si>
  <si>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</si>
  <si>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</si>
  <si>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</si>
  <si>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</si>
  <si>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</si>
  <si>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</si>
  <si>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</si>
  <si>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</si>
  <si>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</si>
  <si>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</si>
  <si>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</si>
  <si>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</si>
  <si>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</si>
  <si>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</si>
  <si>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</si>
  <si>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</si>
  <si>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</si>
  <si>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</si>
  <si>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</si>
  <si>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</si>
  <si>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</si>
  <si>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</si>
  <si>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</si>
  <si>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</si>
  <si>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</si>
  <si>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</si>
  <si>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</si>
  <si>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</si>
  <si>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</si>
  <si>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</si>
  <si>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</si>
  <si>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</si>
  <si>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</si>
  <si>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</si>
  <si>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</si>
  <si>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</si>
  <si>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</si>
  <si>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</si>
  <si>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</si>
  <si>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</si>
  <si>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</si>
  <si>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</si>
  <si>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</si>
  <si>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</si>
  <si>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</si>
  <si>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</si>
  <si>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</si>
  <si>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</si>
  <si>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</si>
  <si>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</si>
  <si>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</si>
  <si>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</si>
  <si>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</si>
  <si>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</si>
  <si>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</si>
  <si>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</si>
  <si>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</si>
  <si>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</si>
  <si>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</si>
  <si>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</si>
  <si>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</si>
  <si>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</si>
  <si>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</si>
  <si>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</si>
  <si>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</si>
  <si>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</si>
  <si>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</si>
  <si>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</si>
  <si>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</si>
  <si>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</si>
  <si>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</si>
  <si>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</si>
  <si>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</si>
  <si>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</si>
  <si>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</si>
  <si>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</si>
  <si>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</si>
  <si>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</si>
  <si>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</si>
  <si>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</si>
  <si>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</si>
  <si>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</si>
  <si>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</si>
  <si>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</si>
  <si>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</si>
  <si>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</si>
  <si>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</si>
  <si>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</si>
  <si>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</si>
  <si>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</si>
  <si>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</si>
  <si>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</si>
  <si>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</si>
  <si>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</si>
  <si>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</si>
  <si>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</si>
  <si>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</si>
  <si>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</si>
  <si>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</si>
  <si>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</si>
  <si>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</si>
  <si>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</si>
  <si>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</si>
  <si>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</si>
  <si>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</si>
  <si>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</si>
  <si>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</si>
  <si>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</si>
  <si>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</si>
  <si>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</si>
  <si>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</si>
  <si>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</si>
  <si>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</si>
  <si>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</si>
  <si>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</si>
  <si>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</si>
  <si>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</si>
  <si>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</si>
  <si>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</si>
  <si>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</si>
  <si>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</si>
  <si>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</si>
  <si>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</si>
  <si>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</si>
  <si>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</si>
  <si>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</si>
  <si>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</si>
  <si>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</si>
  <si>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</si>
  <si>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</si>
  <si>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</si>
  <si>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</si>
  <si>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</si>
  <si>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</si>
  <si>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</si>
  <si>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</si>
  <si>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</si>
  <si>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</si>
  <si>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</si>
  <si>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</si>
  <si>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</si>
  <si>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</si>
  <si>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</si>
  <si>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</si>
  <si>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</si>
  <si>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</si>
  <si>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</si>
  <si>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</si>
  <si>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</si>
  <si>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</si>
  <si>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</si>
  <si>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</si>
  <si>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</si>
  <si>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</si>
  <si>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</si>
  <si>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</si>
  <si>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</si>
  <si>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</si>
  <si>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</si>
  <si>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</si>
  <si>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</si>
  <si>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</si>
  <si>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</si>
  <si>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</si>
  <si>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</si>
  <si>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</si>
  <si>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</si>
  <si>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</si>
  <si>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</si>
  <si>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</si>
  <si>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</si>
  <si>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</si>
  <si>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</si>
  <si>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</si>
  <si>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</si>
  <si>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</si>
  <si>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</si>
  <si>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</si>
  <si>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</si>
  <si>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</si>
  <si>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</si>
  <si>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</si>
  <si>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</si>
  <si>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</si>
  <si>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</si>
  <si>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</si>
  <si>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</si>
  <si>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</si>
  <si>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</si>
  <si>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</si>
  <si>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</si>
  <si>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</si>
  <si>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</si>
  <si>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</si>
  <si>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</si>
  <si>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</si>
  <si>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</si>
  <si>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</si>
  <si>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</si>
  <si>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</si>
  <si>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</si>
  <si>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</si>
  <si>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</si>
  <si>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</si>
  <si>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</si>
  <si>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</si>
  <si>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</si>
  <si>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</si>
  <si>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</si>
  <si>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</si>
  <si>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</si>
  <si>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</si>
  <si>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</si>
  <si>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</si>
  <si>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</si>
  <si>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</si>
  <si>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</si>
  <si>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</si>
  <si>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</si>
  <si>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</si>
  <si>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</si>
  <si>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</si>
  <si>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</si>
  <si>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</si>
  <si>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</si>
  <si>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</si>
  <si>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</si>
  <si>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</si>
  <si>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</si>
  <si>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</si>
  <si>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</si>
  <si>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</si>
  <si>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</si>
  <si>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</si>
  <si>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</si>
  <si>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</si>
  <si>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</si>
  <si>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</si>
  <si>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</si>
  <si>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</si>
  <si>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</si>
  <si>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</si>
  <si>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</si>
  <si>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</si>
  <si>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</si>
  <si>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</si>
  <si>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</si>
  <si>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</si>
  <si>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</si>
  <si>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</si>
  <si>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</si>
  <si>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</si>
  <si>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</si>
  <si>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</si>
  <si>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</si>
  <si>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</si>
  <si>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</si>
  <si>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</si>
  <si>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</si>
  <si>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</si>
  <si>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</si>
  <si>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</si>
  <si>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</si>
  <si>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</si>
  <si>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</si>
  <si>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</si>
  <si>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</si>
  <si>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</si>
  <si>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</si>
  <si>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</si>
  <si>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</si>
  <si>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</si>
  <si>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</si>
  <si>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</si>
  <si>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</si>
  <si>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</si>
  <si>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</si>
  <si>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</si>
  <si>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</si>
  <si>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</si>
  <si>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</si>
  <si>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</si>
  <si>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</si>
  <si>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</si>
  <si>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</si>
  <si>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</si>
  <si>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</si>
  <si>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</si>
  <si>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</si>
  <si>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</si>
  <si>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</si>
  <si>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</si>
  <si>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</si>
  <si>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</si>
  <si>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</si>
  <si>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</si>
  <si>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</si>
  <si>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</si>
  <si>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</si>
  <si>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</si>
  <si>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</si>
  <si>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</si>
  <si>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</si>
  <si>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</si>
  <si>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</si>
  <si>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</si>
  <si>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</si>
  <si>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</si>
  <si>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</si>
  <si>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</si>
  <si>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</si>
  <si>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</si>
  <si>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</si>
  <si>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</si>
  <si>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</si>
  <si>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</si>
  <si>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</si>
  <si>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</si>
  <si>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</si>
  <si>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</si>
  <si>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</si>
  <si>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</si>
  <si>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</si>
  <si>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</si>
  <si>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</si>
  <si>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</si>
  <si>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</si>
  <si>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</si>
  <si>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</si>
  <si>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</si>
  <si>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</si>
  <si>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</si>
  <si>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</si>
  <si>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</si>
  <si>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</si>
  <si>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</si>
  <si>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</si>
  <si>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</si>
  <si>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</si>
  <si>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</si>
  <si>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</si>
  <si>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</si>
  <si>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</si>
  <si>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</si>
  <si>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</si>
  <si>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</si>
  <si>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</si>
  <si>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</si>
  <si>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</si>
  <si>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</si>
  <si>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</si>
  <si>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</si>
  <si>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</si>
  <si>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</si>
  <si>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</si>
  <si>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</si>
  <si>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</si>
  <si>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</si>
  <si>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</si>
  <si>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</si>
  <si>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</si>
  <si>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</si>
  <si>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</si>
  <si>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</si>
  <si>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</si>
  <si>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</si>
  <si>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</si>
  <si>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</si>
  <si>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</si>
  <si>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</si>
  <si>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</si>
  <si>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</si>
  <si>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</si>
  <si>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</si>
  <si>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</si>
  <si>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</si>
  <si>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</si>
  <si>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</si>
  <si>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</si>
  <si>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</si>
  <si>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</si>
  <si>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</si>
  <si>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</si>
  <si>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</si>
  <si>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</si>
  <si>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</si>
  <si>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</si>
  <si>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</si>
  <si>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</si>
  <si>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</si>
  <si>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</si>
  <si>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</si>
  <si>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</si>
  <si>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</si>
  <si>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</si>
  <si>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</si>
  <si>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</si>
  <si>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</si>
  <si>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</si>
  <si>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</si>
  <si>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</si>
  <si>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</si>
  <si>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</si>
  <si>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</si>
  <si>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</si>
  <si>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</si>
  <si>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</si>
  <si>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</si>
  <si>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</si>
  <si>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</si>
  <si>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</si>
  <si>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</si>
  <si>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</si>
  <si>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</si>
  <si>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</si>
  <si>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</si>
  <si>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</si>
  <si>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</si>
  <si>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</si>
  <si>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</si>
  <si>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</si>
  <si>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</si>
  <si>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</si>
  <si>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</si>
  <si>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</si>
  <si>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</si>
  <si>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</si>
  <si>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</si>
  <si>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</si>
  <si>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</si>
  <si>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</si>
  <si>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</si>
  <si>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</si>
  <si>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</si>
  <si>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</si>
  <si>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</si>
  <si>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</si>
  <si>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</si>
  <si>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</si>
  <si>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</si>
  <si>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</si>
  <si>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</si>
  <si>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</si>
  <si>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</si>
  <si>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</si>
  <si>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</si>
  <si>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</si>
  <si>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</si>
  <si>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</si>
  <si>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</si>
  <si>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</si>
  <si>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</si>
  <si>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</si>
  <si>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</si>
  <si>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</si>
  <si>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</si>
  <si>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</si>
  <si>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</si>
  <si>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</si>
  <si>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</si>
  <si>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</si>
  <si>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</si>
  <si>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</si>
  <si>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</si>
  <si>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</si>
  <si>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</si>
  <si>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</si>
  <si>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</si>
  <si>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</si>
  <si>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</si>
  <si>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</si>
  <si>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</si>
  <si>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</si>
  <si>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</si>
  <si>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</si>
  <si>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</si>
  <si>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</si>
  <si>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</si>
  <si>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</si>
  <si>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</si>
  <si>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</si>
  <si>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</si>
  <si>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</si>
  <si>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</si>
  <si>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</si>
  <si>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</si>
  <si>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</si>
  <si>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</si>
  <si>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</si>
  <si>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</si>
  <si>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</si>
  <si>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</si>
  <si>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</si>
  <si>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</si>
  <si>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</si>
  <si>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</si>
  <si>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</si>
  <si>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</si>
  <si>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</si>
  <si>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</si>
  <si>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</si>
  <si>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</si>
  <si>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</si>
  <si>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</si>
  <si>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</si>
  <si>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</si>
  <si>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</si>
  <si>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</si>
  <si>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</si>
  <si>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</si>
  <si>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</si>
  <si>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</si>
  <si>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</si>
  <si>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</si>
  <si>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</si>
  <si>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</si>
  <si>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</si>
  <si>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</si>
  <si>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</si>
  <si>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</si>
  <si>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</si>
  <si>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</si>
  <si>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</si>
  <si>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</si>
  <si>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</si>
  <si>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</si>
  <si>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</si>
  <si>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</si>
  <si>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</si>
  <si>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</si>
  <si>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</si>
  <si>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</si>
  <si>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</si>
  <si>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</si>
  <si>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</si>
  <si>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</si>
  <si>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</si>
  <si>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</si>
  <si>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</si>
  <si>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</si>
  <si>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</si>
  <si>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</si>
  <si>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</si>
  <si>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</si>
  <si>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</si>
  <si>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</si>
  <si>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</si>
  <si>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</si>
  <si>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</si>
  <si>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</si>
  <si>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</si>
  <si>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</si>
  <si>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</si>
  <si>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</si>
  <si>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</si>
  <si>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</si>
  <si>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</si>
  <si>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</si>
  <si>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</si>
  <si>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</si>
  <si>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</si>
  <si>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</si>
  <si>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</si>
  <si>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</si>
  <si>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</si>
  <si>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</si>
  <si>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</si>
  <si>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</si>
  <si>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</si>
  <si>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</si>
  <si>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</si>
  <si>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</si>
  <si>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</si>
  <si>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</si>
  <si>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</si>
  <si>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</si>
  <si>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</si>
  <si>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</si>
  <si>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</si>
  <si>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</si>
  <si>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</si>
  <si>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</si>
  <si>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</si>
  <si>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</si>
  <si>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</si>
  <si>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</si>
  <si>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</si>
  <si>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</si>
  <si>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</si>
  <si>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</si>
  <si>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</si>
  <si>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</si>
  <si>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</si>
  <si>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</si>
  <si>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</si>
  <si>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</si>
  <si>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</si>
  <si>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</si>
  <si>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</si>
  <si>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</si>
  <si>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</si>
  <si>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</si>
  <si>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</si>
  <si>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</si>
  <si>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</si>
  <si>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</si>
  <si>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</si>
  <si>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</si>
  <si>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</si>
  <si>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</si>
  <si>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</si>
  <si>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</si>
  <si>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</si>
  <si>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</si>
  <si>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</si>
  <si>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</si>
  <si>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</si>
  <si>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</si>
  <si>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</si>
  <si>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</si>
  <si>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</si>
  <si>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</si>
  <si>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</si>
  <si>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</si>
  <si>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</si>
  <si>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</si>
  <si>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</si>
  <si>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</si>
  <si>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</si>
  <si>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</si>
  <si>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</si>
  <si>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</si>
  <si>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</si>
  <si>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</si>
  <si>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</si>
  <si>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</si>
  <si>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</si>
  <si>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</si>
  <si>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</si>
  <si>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</si>
  <si>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</si>
  <si>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</si>
  <si>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</si>
  <si>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</si>
  <si>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</si>
  <si>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</si>
  <si>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</si>
  <si>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</si>
  <si>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</si>
  <si>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</si>
  <si>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</si>
  <si>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</si>
  <si>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</si>
  <si>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</si>
  <si>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</si>
  <si>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</si>
  <si>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</si>
  <si>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</si>
  <si>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</si>
  <si>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</si>
  <si>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</si>
  <si>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</si>
  <si>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</si>
  <si>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</si>
  <si>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</si>
  <si>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</si>
  <si>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</si>
  <si>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</si>
  <si>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</si>
  <si>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</si>
  <si>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</si>
  <si>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</si>
  <si>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</si>
  <si>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</si>
  <si>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</si>
  <si>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</si>
  <si>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</si>
  <si>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</si>
  <si>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</si>
  <si>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</si>
  <si>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</si>
  <si>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</si>
  <si>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</si>
  <si>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</si>
  <si>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</si>
  <si>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</si>
  <si>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</si>
  <si>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</si>
  <si>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</si>
  <si>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</si>
  <si>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</si>
  <si>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</si>
  <si>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</si>
  <si>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</si>
  <si>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</si>
  <si>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</si>
  <si>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</si>
  <si>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</si>
  <si>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</si>
  <si>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</si>
  <si>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</si>
  <si>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</si>
  <si>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</si>
  <si>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</si>
  <si>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</si>
  <si>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</si>
  <si>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</si>
  <si>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</si>
  <si>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</si>
  <si>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</si>
  <si>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</si>
  <si>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</si>
  <si>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</si>
  <si>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</si>
  <si>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</si>
  <si>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</si>
  <si>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</si>
  <si>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</si>
  <si>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</si>
  <si>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</si>
  <si>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</si>
  <si>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</si>
  <si>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</si>
  <si>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</si>
  <si>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</si>
  <si>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</si>
  <si>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</si>
  <si>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</si>
  <si>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</si>
  <si>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</si>
  <si>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</si>
  <si>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</si>
  <si>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</si>
  <si>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</si>
  <si>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</si>
  <si>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</si>
  <si>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</si>
  <si>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</si>
  <si>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</si>
  <si>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</si>
  <si>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</si>
  <si>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</si>
  <si>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</si>
  <si>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</si>
  <si>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</si>
  <si>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</si>
  <si>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</si>
  <si>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</si>
  <si>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</si>
  <si>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</si>
  <si>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</si>
  <si>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</si>
  <si>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</si>
  <si>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</si>
  <si>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</si>
  <si>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</si>
  <si>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</si>
  <si>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</si>
  <si>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</si>
  <si>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</si>
  <si>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</si>
  <si>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</si>
  <si>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</si>
  <si>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</si>
  <si>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</si>
  <si>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</si>
  <si>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</si>
  <si>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</si>
  <si>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</si>
  <si>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</si>
  <si>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</si>
  <si>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</si>
  <si>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</si>
  <si>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</si>
  <si>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</si>
  <si>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</si>
  <si>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</si>
  <si>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</si>
  <si>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</si>
  <si>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</si>
  <si>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</si>
  <si>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</si>
  <si>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</si>
  <si>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</si>
  <si>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</si>
  <si>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</si>
  <si>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</si>
  <si>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</si>
  <si>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</si>
  <si>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</si>
  <si>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</si>
  <si>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</si>
  <si>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</si>
  <si>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</si>
  <si>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</si>
  <si>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</si>
  <si>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</si>
  <si>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</si>
  <si>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</si>
  <si>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</si>
  <si>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</si>
  <si>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</si>
  <si>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</si>
  <si>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</si>
  <si>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</si>
  <si>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</si>
  <si>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</si>
  <si>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</si>
  <si>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</si>
  <si>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</si>
  <si>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</si>
  <si>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</si>
  <si>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</si>
  <si>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</si>
  <si>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</si>
  <si>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</si>
  <si>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</si>
  <si>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</si>
  <si>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</si>
  <si>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</si>
  <si>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</si>
  <si>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</si>
  <si>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</si>
  <si>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</si>
  <si>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</si>
  <si>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</si>
  <si>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</si>
  <si>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</si>
  <si>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</si>
  <si>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</si>
  <si>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</si>
  <si>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</si>
  <si>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</si>
  <si>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</si>
  <si>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</si>
  <si>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</si>
  <si>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</si>
  <si>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</si>
  <si>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</si>
  <si>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</si>
  <si>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</si>
  <si>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</si>
  <si>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</si>
  <si>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</si>
  <si>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</si>
  <si>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</si>
  <si>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</si>
  <si>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</si>
  <si>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</si>
  <si>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</si>
  <si>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</si>
  <si>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</si>
  <si>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</si>
  <si>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</si>
  <si>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</si>
  <si>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</si>
  <si>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</si>
  <si>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</si>
  <si>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</si>
  <si>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</si>
  <si>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</si>
  <si>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</si>
  <si>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</si>
  <si>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</si>
  <si>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</si>
  <si>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</si>
  <si>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</si>
  <si>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</si>
  <si>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</si>
  <si>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</si>
  <si>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</si>
  <si>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</si>
  <si>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</si>
  <si>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</si>
  <si>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</si>
  <si>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</si>
  <si>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</si>
  <si>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</si>
  <si>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</si>
  <si>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</si>
  <si>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</si>
  <si>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</si>
  <si>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</si>
  <si>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</si>
  <si>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</si>
  <si>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</si>
  <si>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</si>
  <si>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</si>
  <si>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</si>
  <si>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</si>
  <si>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</si>
  <si>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</si>
  <si>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</si>
  <si>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</si>
  <si>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</si>
  <si>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</si>
  <si>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</si>
  <si>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</si>
  <si>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</si>
  <si>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</si>
  <si>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</si>
  <si>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</si>
  <si>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</si>
  <si>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</si>
  <si>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</si>
  <si>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</si>
  <si>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</si>
  <si>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</si>
  <si>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</si>
  <si>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</si>
  <si>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</si>
  <si>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</si>
  <si>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</si>
  <si>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</si>
  <si>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</si>
  <si>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</si>
  <si>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</si>
  <si>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</si>
  <si>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</si>
  <si>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</si>
  <si>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</si>
  <si>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</si>
  <si>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</si>
  <si>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</si>
  <si>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</si>
  <si>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</si>
  <si>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</si>
  <si>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</si>
  <si>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</si>
  <si>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</si>
  <si>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</si>
  <si>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</si>
  <si>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</si>
  <si>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</si>
  <si>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</si>
  <si>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</si>
  <si>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</si>
  <si>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</si>
  <si>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</si>
  <si>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</si>
  <si>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</si>
  <si>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</si>
  <si>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</si>
  <si>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</si>
  <si>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</si>
  <si>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</si>
  <si>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</si>
  <si>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</si>
  <si>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</si>
  <si>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</si>
  <si>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</si>
  <si>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</si>
  <si>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</si>
  <si>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</si>
  <si>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</si>
  <si>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</si>
  <si>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</si>
  <si>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</si>
  <si>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</si>
  <si>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</si>
  <si>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</si>
  <si>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</si>
  <si>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</si>
  <si>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</si>
  <si>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</si>
  <si>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</si>
  <si>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</si>
  <si>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</si>
  <si>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</si>
  <si>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</si>
  <si>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</si>
  <si>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</si>
  <si>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</si>
  <si>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</si>
  <si>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</si>
  <si>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</si>
  <si>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</si>
  <si>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</si>
  <si>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</si>
  <si>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</si>
  <si>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</si>
  <si>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</si>
  <si>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</si>
  <si>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</si>
  <si>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</si>
  <si>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</si>
  <si>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</si>
  <si>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</si>
  <si>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</si>
  <si>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</si>
  <si>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</si>
  <si>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</si>
  <si>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</si>
  <si>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</si>
  <si>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</si>
  <si>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</si>
  <si>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</si>
  <si>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</si>
  <si>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</si>
  <si>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</si>
  <si>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</si>
  <si>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</si>
  <si>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</si>
  <si>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</si>
  <si>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</si>
  <si>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</si>
  <si>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</si>
  <si>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</si>
  <si>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</si>
  <si>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</si>
  <si>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</si>
  <si>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</si>
  <si>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</si>
  <si>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</si>
  <si>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</si>
  <si>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</si>
  <si>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</si>
  <si>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</si>
  <si>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</si>
  <si>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</si>
  <si>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</si>
  <si>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</si>
  <si>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</si>
  <si>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</si>
  <si>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</si>
  <si>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</si>
  <si>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</si>
  <si>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</si>
  <si>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</si>
  <si>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</si>
  <si>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</si>
  <si>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</si>
  <si>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</si>
  <si>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</si>
  <si>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</si>
  <si>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</si>
  <si>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</si>
  <si>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</si>
  <si>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</si>
  <si>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</si>
  <si>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</si>
  <si>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</si>
  <si>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</si>
  <si>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</si>
  <si>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</si>
  <si>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</si>
  <si>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</si>
  <si>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</si>
  <si>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</si>
  <si>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</si>
  <si>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</si>
  <si>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</si>
  <si>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</si>
  <si>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</si>
  <si>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</si>
  <si>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</si>
  <si>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</si>
  <si>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</si>
  <si>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</si>
  <si>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</si>
  <si>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</si>
  <si>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</si>
  <si>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</si>
  <si>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</si>
  <si>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</si>
  <si>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</si>
  <si>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</si>
  <si>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</si>
  <si>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</si>
  <si>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</si>
  <si>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</si>
  <si>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</si>
  <si>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</si>
  <si>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</si>
  <si>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</si>
  <si>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</si>
  <si>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</si>
  <si>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</si>
  <si>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</si>
  <si>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</si>
  <si>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</si>
  <si>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</si>
  <si>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</si>
  <si>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</si>
  <si>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</si>
  <si>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</si>
  <si>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</si>
  <si>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</si>
  <si>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</si>
  <si>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</si>
  <si>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</si>
  <si>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</si>
  <si>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</si>
  <si>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</si>
  <si>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</si>
  <si>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</si>
  <si>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</si>
  <si>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</si>
  <si>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</si>
  <si>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</si>
  <si>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</si>
  <si>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</si>
  <si>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</si>
  <si>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</si>
  <si>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</si>
  <si>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</si>
  <si>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</si>
  <si>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</si>
  <si>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</si>
  <si>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</si>
  <si>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</si>
  <si>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</si>
  <si>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</si>
  <si>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</si>
  <si>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</si>
  <si>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</si>
  <si>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</si>
  <si>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</si>
  <si>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</si>
  <si>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</si>
  <si>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</si>
  <si>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</si>
  <si>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</si>
  <si>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</si>
  <si>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</si>
  <si>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</si>
  <si>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</si>
  <si>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</si>
  <si>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</si>
  <si>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</si>
  <si>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</si>
  <si>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</si>
  <si>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</si>
  <si>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</si>
  <si>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</si>
  <si>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</si>
  <si>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</si>
  <si>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</si>
  <si>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</si>
  <si>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</si>
  <si>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</si>
  <si>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</si>
  <si>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</si>
  <si>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</si>
  <si>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</si>
  <si>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</si>
  <si>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</si>
  <si>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</si>
  <si>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</si>
  <si>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</si>
  <si>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</si>
  <si>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</si>
  <si>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</si>
  <si>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</si>
  <si>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</si>
  <si>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</si>
  <si>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</si>
  <si>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</si>
  <si>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</si>
  <si>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</si>
  <si>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</si>
  <si>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</si>
  <si>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</si>
  <si>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</si>
  <si>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</si>
  <si>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</si>
  <si>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</si>
  <si>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</si>
  <si>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</si>
  <si>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</si>
  <si>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</si>
  <si>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</si>
  <si>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</si>
  <si>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</si>
  <si>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</si>
  <si>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</si>
  <si>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</si>
  <si>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</si>
  <si>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</si>
  <si>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</si>
  <si>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</si>
  <si>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</si>
  <si>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</si>
  <si>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</si>
  <si>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</si>
  <si>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</si>
  <si>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</si>
  <si>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</si>
  <si>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</si>
  <si>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</si>
  <si>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</si>
  <si>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</si>
  <si>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</si>
  <si>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</si>
  <si>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</si>
  <si>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</si>
  <si>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</si>
  <si>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</si>
  <si>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</si>
  <si>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</si>
  <si>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</si>
  <si>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</si>
  <si>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</si>
  <si>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</si>
  <si>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</si>
  <si>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</si>
  <si>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</si>
  <si>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</si>
  <si>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</si>
  <si>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</si>
  <si>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</si>
  <si>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</si>
  <si>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</si>
  <si>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</si>
  <si>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</si>
  <si>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</si>
  <si>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</si>
  <si>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</si>
  <si>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</si>
  <si>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</si>
  <si>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</si>
  <si>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</si>
  <si>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</si>
  <si>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</si>
  <si>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</si>
  <si>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</si>
  <si>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</si>
  <si>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</si>
  <si>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</si>
  <si>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</si>
  <si>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</si>
  <si>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</si>
  <si>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</si>
  <si>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</si>
  <si>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</si>
  <si>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</si>
  <si>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</si>
  <si>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</si>
  <si>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</si>
  <si>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</si>
  <si>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</si>
  <si>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</si>
  <si>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</si>
  <si>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</si>
  <si>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</si>
  <si>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</si>
  <si>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</si>
  <si>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</si>
  <si>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</si>
  <si>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</si>
  <si>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</si>
  <si>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</si>
  <si>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</si>
  <si>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</si>
  <si>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</si>
  <si>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</si>
  <si>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</si>
  <si>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</si>
  <si>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</si>
  <si>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</si>
  <si>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</si>
  <si>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</si>
  <si>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</si>
  <si>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</si>
  <si>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</si>
  <si>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</si>
  <si>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</si>
  <si>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</si>
  <si>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</si>
  <si>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</si>
  <si>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</si>
  <si>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</si>
  <si>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</si>
  <si>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</si>
  <si>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</si>
  <si>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</si>
  <si>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</si>
  <si>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</si>
  <si>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</si>
  <si>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</si>
  <si>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</si>
  <si>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</si>
  <si>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</si>
  <si>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</si>
  <si>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</si>
  <si>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</si>
  <si>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</si>
  <si>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</si>
  <si>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</si>
  <si>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</si>
  <si>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</si>
  <si>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</si>
  <si>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</si>
  <si>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</si>
  <si>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</si>
  <si>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</si>
  <si>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</si>
  <si>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</si>
  <si>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</si>
  <si>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</si>
  <si>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</si>
  <si>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</si>
  <si>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</si>
  <si>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</si>
  <si>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</si>
  <si>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</si>
  <si>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</si>
  <si>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</si>
  <si>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</si>
  <si>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</si>
  <si>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</si>
  <si>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</si>
  <si>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</si>
  <si>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</si>
  <si>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</si>
  <si>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</si>
  <si>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</si>
  <si>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</si>
  <si>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</si>
  <si>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</si>
  <si>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</si>
  <si>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</si>
  <si>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</si>
  <si>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</si>
  <si>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</si>
  <si>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</si>
  <si>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</si>
  <si>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</si>
  <si>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</si>
  <si>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</si>
  <si>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</si>
  <si>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</si>
  <si>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</si>
  <si>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</si>
  <si>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</si>
  <si>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</si>
  <si>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</si>
  <si>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</si>
  <si>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</si>
  <si>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</si>
  <si>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</si>
  <si>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</si>
  <si>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</si>
  <si>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</si>
  <si>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</si>
  <si>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</si>
  <si>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</si>
  <si>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</si>
  <si>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</si>
  <si>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</si>
  <si>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</si>
  <si>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</si>
  <si>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</si>
  <si>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</si>
  <si>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</si>
  <si>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</si>
  <si>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</si>
  <si>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</si>
  <si>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</si>
  <si>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</si>
  <si>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</si>
  <si>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</si>
  <si>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</si>
  <si>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</si>
  <si>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</si>
  <si>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</si>
  <si>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</si>
  <si>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</si>
  <si>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</si>
  <si>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</si>
  <si>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</si>
  <si>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</si>
  <si>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</si>
  <si>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</si>
  <si>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</si>
  <si>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</si>
  <si>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</si>
  <si>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</si>
  <si>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</si>
  <si>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</si>
  <si>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</si>
  <si>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</si>
  <si>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</si>
  <si>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</si>
  <si>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</si>
  <si>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</si>
  <si>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</si>
  <si>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</si>
  <si>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</si>
  <si>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</si>
  <si>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</si>
  <si>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</si>
  <si>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</si>
  <si>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</si>
  <si>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</si>
  <si>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</si>
  <si>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</si>
  <si>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</si>
  <si>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</si>
  <si>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</si>
  <si>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</si>
  <si>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</si>
  <si>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</si>
  <si>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</si>
  <si>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</si>
  <si>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</si>
  <si>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</si>
  <si>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</si>
  <si>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</si>
  <si>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</si>
  <si>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</si>
  <si>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</si>
  <si>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</si>
  <si>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</si>
  <si>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</si>
  <si>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</si>
  <si>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</si>
  <si>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</si>
  <si>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</si>
  <si>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</si>
  <si>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</si>
  <si>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</si>
  <si>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</si>
  <si>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</si>
  <si>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</si>
  <si>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</si>
  <si>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</si>
  <si>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</si>
  <si>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</si>
  <si>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</si>
  <si>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</si>
  <si>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</si>
  <si>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</si>
  <si>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</si>
  <si>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</si>
  <si>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</si>
  <si>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</si>
  <si>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</si>
  <si>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</si>
  <si>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</si>
  <si>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</si>
  <si>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</si>
  <si>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</si>
  <si>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</si>
  <si>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</si>
  <si>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</si>
  <si>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</si>
  <si>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</si>
  <si>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</si>
  <si>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</si>
  <si>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</si>
  <si>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</si>
  <si>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</si>
  <si>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</si>
  <si>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</si>
  <si>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</si>
  <si>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</si>
  <si>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</si>
  <si>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</si>
  <si>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</si>
  <si>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</si>
  <si>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</si>
  <si>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</si>
  <si>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</si>
  <si>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</si>
  <si>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</si>
  <si>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</si>
  <si>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</si>
  <si>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</si>
  <si>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</si>
  <si>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</si>
  <si>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</si>
  <si>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</si>
  <si>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</si>
  <si>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</si>
  <si>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</si>
  <si>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</si>
  <si>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</si>
  <si>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</si>
  <si>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</si>
  <si>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</si>
  <si>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</si>
  <si>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</si>
  <si>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</si>
  <si>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</si>
  <si>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</si>
  <si>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</si>
  <si>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</si>
  <si>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</si>
  <si>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</si>
  <si>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</si>
  <si>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</si>
  <si>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</si>
  <si>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</si>
  <si>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</si>
  <si>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</si>
  <si>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</si>
  <si>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</si>
  <si>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</si>
  <si>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</si>
  <si>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</si>
  <si>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</si>
  <si>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</si>
  <si>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</si>
  <si>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</si>
  <si>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</si>
  <si>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</si>
  <si>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</si>
  <si>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</si>
  <si>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</si>
  <si>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</si>
  <si>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</si>
  <si>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</si>
  <si>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</si>
  <si>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</si>
  <si>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</si>
  <si>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</si>
  <si>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</si>
  <si>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</si>
  <si>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</si>
  <si>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</si>
  <si>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</si>
  <si>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</si>
  <si>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</si>
  <si>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</si>
  <si>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</si>
  <si>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</si>
  <si>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</si>
  <si>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</si>
  <si>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</si>
  <si>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 xml:space="preserve"> </t>
    </r>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7-2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t>
    </r>
    <phoneticPr fontId="6" type="noConversion"/>
  </si>
  <si>
    <t>厂房</t>
  </si>
  <si>
    <t>厂房</t>
    <phoneticPr fontId="6" type="noConversion"/>
  </si>
  <si>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</si>
  <si>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</si>
  <si>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</si>
  <si>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</si>
  <si>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是</t>
  </si>
  <si>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</si>
  <si>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</si>
  <si>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</si>
  <si>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</si>
  <si>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地上</t>
  </si>
  <si>
    <t>成新度</t>
  </si>
  <si>
    <t>建成年代</t>
    <phoneticPr fontId="3" type="noConversion"/>
  </si>
  <si>
    <t>直线</t>
    <phoneticPr fontId="3" type="noConversion"/>
  </si>
  <si>
    <t>单层</t>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</si>
  <si>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</si>
  <si>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</si>
  <si>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</si>
  <si>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自定义容积率</t>
  </si>
  <si>
    <t>与级别开发程度一致</t>
  </si>
  <si>
    <t>通路</t>
  </si>
  <si>
    <t>通电</t>
  </si>
  <si>
    <t>通讯</t>
  </si>
  <si>
    <t>通上水</t>
  </si>
  <si>
    <t>通下水</t>
  </si>
  <si>
    <t>平整</t>
  </si>
  <si>
    <t>一般</t>
  </si>
  <si>
    <t>较好</t>
  </si>
  <si>
    <r>
      <rPr>
        <sz val="10"/>
        <color indexed="8"/>
        <rFont val="宋体"/>
        <family val="3"/>
        <charset val="134"/>
      </rPr>
      <t>土地面积</t>
    </r>
    <phoneticPr fontId="134" type="noConversion"/>
  </si>
  <si>
    <r>
      <rPr>
        <sz val="10"/>
        <color indexed="8"/>
        <rFont val="宋体"/>
        <family val="3"/>
        <charset val="134"/>
      </rPr>
      <t>合计</t>
    </r>
    <phoneticPr fontId="134" type="noConversion"/>
  </si>
  <si>
    <t>工业</t>
    <phoneticPr fontId="7" type="noConversion"/>
  </si>
  <si>
    <t>未包含在土地购买价格中</t>
  </si>
  <si>
    <t>已包含在土地取得成本中</t>
  </si>
  <si>
    <t>基准地价修正</t>
  </si>
  <si>
    <t>砖混</t>
  </si>
  <si>
    <t>非生产用房</t>
  </si>
  <si>
    <t>押一</t>
  </si>
  <si>
    <t>成本法 (元)</t>
  </si>
  <si>
    <t>全部缴纳</t>
  </si>
  <si>
    <t>观察</t>
    <phoneticPr fontId="3" type="noConversion"/>
  </si>
  <si>
    <t>综合</t>
    <phoneticPr fontId="3" type="noConversion"/>
  </si>
  <si>
    <t>租金</t>
  </si>
  <si>
    <t>正常</t>
  </si>
  <si>
    <t>挂牌</t>
  </si>
  <si>
    <t>挂牌</t>
    <phoneticPr fontId="31" type="noConversion"/>
  </si>
  <si>
    <t>厂房</t>
    <phoneticPr fontId="31" type="noConversion"/>
  </si>
  <si>
    <t>五通</t>
  </si>
  <si>
    <t>混合</t>
  </si>
  <si>
    <t>混合</t>
    <phoneticPr fontId="31" type="noConversion"/>
  </si>
  <si>
    <t>现状利用</t>
    <phoneticPr fontId="31" type="noConversion"/>
  </si>
  <si>
    <t>幼儿园</t>
    <phoneticPr fontId="31" type="noConversion"/>
  </si>
  <si>
    <t>幼儿园</t>
    <phoneticPr fontId="31" type="noConversion"/>
  </si>
  <si>
    <t>五通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</si>
  <si>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</si>
  <si>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</si>
  <si>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</si>
  <si>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</si>
  <si>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</si>
  <si>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宿舍</t>
    <phoneticPr fontId="31" type="noConversion"/>
  </si>
  <si>
    <t>合同租金</t>
    <phoneticPr fontId="3" type="noConversion"/>
  </si>
  <si>
    <t>天数</t>
    <phoneticPr fontId="3" type="noConversion"/>
  </si>
  <si>
    <t>租金</t>
    <phoneticPr fontId="3" type="noConversion"/>
  </si>
  <si>
    <t>日租金</t>
    <phoneticPr fontId="3" type="noConversion"/>
  </si>
  <si>
    <t>年数</t>
    <phoneticPr fontId="3" type="noConversion"/>
  </si>
  <si>
    <t>直线</t>
    <phoneticPr fontId="3" type="noConversion"/>
  </si>
  <si>
    <t>租期外</t>
    <phoneticPr fontId="3" type="noConversion"/>
  </si>
  <si>
    <t>观察</t>
    <phoneticPr fontId="3" type="noConversion"/>
  </si>
  <si>
    <t>综合</t>
    <phoneticPr fontId="3" type="noConversion"/>
  </si>
  <si>
    <t>租期内平均租金</t>
    <phoneticPr fontId="3" type="noConversion"/>
  </si>
  <si>
    <t>建筑面积（㎡）</t>
    <phoneticPr fontId="134" type="noConversion"/>
  </si>
  <si>
    <t>楼号</t>
    <phoneticPr fontId="134" type="noConversion"/>
  </si>
  <si>
    <t>差</t>
  </si>
  <si>
    <t>约3.5</t>
    <phoneticPr fontId="134" type="noConversion"/>
  </si>
  <si>
    <t>约8</t>
    <phoneticPr fontId="134" type="noConversion"/>
  </si>
  <si>
    <t>层高（米）</t>
    <phoneticPr fontId="134" type="noConversion"/>
  </si>
  <si>
    <t>建造费用（元/㎡）</t>
    <phoneticPr fontId="134" type="noConversion"/>
  </si>
  <si>
    <t>剩余土地面积</t>
    <phoneticPr fontId="134" type="noConversion"/>
  </si>
  <si>
    <t>剩余土地租金</t>
    <phoneticPr fontId="134" type="noConversion"/>
  </si>
  <si>
    <t>租期内合同租金高于市场租金，根据谨慎原则采用市场租金</t>
    <phoneticPr fontId="134" type="noConversion"/>
  </si>
  <si>
    <r>
      <t>京怀国用（2</t>
    </r>
    <r>
      <rPr>
        <sz val="11"/>
        <color theme="1"/>
        <rFont val="宋体"/>
        <family val="3"/>
        <charset val="134"/>
        <scheme val="minor"/>
      </rPr>
      <t>013出）第00034号</t>
    </r>
    <phoneticPr fontId="134" type="noConversion"/>
  </si>
  <si>
    <t>工业用地</t>
    <phoneticPr fontId="134" type="noConversion"/>
  </si>
  <si>
    <t>不动产权证号</t>
    <phoneticPr fontId="134" type="noConversion"/>
  </si>
  <si>
    <t>房屋坐落</t>
    <phoneticPr fontId="134" type="noConversion"/>
  </si>
  <si>
    <t>规划用途</t>
    <phoneticPr fontId="134" type="noConversion"/>
  </si>
  <si>
    <t>幢号</t>
    <phoneticPr fontId="134" type="noConversion"/>
  </si>
  <si>
    <t>X京房权证怀字第019650号</t>
    <phoneticPr fontId="134" type="noConversion"/>
  </si>
  <si>
    <t>怀柔区开放东路21号3幢1层</t>
    <phoneticPr fontId="134" type="noConversion"/>
  </si>
  <si>
    <t>厂房</t>
    <phoneticPr fontId="134" type="noConversion"/>
  </si>
  <si>
    <t>建筑面积（㎡）</t>
    <phoneticPr fontId="134" type="noConversion"/>
  </si>
  <si>
    <t>土地面积（㎡）</t>
    <phoneticPr fontId="134" type="noConversion"/>
  </si>
  <si>
    <t>坐落</t>
    <phoneticPr fontId="134" type="noConversion"/>
  </si>
  <si>
    <t>土地证号</t>
    <phoneticPr fontId="134" type="noConversion"/>
  </si>
  <si>
    <r>
      <t>7</t>
    </r>
    <r>
      <rPr>
        <sz val="11"/>
        <color theme="1"/>
        <rFont val="宋体"/>
        <family val="3"/>
        <charset val="134"/>
        <scheme val="minor"/>
      </rPr>
      <t>-2</t>
    </r>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</si>
  <si>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</si>
  <si>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</si>
  <si>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</si>
  <si>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</si>
  <si>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</si>
  <si>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</si>
  <si>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t>X京房权证怀字第019652号</t>
    <phoneticPr fontId="134" type="noConversion"/>
  </si>
  <si>
    <t>怀柔区开放东路21号7-2幢1层全部</t>
    <phoneticPr fontId="134" type="noConversion"/>
  </si>
  <si>
    <t>地类（用途）</t>
    <phoneticPr fontId="134" type="noConversion"/>
  </si>
  <si>
    <t>合计：</t>
    <phoneticPr fontId="134" type="noConversion"/>
  </si>
  <si>
    <t>混合</t>
    <phoneticPr fontId="134" type="noConversion"/>
  </si>
  <si>
    <t>砖混</t>
    <phoneticPr fontId="134" type="noConversion"/>
  </si>
  <si>
    <t>钢混</t>
    <phoneticPr fontId="134" type="noConversion"/>
  </si>
  <si>
    <t>建安总额</t>
    <phoneticPr fontId="134" type="noConversion"/>
  </si>
  <si>
    <r>
      <t>北京市怀柔区开放东路2</t>
    </r>
    <r>
      <rPr>
        <sz val="11"/>
        <color theme="1"/>
        <rFont val="宋体"/>
        <family val="3"/>
        <charset val="134"/>
        <scheme val="minor"/>
      </rPr>
      <t>1号</t>
    </r>
    <phoneticPr fontId="134" type="noConversion"/>
  </si>
  <si>
    <t>增长率</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</si>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</sst>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176"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0" fontId="51" fillId="2"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79" fontId="44" fillId="0" borderId="3" xfId="0" applyNumberFormat="1" applyFont="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176" fontId="0" fillId="0" borderId="1" xfId="0" applyNumberFormat="1" applyBorder="1">
      <alignment vertical="center"/>
    </xf>
    <xf numFmtId="176" fontId="47" fillId="0" borderId="1" xfId="0" applyNumberFormat="1" applyFont="1" applyFill="1" applyBorder="1" applyAlignment="1" applyProtection="1">
      <alignment vertical="center" wrapText="1"/>
      <protection locked="0"/>
    </xf>
    <xf numFmtId="0" fontId="95" fillId="0" borderId="1" xfId="0" applyFont="1" applyBorder="1" applyAlignment="1">
      <alignment horizontal="center" vertical="center"/>
    </xf>
    <xf numFmtId="179" fontId="0" fillId="0" borderId="0" xfId="0" applyNumberFormat="1">
      <alignment vertical="center"/>
    </xf>
    <xf numFmtId="0" fontId="0" fillId="0" borderId="0" xfId="0" applyAlignment="1">
      <alignment vertical="center" wrapText="1"/>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95" fillId="0" borderId="0" xfId="0" applyFont="1" applyAlignment="1">
      <alignment vertical="center" wrapText="1"/>
    </xf>
    <xf numFmtId="177" fontId="47" fillId="27" borderId="1" xfId="1"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181" fontId="44" fillId="27" borderId="1" xfId="0" applyNumberFormat="1" applyFont="1" applyFill="1" applyBorder="1" applyAlignment="1" applyProtection="1">
      <alignment vertical="center"/>
      <protection locked="0"/>
    </xf>
    <xf numFmtId="9" fontId="0" fillId="0" borderId="0" xfId="17" applyFont="1">
      <alignment vertical="center"/>
    </xf>
    <xf numFmtId="0" fontId="270"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358140</xdr:colOff>
      <xdr:row>0</xdr:row>
      <xdr:rowOff>0</xdr:rowOff>
    </xdr:from>
    <xdr:to>
      <xdr:col>6</xdr:col>
      <xdr:colOff>205991</xdr:colOff>
      <xdr:row>19</xdr:row>
      <xdr:rowOff>160335</xdr:rowOff>
    </xdr:to>
    <xdr:pic>
      <xdr:nvPicPr>
        <xdr:cNvPr id="3" name="图片 2"/>
        <xdr:cNvPicPr>
          <a:picLocks noChangeAspect="1"/>
        </xdr:cNvPicPr>
      </xdr:nvPicPr>
      <xdr:blipFill>
        <a:blip xmlns:r="http://schemas.openxmlformats.org/officeDocument/2006/relationships" r:embed="rId1"/>
        <a:stretch>
          <a:fillRect/>
        </a:stretch>
      </xdr:blipFill>
      <xdr:spPr>
        <a:xfrm>
          <a:off x="967740" y="0"/>
          <a:ext cx="2895851" cy="3635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 怀柔区开放东路21号3幢1层、4幢1层、5幢1层、6幢1层、7-2幢1层全部房地产抵押价值预评估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 怀柔区开放东路21号3幢1层、4幢1层、5幢1层、6幢1层、7-2幢1层全部房地产抵押价值进行了预评估。</v>
      </c>
    </row>
    <row r="7" spans="1:2" s="1199" customFormat="1">
      <c r="A7" s="1197" t="s">
        <v>566</v>
      </c>
      <c r="B7" s="1198" t="str">
        <f>'预评函-1'!A7</f>
        <v>估价对象为北京市 怀柔区开放东路21号3幢1层、4幢1层、5幢1层、6幢1层、7-2幢1层全部房地产，为所有。根据《国有土地使用证》[]，估价对象（分摊）出让国有建设用地使用权面积为5389.47平方米，建筑面积为2447.34平方米。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2024年5月5日（评估专业人员实地查勘之日）</v>
      </c>
    </row>
    <row r="13" spans="1:2" s="1199" customFormat="1">
      <c r="A13" s="1197" t="s">
        <v>529</v>
      </c>
      <c r="B13" s="1198" t="str">
        <f>'预评函-1'!A18</f>
        <v>本次估价的“房地产价值”是指在正常市场情况下，在价值时点2024年5月5日，估价对象规划用途为厂房，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1454</v>
      </c>
    </row>
    <row r="21" spans="1:2" s="1199" customFormat="1">
      <c r="A21" s="1197" t="s">
        <v>537</v>
      </c>
      <c r="B21" s="1198">
        <f ca="1">'预评函-2'!D7</f>
        <v>5941</v>
      </c>
    </row>
    <row r="22" spans="1:2" s="1199" customFormat="1">
      <c r="A22" s="1197" t="s">
        <v>538</v>
      </c>
      <c r="B22" s="1198" t="str">
        <f ca="1">'预评函-2'!D6</f>
        <v>壹仟肆佰伍拾肆万元整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1454</v>
      </c>
    </row>
    <row r="31" spans="1:2" s="1199" customFormat="1">
      <c r="A31" s="1197" t="s">
        <v>576</v>
      </c>
      <c r="B31" s="1198">
        <f ca="1">'预评函-2'!D15</f>
        <v>5941</v>
      </c>
    </row>
    <row r="32" spans="1:2" s="1199" customFormat="1">
      <c r="A32" s="1197" t="s">
        <v>543</v>
      </c>
      <c r="B32" s="1198" t="str">
        <f ca="1">'预评函-2'!D14</f>
        <v>壹仟肆佰伍拾肆万元整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 怀柔区开放东路21号3幢1层、4幢1层、5幢1层、6幢1层、7-2幢1层全部房地产</v>
      </c>
    </row>
    <row r="42" spans="1:2" s="1199" customFormat="1">
      <c r="A42" s="1197" t="s">
        <v>590</v>
      </c>
      <c r="B42" s="1198" t="str">
        <f>'预评函-3'!B2</f>
        <v>建筑面积</v>
      </c>
    </row>
    <row r="43" spans="1:2" s="1199" customFormat="1">
      <c r="A43" s="1197" t="s">
        <v>591</v>
      </c>
      <c r="B43" s="1198">
        <f>'预评函-3'!B4</f>
        <v>2447.34</v>
      </c>
    </row>
    <row r="44" spans="1:2" s="1199" customFormat="1">
      <c r="A44" s="1197" t="s">
        <v>575</v>
      </c>
      <c r="B44" s="1198" t="str">
        <f>'预评函-3'!C2</f>
        <v>(分摊)土地面积</v>
      </c>
    </row>
    <row r="45" spans="1:2" s="1199" customFormat="1">
      <c r="A45" s="1197" t="s">
        <v>547</v>
      </c>
      <c r="B45" s="1198">
        <f>'预评函-3'!C4</f>
        <v>5389.47</v>
      </c>
    </row>
    <row r="46" spans="1:2" s="1199" customFormat="1">
      <c r="A46" s="1197" t="s">
        <v>573</v>
      </c>
      <c r="B46" s="1198" t="str">
        <f>'预评函-3'!D2</f>
        <v>出让国有建设用地使用权价值</v>
      </c>
    </row>
    <row r="47" spans="1:2" s="1199" customFormat="1">
      <c r="A47" s="1197" t="s">
        <v>548</v>
      </c>
      <c r="B47" s="1198">
        <f ca="1">'预评函-3'!D4</f>
        <v>806</v>
      </c>
    </row>
    <row r="48" spans="1:2" s="1199" customFormat="1">
      <c r="A48" s="1197" t="s">
        <v>549</v>
      </c>
      <c r="B48" s="1198">
        <f ca="1">'预评函-3'!E4</f>
        <v>3293</v>
      </c>
    </row>
    <row r="49" spans="1:2" s="1199" customFormat="1">
      <c r="A49" s="1197" t="s">
        <v>550</v>
      </c>
      <c r="B49" s="1198" t="str">
        <f ca="1">'预评函-3'!D5</f>
        <v>捌佰零陆万元整</v>
      </c>
    </row>
    <row r="50" spans="1:2" s="1199" customFormat="1">
      <c r="A50" s="1197" t="s">
        <v>574</v>
      </c>
      <c r="B50" s="1198" t="str">
        <f>'预评函-3'!F2</f>
        <v>在建建筑物价值</v>
      </c>
    </row>
    <row r="51" spans="1:2" s="1199" customFormat="1">
      <c r="A51" s="1197" t="s">
        <v>551</v>
      </c>
      <c r="B51" s="1198">
        <f ca="1">'预评函-3'!F4</f>
        <v>648</v>
      </c>
    </row>
    <row r="52" spans="1:2" s="1199" customFormat="1">
      <c r="A52" s="1197" t="s">
        <v>552</v>
      </c>
      <c r="B52" s="1198">
        <f ca="1">'预评函-3'!G4</f>
        <v>2648</v>
      </c>
    </row>
    <row r="53" spans="1:2" s="1199" customFormat="1">
      <c r="A53" s="1197" t="s">
        <v>580</v>
      </c>
      <c r="B53" s="1198" t="str">
        <f ca="1">'预评函-3'!F5</f>
        <v>陆佰肆拾捌万元整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5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8"/>
      <c r="B54" s="1550" t="s">
        <v>385</v>
      </c>
      <c r="C54" s="1547" t="s">
        <v>583</v>
      </c>
    </row>
    <row r="55" spans="1:4">
      <c r="A55" s="3528"/>
      <c r="B55" s="1550" t="s">
        <v>386</v>
      </c>
      <c r="C55" s="1547" t="s">
        <v>584</v>
      </c>
    </row>
    <row r="56" spans="1:4">
      <c r="A56" s="3528"/>
      <c r="B56" s="1550" t="s">
        <v>387</v>
      </c>
      <c r="C56" s="1547" t="s">
        <v>588</v>
      </c>
    </row>
    <row r="57" spans="1:4">
      <c r="A57" s="352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9" t="s">
        <v>2584</v>
      </c>
      <c r="J2" s="3529"/>
      <c r="K2" s="3529"/>
      <c r="L2" s="3529"/>
      <c r="M2" s="3529"/>
      <c r="N2" s="3529"/>
      <c r="O2" s="3529"/>
      <c r="P2" s="3529"/>
      <c r="Q2" s="3529"/>
      <c r="R2" s="3529"/>
    </row>
    <row r="3" spans="1:18">
      <c r="A3" s="3016" t="s">
        <v>2505</v>
      </c>
      <c r="B3" s="3017">
        <f>项目基本情况!D3</f>
        <v>45417</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2.62</v>
      </c>
      <c r="D5" s="3021">
        <f>IF(ISERROR(ROUND(POWER(1+E5,A5-C5)*(POWER(1+E5,C5)-1)/(POWER(1+E5,A5)-1),3)),0,ROUND(POWER(1+E5,A5-C5)*(POWER(1+E5,C5)-1)/(POWER(1+E5,A5)-1),4))</f>
        <v>0.12330000000000001</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12.63</v>
      </c>
      <c r="D6" s="3021">
        <f>IF(ISERROR(ROUND(POWER(1+E6,A6-C6)*(POWER(1+E6,C6)-1)/(POWER(1+E6,A6)-1),3)),0,ROUND(POWER(1+E6,A6-C6)*(POWER(1+E6,C6)-1)/(POWER(1+E6,A6)-1),4))</f>
        <v>0.4546</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32.64</v>
      </c>
      <c r="D7" s="3021">
        <f>IF(ISERROR(ROUND(POWER(1+E7,A7-C7)*(POWER(1+E7,C7)-1)/(POWER(1+E7,A7)-1),3)),0,ROUND(POWER(1+E7,A7-C7)*(POWER(1+E7,C7)-1)/(POWER(1+E7,A7)-1),4))</f>
        <v>0.77159999999999995</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G10" sqref="G1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38" t="str">
        <f>IF(B10="北京市","北京市",C10)&amp;F10&amp;IF(结果表!G1="在建","出让国有建设用地使用权及在建建筑物",IF(结果表!G1="土地","出让国有建设用地使用权",))&amp;B9&amp;"预评估"</f>
        <v>北京市 怀柔区开放东路21号3幢1层、4幢1层、5幢1层、6幢1层、7-2幢1层全部房地产抵押价值预评估</v>
      </c>
      <c r="C1" s="3539"/>
      <c r="D1" s="3539"/>
      <c r="E1" s="3539"/>
      <c r="F1" s="3539"/>
      <c r="G1" s="3539"/>
      <c r="H1" s="3539"/>
      <c r="I1" s="354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 怀柔区开放东路21号3幢1层、4幢1层、5幢1层、6幢1层、7-2幢1层全部房地产抵押价值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 怀柔区开放东路21号3幢1层、4幢1层、5幢1层、6幢1层、7-2幢1层全部房地产</v>
      </c>
      <c r="T2" s="1741"/>
      <c r="U2" s="1741"/>
      <c r="V2" s="1741"/>
      <c r="W2" s="1741"/>
      <c r="X2" s="1741"/>
      <c r="Y2" s="1741"/>
      <c r="Z2" s="1741"/>
      <c r="AA2" s="1741"/>
      <c r="AB2" s="1741"/>
    </row>
    <row r="3" spans="1:30">
      <c r="A3" s="302" t="s">
        <v>2170</v>
      </c>
      <c r="B3" s="2369">
        <v>45417</v>
      </c>
      <c r="C3" s="2370" t="s">
        <v>2171</v>
      </c>
      <c r="D3" s="2369">
        <v>45417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541" t="s">
        <v>2177</v>
      </c>
      <c r="E8" s="2387" t="s">
        <v>3384</v>
      </c>
      <c r="F8" s="2388"/>
      <c r="G8" s="2659"/>
      <c r="H8" s="2659"/>
      <c r="I8" s="2659"/>
      <c r="J8" s="2435"/>
      <c r="K8" s="2610"/>
      <c r="L8" s="2609"/>
      <c r="M8" s="2609"/>
      <c r="N8" s="2435"/>
      <c r="O8" s="2446"/>
      <c r="P8" s="2435"/>
      <c r="Q8" s="2435"/>
      <c r="R8" s="2435"/>
    </row>
    <row r="9" spans="1:30" ht="13.5" thickBot="1">
      <c r="A9" s="2389" t="s">
        <v>2178</v>
      </c>
      <c r="B9" s="2390" t="s">
        <v>3384</v>
      </c>
      <c r="C9" s="2391"/>
      <c r="D9" s="3542"/>
      <c r="E9" s="2390" t="s">
        <v>43</v>
      </c>
      <c r="F9" s="2392"/>
      <c r="G9" s="2661"/>
      <c r="H9" s="2661"/>
      <c r="I9" s="2661"/>
      <c r="J9" s="2435"/>
      <c r="K9" s="2612"/>
      <c r="L9" s="2609"/>
      <c r="M9" s="2609"/>
      <c r="N9" s="2435"/>
      <c r="O9" s="2446"/>
      <c r="P9" s="2435"/>
      <c r="Q9" s="2435"/>
      <c r="R9" s="2435"/>
    </row>
    <row r="10" spans="1:30" ht="13.5" thickTop="1">
      <c r="A10" s="2393" t="s">
        <v>2179</v>
      </c>
      <c r="B10" s="2394" t="s">
        <v>3385</v>
      </c>
      <c r="C10" s="2395"/>
      <c r="D10" s="2378"/>
      <c r="E10" s="2396" t="s">
        <v>2180</v>
      </c>
      <c r="F10" s="2662" t="s">
        <v>3387</v>
      </c>
      <c r="G10" s="2663"/>
      <c r="H10" s="2664"/>
      <c r="I10" s="2665"/>
      <c r="J10" s="2435"/>
      <c r="K10" s="2612"/>
      <c r="L10" s="2609"/>
      <c r="M10" s="2609"/>
      <c r="N10" s="2435"/>
      <c r="O10" s="2446"/>
      <c r="P10" s="2435"/>
      <c r="Q10" s="2435"/>
      <c r="R10" s="2435"/>
    </row>
    <row r="11" spans="1:30">
      <c r="A11" s="2397" t="s">
        <v>2181</v>
      </c>
      <c r="B11" s="2398" t="s">
        <v>3386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3336</v>
      </c>
      <c r="B13" s="2403" t="s">
        <v>2190</v>
      </c>
      <c r="C13" s="852"/>
      <c r="D13" s="852"/>
      <c r="E13" s="852"/>
      <c r="F13" s="852"/>
      <c r="G13" s="852"/>
      <c r="H13" s="852">
        <v>54266</v>
      </c>
      <c r="I13" s="852">
        <v>49618</v>
      </c>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24.24</v>
      </c>
      <c r="I15" s="2406">
        <f>IF(A13="出让",IF(I13="","",ROUNDDOWN(MIN((I13-$D$3)/365,I14),2)),I14)</f>
        <v>11.5</v>
      </c>
      <c r="J15" s="3060"/>
      <c r="K15" s="2447"/>
      <c r="L15" s="2447"/>
      <c r="M15" s="2505"/>
      <c r="N15" s="2447"/>
      <c r="O15" s="2505"/>
      <c r="P15" s="2435"/>
      <c r="Q15" s="2435"/>
      <c r="AD15" s="1741"/>
    </row>
    <row r="16" spans="1:30">
      <c r="A16" s="2396" t="s">
        <v>2193</v>
      </c>
      <c r="B16" s="3548" t="s">
        <v>3389</v>
      </c>
      <c r="C16" s="3549"/>
      <c r="D16" s="3550"/>
      <c r="E16" s="2409" t="s">
        <v>2194</v>
      </c>
      <c r="F16" s="3551"/>
      <c r="G16" s="3552"/>
      <c r="H16" s="3552"/>
      <c r="I16" s="3553"/>
      <c r="J16" s="2435"/>
      <c r="K16" s="2613"/>
      <c r="L16" s="2447"/>
      <c r="M16" s="2447"/>
      <c r="N16" s="2505"/>
      <c r="O16" s="2447"/>
      <c r="P16" s="2505"/>
      <c r="Q16" s="2435"/>
      <c r="R16" s="2435"/>
    </row>
    <row r="17" spans="1:28">
      <c r="A17" s="313" t="s">
        <v>2195</v>
      </c>
      <c r="B17" s="302" t="s">
        <v>2196</v>
      </c>
      <c r="C17" s="8">
        <f>'数据-汇总表'!E3</f>
        <v>2447.34</v>
      </c>
      <c r="D17" s="2318" t="s">
        <v>2197</v>
      </c>
      <c r="E17" s="3554" t="s">
        <v>2198</v>
      </c>
      <c r="F17" s="3555"/>
      <c r="G17" s="3555"/>
      <c r="H17" s="3555"/>
      <c r="I17" s="3556"/>
      <c r="J17" s="2435"/>
      <c r="K17" s="2614"/>
      <c r="L17" s="2447"/>
      <c r="M17" s="2447"/>
      <c r="N17" s="2505"/>
      <c r="O17" s="2447"/>
      <c r="P17" s="2505"/>
      <c r="Q17" s="2435"/>
      <c r="R17" s="2435"/>
      <c r="S17" s="2435"/>
      <c r="T17" s="2435"/>
      <c r="U17" s="2435"/>
      <c r="V17" s="2435"/>
    </row>
    <row r="18" spans="1:28" ht="24.75" thickBot="1">
      <c r="A18" s="2410" t="s">
        <v>2199</v>
      </c>
      <c r="B18" s="1086" t="s">
        <v>2200</v>
      </c>
      <c r="C18" s="2411">
        <f>'数据-汇总表'!D3</f>
        <v>5389.47</v>
      </c>
      <c r="D18" s="1088" t="s">
        <v>2201</v>
      </c>
      <c r="E18" s="3557" t="s">
        <v>2202</v>
      </c>
      <c r="F18" s="3558"/>
      <c r="G18" s="3558"/>
      <c r="H18" s="3558"/>
      <c r="I18" s="3559"/>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44" t="s">
        <v>2206</v>
      </c>
      <c r="C20" s="3545"/>
      <c r="D20" s="3546" t="s">
        <v>2207</v>
      </c>
      <c r="E20" s="3547"/>
      <c r="F20" s="2643" t="s">
        <v>1056</v>
      </c>
      <c r="G20" s="2660"/>
      <c r="H20" s="2660"/>
      <c r="I20" s="2660"/>
      <c r="J20" s="2435"/>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1" t="s">
        <v>2214</v>
      </c>
      <c r="B27" s="320" t="s">
        <v>2215</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1"/>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1"/>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2"/>
      <c r="B30" s="302" t="s">
        <v>2218</v>
      </c>
      <c r="C30" s="3533"/>
      <c r="D30" s="3534"/>
      <c r="E30" s="2660"/>
      <c r="F30" s="2660"/>
      <c r="G30" s="2660"/>
      <c r="H30" s="2660"/>
      <c r="I30" s="2660"/>
      <c r="J30" s="2435"/>
      <c r="K30" s="2612"/>
      <c r="L30" s="2609"/>
      <c r="M30" s="2609"/>
      <c r="N30" s="2435"/>
      <c r="O30" s="2446"/>
      <c r="P30" s="2435"/>
      <c r="Q30" s="2435"/>
      <c r="R30" s="2435"/>
      <c r="S30" s="2435"/>
      <c r="T30" s="2435"/>
      <c r="U30" s="2435"/>
      <c r="V30" s="2435"/>
    </row>
    <row r="31" spans="1:28">
      <c r="A31" s="3535" t="s">
        <v>2219</v>
      </c>
      <c r="B31" s="2418" t="s">
        <v>3391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3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3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30" t="s">
        <v>2228</v>
      </c>
      <c r="T34" s="2424" t="str">
        <f>NUMBERSTRING(7-K34,1)&amp;"通"</f>
        <v>七通</v>
      </c>
      <c r="U34" s="2435"/>
      <c r="V34" s="2435"/>
    </row>
    <row r="35" spans="1:30">
      <c r="A35" s="2425"/>
      <c r="B35" s="3537" t="s">
        <v>2229</v>
      </c>
      <c r="C35" s="3537"/>
      <c r="D35" s="3537"/>
      <c r="E35" s="3537"/>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c r="E38" s="2428" t="s">
        <v>3392</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5389.47</v>
      </c>
      <c r="B3" s="11">
        <f>IF(C3="否",G5-AT5,G5)</f>
        <v>2447.34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3394</v>
      </c>
      <c r="E13" s="13">
        <f>IF($C$3="是",ROUND($A$3*G13/$B$3,2),ROUND($A$3*(G13-AT13)/$B$3,2))</f>
        <v>5389.47</v>
      </c>
      <c r="F13" s="29"/>
      <c r="G13" s="30">
        <f>H13+AC13+AT13</f>
        <v>2447.34</v>
      </c>
      <c r="H13" s="17">
        <f>SUMIF(I$12:AB$12,"总值",I13:AB13)</f>
        <v>2447.34</v>
      </c>
      <c r="I13" s="1622">
        <f>面积表!B7</f>
        <v>2447.34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J28"/>
  <sheetViews>
    <sheetView workbookViewId="0">
      <selection activeCell="F17" sqref="F17"/>
    </sheetView>
  </sheetViews>
  <sheetFormatPr defaultRowHeight="13.5"/>
  <cols>
    <col min="1" max="1" width="14.75" customWidth="1"/>
    <col min="2" max="2" width="14.5" customWidth="1"/>
    <col min="3" max="3" width="9.5" customWidth="1"/>
    <col min="4" max="4" width="9.125" customWidth="1"/>
    <col min="5" max="5" width="9.5" customWidth="1"/>
    <col min="6" max="6" width="24.875" customWidth="1"/>
    <col min="7" max="7" width="32.5" customWidth="1"/>
    <col min="8" max="8" width="8.375" customWidth="1"/>
    <col min="9" max="9" width="9.125" style="3474" customWidth="1"/>
  </cols>
  <sheetData>
    <row r="1" spans="1:6">
      <c r="A1" s="3473" t="s">
        <v>3459</v>
      </c>
      <c r="B1" s="3473" t="s">
        <v>3458</v>
      </c>
      <c r="C1" s="3456" t="s">
        <v>3464</v>
      </c>
      <c r="D1" s="3484" t="s">
        <v>3495</v>
      </c>
      <c r="E1" s="3456" t="s">
        <v>3463</v>
      </c>
      <c r="F1" s="3456"/>
    </row>
    <row r="2" spans="1:6">
      <c r="A2" s="1047" t="s">
        <v>3393</v>
      </c>
      <c r="B2" s="1622">
        <v>212</v>
      </c>
      <c r="C2">
        <v>2500</v>
      </c>
      <c r="D2" s="3484">
        <f>ROUND(C2*B2/10000,0)</f>
        <v>53</v>
      </c>
      <c r="E2" s="3456" t="s">
        <v>3461</v>
      </c>
      <c r="F2" s="3456" t="s">
        <v>3493</v>
      </c>
    </row>
    <row r="3" spans="1:6">
      <c r="A3" s="1047" t="s">
        <v>3395</v>
      </c>
      <c r="B3" s="1622">
        <v>232.59</v>
      </c>
      <c r="C3">
        <v>2500</v>
      </c>
      <c r="D3" s="3484">
        <f>ROUND(C3*B3/10000,0)</f>
        <v>58</v>
      </c>
      <c r="E3" s="3456" t="s">
        <v>3461</v>
      </c>
      <c r="F3" s="3456" t="s">
        <v>3493</v>
      </c>
    </row>
    <row r="4" spans="1:6">
      <c r="A4" s="1047" t="s">
        <v>3396</v>
      </c>
      <c r="B4" s="1622">
        <v>777.22</v>
      </c>
      <c r="C4">
        <v>2800</v>
      </c>
      <c r="D4" s="3484">
        <f>ROUND(C4*B4/10000,0)</f>
        <v>218</v>
      </c>
      <c r="E4" s="3456" t="s">
        <v>3462</v>
      </c>
      <c r="F4" s="3487" t="s">
        <v>3494</v>
      </c>
    </row>
    <row r="5" spans="1:6">
      <c r="A5" s="1047" t="s">
        <v>3397</v>
      </c>
      <c r="B5" s="1622">
        <v>193.44</v>
      </c>
      <c r="C5">
        <v>2500</v>
      </c>
      <c r="D5" s="3484">
        <f>ROUND(C5*B5/10000,0)</f>
        <v>48</v>
      </c>
      <c r="E5" s="3456" t="s">
        <v>3461</v>
      </c>
      <c r="F5" s="3487" t="s">
        <v>3493</v>
      </c>
    </row>
    <row r="6" spans="1:6">
      <c r="A6" s="1047" t="s">
        <v>3398</v>
      </c>
      <c r="B6" s="1622">
        <v>1032.0899999999999</v>
      </c>
      <c r="C6">
        <v>2800</v>
      </c>
      <c r="D6" s="3484">
        <f>ROUND(C6*B6/10000,0)</f>
        <v>289</v>
      </c>
      <c r="E6" s="3456" t="s">
        <v>3462</v>
      </c>
      <c r="F6" s="3487" t="s">
        <v>3494</v>
      </c>
    </row>
    <row r="7" spans="1:6">
      <c r="A7" s="3470" t="s">
        <v>3418</v>
      </c>
      <c r="B7" s="3471">
        <f>B2+B3+B4+B5+B6</f>
        <v>2447.34</v>
      </c>
      <c r="C7">
        <f>(B2*C2+B3*C3+B4*C4+B5*C5+B6*C6)/B7</f>
        <v>2721.7889627105346</v>
      </c>
      <c r="D7" s="3484">
        <f>SUM(D2:D6)</f>
        <v>666</v>
      </c>
    </row>
    <row r="8" spans="1:6">
      <c r="D8" s="3456"/>
    </row>
    <row r="9" spans="1:6">
      <c r="A9" s="3470" t="s">
        <v>3417</v>
      </c>
      <c r="B9" s="3472">
        <v>5389.47</v>
      </c>
    </row>
    <row r="13" spans="1:6">
      <c r="A13" s="3456" t="s">
        <v>3465</v>
      </c>
      <c r="B13" s="3456"/>
      <c r="C13" s="3456" t="s">
        <v>3466</v>
      </c>
    </row>
    <row r="14" spans="1:6">
      <c r="A14" s="3457">
        <f>B9-B7</f>
        <v>2942.13</v>
      </c>
      <c r="B14">
        <v>0.1</v>
      </c>
      <c r="C14">
        <f>A14*B14/B7</f>
        <v>0.12021746058986492</v>
      </c>
    </row>
    <row r="22" spans="1:10" s="3475" customFormat="1" ht="27">
      <c r="A22" s="3476" t="s">
        <v>3480</v>
      </c>
      <c r="B22" s="3476" t="s">
        <v>3479</v>
      </c>
      <c r="C22" s="3476" t="s">
        <v>3478</v>
      </c>
      <c r="D22" s="3476" t="s">
        <v>3490</v>
      </c>
      <c r="E22" s="3476" t="s">
        <v>3473</v>
      </c>
      <c r="F22" s="3476" t="s">
        <v>3470</v>
      </c>
      <c r="G22" s="3476" t="s">
        <v>3471</v>
      </c>
      <c r="H22" s="3476" t="s">
        <v>3472</v>
      </c>
      <c r="I22" s="3477" t="s">
        <v>3477</v>
      </c>
    </row>
    <row r="23" spans="1:10" s="3475" customFormat="1">
      <c r="A23" s="3560" t="s">
        <v>3468</v>
      </c>
      <c r="B23" s="3560" t="s">
        <v>3496</v>
      </c>
      <c r="C23" s="3561">
        <v>5389.47</v>
      </c>
      <c r="D23" s="3560" t="s">
        <v>3469</v>
      </c>
      <c r="E23" s="3478">
        <v>3</v>
      </c>
      <c r="F23" s="3476" t="s">
        <v>3474</v>
      </c>
      <c r="G23" s="3476" t="s">
        <v>3475</v>
      </c>
      <c r="H23" s="3476" t="s">
        <v>3476</v>
      </c>
      <c r="I23" s="3479">
        <v>212</v>
      </c>
      <c r="J23" s="3482" t="s">
        <v>3492</v>
      </c>
    </row>
    <row r="24" spans="1:10" s="3475" customFormat="1">
      <c r="A24" s="3560"/>
      <c r="B24" s="3560"/>
      <c r="C24" s="3561"/>
      <c r="D24" s="3560"/>
      <c r="E24" s="3480">
        <v>4</v>
      </c>
      <c r="F24" s="3476" t="s">
        <v>3482</v>
      </c>
      <c r="G24" s="3476" t="s">
        <v>3483</v>
      </c>
      <c r="H24" s="3476" t="s">
        <v>3476</v>
      </c>
      <c r="I24" s="3479">
        <v>232.59</v>
      </c>
      <c r="J24" s="3482" t="s">
        <v>3492</v>
      </c>
    </row>
    <row r="25" spans="1:10" s="3475" customFormat="1">
      <c r="A25" s="3560"/>
      <c r="B25" s="3560"/>
      <c r="C25" s="3561"/>
      <c r="D25" s="3560"/>
      <c r="E25" s="3480">
        <v>5</v>
      </c>
      <c r="F25" s="3476" t="s">
        <v>3484</v>
      </c>
      <c r="G25" s="3476" t="s">
        <v>3485</v>
      </c>
      <c r="H25" s="3476" t="s">
        <v>3476</v>
      </c>
      <c r="I25" s="3479">
        <v>777.22</v>
      </c>
      <c r="J25" s="3482" t="s">
        <v>3492</v>
      </c>
    </row>
    <row r="26" spans="1:10" s="3475" customFormat="1">
      <c r="A26" s="3560"/>
      <c r="B26" s="3560"/>
      <c r="C26" s="3561"/>
      <c r="D26" s="3560"/>
      <c r="E26" s="3480">
        <v>6</v>
      </c>
      <c r="F26" s="3476" t="s">
        <v>3486</v>
      </c>
      <c r="G26" s="3476" t="s">
        <v>3487</v>
      </c>
      <c r="H26" s="3476" t="s">
        <v>3476</v>
      </c>
      <c r="I26" s="3479">
        <v>193.44</v>
      </c>
      <c r="J26" s="3482" t="s">
        <v>3492</v>
      </c>
    </row>
    <row r="27" spans="1:10" s="3475" customFormat="1">
      <c r="A27" s="3560"/>
      <c r="B27" s="3560"/>
      <c r="C27" s="3561"/>
      <c r="D27" s="3560"/>
      <c r="E27" s="3478" t="s">
        <v>3481</v>
      </c>
      <c r="F27" s="3476" t="s">
        <v>3488</v>
      </c>
      <c r="G27" s="3476" t="s">
        <v>3489</v>
      </c>
      <c r="H27" s="3476" t="s">
        <v>3476</v>
      </c>
      <c r="I27" s="3479">
        <v>1032.0899999999999</v>
      </c>
      <c r="J27" s="3482" t="s">
        <v>3492</v>
      </c>
    </row>
    <row r="28" spans="1:10">
      <c r="A28" s="3562" t="s">
        <v>3491</v>
      </c>
      <c r="B28" s="3563"/>
      <c r="C28" s="3563"/>
      <c r="D28" s="3563"/>
      <c r="E28" s="3563"/>
      <c r="F28" s="3563"/>
      <c r="G28" s="3563"/>
      <c r="H28" s="3564"/>
      <c r="I28" s="3481">
        <f>SUM(I23:I27)</f>
        <v>2447.34</v>
      </c>
    </row>
  </sheetData>
  <mergeCells count="5">
    <mergeCell ref="A23:A27"/>
    <mergeCell ref="B23:B27"/>
    <mergeCell ref="C23:C27"/>
    <mergeCell ref="D23:D27"/>
    <mergeCell ref="A28:H2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8" sqref="F5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74" t="s">
        <v>1131</v>
      </c>
      <c r="B2" s="3574"/>
      <c r="C2" s="3574"/>
      <c r="D2" s="792" t="s">
        <v>1107</v>
      </c>
      <c r="E2" s="1635" t="s">
        <v>1108</v>
      </c>
      <c r="F2" s="2655"/>
      <c r="G2" s="2646"/>
      <c r="H2" s="2647"/>
      <c r="I2" s="2321" t="s">
        <v>1132</v>
      </c>
      <c r="J2" s="2655"/>
      <c r="K2" s="2655"/>
      <c r="L2" s="2655"/>
      <c r="M2" s="2655"/>
      <c r="N2" s="2657"/>
      <c r="O2" s="2655"/>
      <c r="P2" s="2655"/>
    </row>
    <row r="3" spans="1:16" ht="15.75" thickBot="1">
      <c r="A3" s="3575" t="s">
        <v>1105</v>
      </c>
      <c r="B3" s="3575"/>
      <c r="C3" s="3575"/>
      <c r="D3" s="43">
        <f>'数据-基础表'!AY6</f>
        <v>5389.47</v>
      </c>
      <c r="E3" s="43">
        <f>'数据-基础表'!AZ5</f>
        <v>2447.34</v>
      </c>
      <c r="F3" s="2655"/>
      <c r="G3" s="1141"/>
      <c r="H3" s="1022" t="s">
        <v>1106</v>
      </c>
      <c r="I3" s="851">
        <f>ROUND('数据-基础表'!B3/'数据-基础表'!A3,2)</f>
        <v>0.45</v>
      </c>
      <c r="J3" s="2655"/>
      <c r="K3" s="2655"/>
      <c r="L3" s="2655"/>
      <c r="M3" s="2655"/>
      <c r="N3" s="2657"/>
      <c r="O3" s="2655"/>
      <c r="P3" s="2655"/>
    </row>
    <row r="4" spans="1:16" ht="15">
      <c r="A4" s="3576"/>
      <c r="B4" s="3577"/>
      <c r="C4" s="3578"/>
      <c r="D4" s="1637" t="s">
        <v>1107</v>
      </c>
      <c r="E4" s="1638" t="s">
        <v>1108</v>
      </c>
      <c r="F4" s="2655"/>
      <c r="G4" s="2648" t="s">
        <v>1133</v>
      </c>
      <c r="H4" s="1022" t="s">
        <v>1113</v>
      </c>
      <c r="I4" s="851">
        <f>ROUND(SUMIF('数据-基础表'!I9:AS9,"地上",'数据-基础表'!I5:AS5)/'数据-基础表'!A3,2)</f>
        <v>0.45</v>
      </c>
      <c r="J4" s="2655"/>
      <c r="K4" s="2655"/>
      <c r="L4" s="2655"/>
      <c r="M4" s="2655"/>
      <c r="N4" s="2657"/>
      <c r="O4" s="2655"/>
      <c r="P4" s="2655"/>
    </row>
    <row r="5" spans="1:16">
      <c r="A5" s="44" t="s">
        <v>1109</v>
      </c>
      <c r="B5" s="3579" t="s">
        <v>1110</v>
      </c>
      <c r="C5" s="3579"/>
      <c r="D5" s="45">
        <f>ROUND($D$3*E5/$E$3,2)</f>
        <v>0</v>
      </c>
      <c r="E5" s="46">
        <f>SUMIF('数据-基础表'!$11:$11,"住宅",'数据-基础表'!$5:$5)</f>
        <v>0</v>
      </c>
      <c r="F5" s="2655"/>
      <c r="G5" s="1141"/>
      <c r="H5" s="1022" t="s">
        <v>1106</v>
      </c>
      <c r="I5" s="851">
        <f>ROUND(E31/D31,2)</f>
        <v>0.45</v>
      </c>
      <c r="J5" s="2655"/>
      <c r="K5" s="2655"/>
      <c r="L5" s="2655"/>
      <c r="M5" s="2655"/>
      <c r="N5" s="2655"/>
      <c r="O5" s="2655"/>
      <c r="P5" s="2655"/>
    </row>
    <row r="6" spans="1:16" ht="15" thickBot="1">
      <c r="A6" s="1640"/>
      <c r="B6" s="3579" t="s">
        <v>1111</v>
      </c>
      <c r="C6" s="3579"/>
      <c r="D6" s="45">
        <f>ROUND($D$3*E6/$E$3,2)</f>
        <v>5389.47</v>
      </c>
      <c r="E6" s="46">
        <f>E3-E5</f>
        <v>2447.34</v>
      </c>
      <c r="F6" s="2655"/>
      <c r="G6" s="2649" t="s">
        <v>1112</v>
      </c>
      <c r="H6" s="1142" t="s">
        <v>1113</v>
      </c>
      <c r="I6" s="2650">
        <f>ROUND(F31/D31,2)</f>
        <v>0.45</v>
      </c>
      <c r="J6" s="2655"/>
      <c r="K6" s="2655"/>
      <c r="L6" s="2655"/>
      <c r="M6" s="2655"/>
      <c r="N6" s="2655"/>
      <c r="O6" s="2655"/>
      <c r="P6" s="2655"/>
    </row>
    <row r="7" spans="1:16" ht="15.75" thickBot="1">
      <c r="A7" s="3571"/>
      <c r="B7" s="3572"/>
      <c r="C7" s="3573"/>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5389.47</v>
      </c>
      <c r="E8" s="48">
        <f>SUMIF('数据-基础表'!BB10:BK10,"地上",'数据-基础表'!BB5:BK5)</f>
        <v>2447.34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5389.47</v>
      </c>
      <c r="E16" s="50">
        <f>SUM(E8:E15)</f>
        <v>2447.34</v>
      </c>
      <c r="F16" s="2655"/>
      <c r="G16" s="2656"/>
      <c r="H16" s="1644" t="s">
        <v>1135</v>
      </c>
      <c r="I16" s="1645"/>
      <c r="J16" s="1135"/>
      <c r="K16" s="3568" t="s">
        <v>1135</v>
      </c>
      <c r="L16" s="3569"/>
      <c r="M16" s="3569"/>
      <c r="N16" s="3569"/>
      <c r="O16" s="3569"/>
      <c r="P16" s="3570"/>
    </row>
    <row r="17" spans="1:19" ht="15">
      <c r="A17" s="1646" t="s">
        <v>1136</v>
      </c>
      <c r="B17" s="1647" t="s">
        <v>1137</v>
      </c>
      <c r="C17" s="1648" t="s">
        <v>1138</v>
      </c>
      <c r="D17" s="1649" t="s">
        <v>1126</v>
      </c>
      <c r="E17" s="1650" t="s">
        <v>1127</v>
      </c>
      <c r="F17" s="1651"/>
      <c r="G17" s="1652"/>
      <c r="H17" s="1653" t="s">
        <v>1139</v>
      </c>
      <c r="I17" s="1654" t="s">
        <v>1124</v>
      </c>
      <c r="J17" s="1135"/>
      <c r="K17" s="3565" t="s">
        <v>1140</v>
      </c>
      <c r="L17" s="3566"/>
      <c r="M17" s="3567"/>
      <c r="N17" s="3565" t="s">
        <v>1141</v>
      </c>
      <c r="O17" s="3566"/>
      <c r="P17" s="3567"/>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3419</v>
      </c>
      <c r="D19" s="45">
        <f>ROUND($D$3*E19/$E$3,2)</f>
        <v>5389.47</v>
      </c>
      <c r="E19" s="53">
        <f t="shared" ref="E19:E26" si="1">SUM(F19:G19)</f>
        <v>2447.34</v>
      </c>
      <c r="F19" s="2791">
        <f>'数据-基础表'!I13</f>
        <v>2447.34</v>
      </c>
      <c r="G19" s="2792"/>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5389.47</v>
      </c>
      <c r="S19" s="1023">
        <f t="shared" si="5"/>
        <v>2447.34</v>
      </c>
    </row>
    <row r="20" spans="1:19">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5389.47</v>
      </c>
      <c r="E27" s="1137">
        <f>IF(SUM(E19:E26)='数据-基础表'!BA5,SUM(E19:E26),IF(F27="地上面积有误","面积有误","地下面积有误"))</f>
        <v>2447.34</v>
      </c>
      <c r="F27" s="1136">
        <f>IF(SUM(F19:F26)=E8,SUM(F19:F26),"地上面积有误")</f>
        <v>2447.34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5389.47</v>
      </c>
      <c r="S27" s="1022">
        <f>IF(SUM(S19:S26)=$E$3,SUM(S19:S26),SUM(S19:S26)&amp;"误差"&amp;ROUND(SUM(S19:S26)-E3,2))</f>
        <v>2447.34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6">
        <f>D27+D30</f>
        <v>5389.47</v>
      </c>
      <c r="E31" s="676">
        <f>E27+E30</f>
        <v>2447.34</v>
      </c>
      <c r="F31" s="677">
        <f>F27+F30</f>
        <v>2447.34</v>
      </c>
      <c r="G31" s="678">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9.87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45417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54266</v>
      </c>
      <c r="F6" s="64">
        <f>SUMIF(项目基本情况!C$12:I$12,C6,项目基本情况!C$15:I$15)</f>
        <v>24.24</v>
      </c>
      <c r="G6" s="65">
        <f>IF(ISERROR(ROUND(POWER(1+H6,D6-F6)*(POWER(1+H6,F6)-1)/(POWER(1+H6,D6)-1),3)),0,ROUND(POWER(1+H6,D6-F6)*(POWER(1+H6,F6)-1)/(POWER(1+H6,D6)-1),3))</f>
        <v>0.76</v>
      </c>
      <c r="H6" s="732">
        <v>0.05</v>
      </c>
      <c r="I6" s="732">
        <v>5.5E-2</v>
      </c>
      <c r="J6" s="66">
        <v>7.0000000000000007E-2</v>
      </c>
      <c r="K6" s="1026">
        <f>SUMIF('数据-汇总表'!C$19:C$33,A6,'数据-汇总表'!E$19:E$33)</f>
        <v>2447.34</v>
      </c>
      <c r="L6" s="3483">
        <v>2721</v>
      </c>
      <c r="M6" s="67">
        <f t="shared" ref="M6:M14" si="0">ROUND(K6*L6/10000,0)</f>
        <v>666</v>
      </c>
      <c r="N6" s="731">
        <v>0.7</v>
      </c>
      <c r="O6" s="67" t="str">
        <f>IF($N$5="成新度","——",ROUND(M6*N6,0))</f>
        <v>——</v>
      </c>
      <c r="P6" s="68" t="str">
        <f>IF($N$5="成新度","——",M6-O6)</f>
        <v>——</v>
      </c>
      <c r="Q6" s="734">
        <v>0.08</v>
      </c>
      <c r="R6" s="69">
        <f ca="1">SUMIF('数据-汇总表'!C$19:C$33,A6,'数据-汇总表'!R$19:R$27)</f>
        <v>5389.47</v>
      </c>
      <c r="S6" s="51">
        <f>IF('数据-汇总表'!$I$17="按面积比例",SUMIF('数据-汇总表'!C$19:C$33,A6,'数据-汇总表'!K$19:K$33),SUMIF('数据-汇总表'!C$19:C$33,A6,'数据-汇总表'!N$19:N$33))</f>
        <v>0</v>
      </c>
      <c r="T6" s="1168">
        <f>ROUND($L$14*S6/10000,0)</f>
        <v>0</v>
      </c>
      <c r="U6" s="3424">
        <v>1.3</v>
      </c>
      <c r="V6" s="3485">
        <v>2.5000000000000001E-2</v>
      </c>
      <c r="W6" s="3485">
        <v>0.05</v>
      </c>
      <c r="X6" s="1036"/>
      <c r="Y6" s="71">
        <f>N6</f>
        <v>0.7</v>
      </c>
      <c r="Z6" s="3469"/>
      <c r="AA6" s="66"/>
      <c r="AB6" s="66"/>
      <c r="AC6" s="1036"/>
      <c r="AD6" s="73"/>
      <c r="AE6" s="1037">
        <f ca="1">IF(AN6="",0,SUMIF(INDIRECT("'"&amp;AN6&amp;"'"&amp;"!E:E"),$AE$5,INDIRECT("'"&amp;AN6&amp;"'"&amp;"!F:F")))</f>
        <v>24.24</v>
      </c>
      <c r="AF6" s="1344"/>
      <c r="AG6" s="138">
        <f>IF(AF6="",0,AE6-AF6)</f>
        <v>0</v>
      </c>
      <c r="AH6" s="74"/>
      <c r="AI6" s="76">
        <v>365</v>
      </c>
      <c r="AJ6" s="77"/>
      <c r="AK6" s="78">
        <v>4.0000000000000001E-3</v>
      </c>
      <c r="AL6" s="79">
        <v>1E-3</v>
      </c>
      <c r="AM6" s="80">
        <v>5.0000000000000001E-3</v>
      </c>
      <c r="AN6" s="1711" t="s">
        <v>3406</v>
      </c>
      <c r="AO6" s="52">
        <f ca="1">SUMIF(INDIRECT("'"&amp;AN6&amp;"'"&amp;"!A:A"),"总价",INDIRECT("'"&amp;AN6&amp;"'"&amp;"!B:B"))</f>
        <v>1447.7333000000001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732"/>
      <c r="I9" s="732"/>
      <c r="J9" s="66"/>
      <c r="K9" s="1026">
        <f>SUMIF('数据-汇总表'!C$19:C$33,A9,'数据-汇总表'!E$19:E$33)</f>
        <v>0</v>
      </c>
      <c r="L9" s="733"/>
      <c r="M9" s="67">
        <f t="shared" si="0"/>
        <v>0</v>
      </c>
      <c r="N9" s="731"/>
      <c r="O9" s="67" t="str">
        <f t="shared" si="3"/>
        <v>——</v>
      </c>
      <c r="P9" s="68" t="str">
        <f t="shared" si="4"/>
        <v>——</v>
      </c>
      <c r="Q9" s="734"/>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732"/>
      <c r="I10" s="732"/>
      <c r="J10" s="66"/>
      <c r="K10" s="1026">
        <f>SUMIF('数据-汇总表'!C$19:C$33,A10,'数据-汇总表'!E$19:E$33)</f>
        <v>0</v>
      </c>
      <c r="L10" s="733"/>
      <c r="M10" s="67">
        <f t="shared" si="0"/>
        <v>0</v>
      </c>
      <c r="N10" s="731"/>
      <c r="O10" s="67" t="str">
        <f t="shared" si="3"/>
        <v>——</v>
      </c>
      <c r="P10" s="68" t="str">
        <f t="shared" si="4"/>
        <v>——</v>
      </c>
      <c r="Q10" s="734"/>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732"/>
      <c r="I11" s="732"/>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0.76</v>
      </c>
      <c r="H16" s="90">
        <f>ROUND(SUMPRODUCT(H6:H13,K6:K13)/SUMPRODUCT((H6:H13&gt;0)*(K6:K13)),3)</f>
        <v>0.05</v>
      </c>
      <c r="I16" s="91"/>
      <c r="J16" s="91"/>
      <c r="K16" s="92">
        <f>SUM(K6:K15)</f>
        <v>2447.34</v>
      </c>
      <c r="L16" s="93">
        <f>ROUND(M16*10000/SUM(K6:K14),0)</f>
        <v>2721</v>
      </c>
      <c r="M16" s="93">
        <f>SUM(M6:M14)</f>
        <v>666</v>
      </c>
      <c r="N16" s="94">
        <f>ROUND(SUMPRODUCT(M6:M14,N6:N14)/M16,3)</f>
        <v>0.7</v>
      </c>
      <c r="O16" s="93">
        <f>SUM(O6:O14)</f>
        <v>0</v>
      </c>
      <c r="P16" s="93">
        <f>SUM(P6:P14)</f>
        <v>0</v>
      </c>
      <c r="Q16" s="95">
        <f>ROUND(SUMPRODUCT(Q6:Q13,K6:K13)/SUMPRODUCT((Q6:Q13&gt;0)*(K6:K13)),2)</f>
        <v>0.08</v>
      </c>
      <c r="R16" s="1030">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3445" t="s">
        <v>3401</v>
      </c>
      <c r="L18" s="2668">
        <v>1999</v>
      </c>
      <c r="M18" s="3467"/>
      <c r="N18" s="2667"/>
      <c r="O18" s="3467"/>
      <c r="P18" s="3467"/>
      <c r="Q18" s="3467"/>
      <c r="R18" s="34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2305</v>
      </c>
      <c r="D19" s="2672"/>
      <c r="E19" s="2669"/>
      <c r="F19" s="2669"/>
      <c r="G19" s="2669"/>
      <c r="H19" s="2669"/>
      <c r="I19" s="2669"/>
      <c r="J19" s="2669"/>
      <c r="K19" s="3445" t="s">
        <v>3402</v>
      </c>
      <c r="L19" s="2668">
        <f>1-(1-2%)*(2024-L18)/50</f>
        <v>0.51</v>
      </c>
      <c r="M19" s="2667"/>
      <c r="N19" s="3468"/>
      <c r="O19" s="3468"/>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2303</v>
      </c>
      <c r="D20" s="2672"/>
      <c r="E20" s="2669"/>
      <c r="F20" s="2669"/>
      <c r="G20" s="2669"/>
      <c r="H20" s="2669"/>
      <c r="I20" s="2669"/>
      <c r="J20" s="2669"/>
      <c r="K20" s="3445" t="s">
        <v>3428</v>
      </c>
      <c r="L20" s="2668">
        <v>0.9</v>
      </c>
      <c r="M20" s="2667"/>
      <c r="N20" s="3468"/>
      <c r="O20" s="3468"/>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69"/>
      <c r="K21" s="3445" t="s">
        <v>3429</v>
      </c>
      <c r="L21" s="2668">
        <f>(L19+L20)/2</f>
        <v>0.70500000000000007</v>
      </c>
      <c r="M21" s="2667"/>
      <c r="N21" s="3468"/>
      <c r="O21" s="3468"/>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69"/>
      <c r="K22" s="2668"/>
      <c r="L22" s="2668"/>
      <c r="M22" s="2667"/>
      <c r="N22" s="3468"/>
      <c r="O22" s="3468"/>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69"/>
      <c r="K23" s="3445" t="s">
        <v>3454</v>
      </c>
      <c r="L23" s="2668"/>
      <c r="M23" s="2667"/>
      <c r="N23" s="3468"/>
      <c r="O23" s="3468"/>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3446" t="s">
        <v>3403</v>
      </c>
      <c r="J24" s="3446" t="s">
        <v>3403</v>
      </c>
      <c r="K24" s="3445" t="s">
        <v>3453</v>
      </c>
      <c r="L24" s="2668">
        <f>1-(1-2%)*(2035-L18)/50</f>
        <v>0.2944</v>
      </c>
      <c r="M24" s="2667"/>
      <c r="N24" s="3468"/>
      <c r="O24" s="3468"/>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9.25" thickBot="1">
      <c r="A25" s="1553"/>
      <c r="B25" s="1683"/>
      <c r="C25" s="2669"/>
      <c r="D25" s="2672"/>
      <c r="E25" s="2669"/>
      <c r="F25" s="2669"/>
      <c r="G25" s="2669"/>
      <c r="H25" s="2669"/>
      <c r="I25" s="3447" t="s">
        <v>3404</v>
      </c>
      <c r="J25" s="3447" t="s">
        <v>3404</v>
      </c>
      <c r="K25" s="3445" t="s">
        <v>3455</v>
      </c>
      <c r="L25" s="2668">
        <v>0.8</v>
      </c>
      <c r="M25" s="2667"/>
      <c r="N25" s="3468"/>
      <c r="O25" s="3468"/>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3447">
        <v>0</v>
      </c>
      <c r="J26" s="3447">
        <v>0</v>
      </c>
      <c r="K26" s="3445" t="s">
        <v>3456</v>
      </c>
      <c r="L26" s="2668">
        <f>(L24+L25)/2</f>
        <v>0.54720000000000002</v>
      </c>
      <c r="M26" s="2667"/>
      <c r="N26" s="3468"/>
      <c r="O26" s="3468"/>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120</v>
      </c>
      <c r="C27" s="2797" t="s">
        <v>2307</v>
      </c>
      <c r="D27" s="2675"/>
      <c r="E27" s="2657"/>
      <c r="F27" s="2657"/>
      <c r="G27" s="2669"/>
      <c r="H27" s="2669"/>
      <c r="I27" s="3447">
        <v>12000</v>
      </c>
      <c r="J27" s="3447">
        <v>15000</v>
      </c>
      <c r="K27" s="2668"/>
      <c r="L27" s="2668"/>
      <c r="M27" s="2667"/>
      <c r="N27" s="3468"/>
      <c r="O27" s="3468"/>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160</v>
      </c>
      <c r="C28" s="2676"/>
      <c r="D28" s="2675"/>
      <c r="E28" s="2657"/>
      <c r="F28" s="2657"/>
      <c r="G28" s="2669"/>
      <c r="H28" s="2669"/>
      <c r="I28" s="3448">
        <v>12000</v>
      </c>
      <c r="J28" s="3448">
        <v>15000</v>
      </c>
      <c r="K28" s="2668"/>
      <c r="L28" s="2668"/>
      <c r="M28" s="2667"/>
      <c r="N28" s="3468"/>
      <c r="O28" s="3468"/>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8" t="s">
        <v>2294</v>
      </c>
      <c r="D29" s="2675"/>
      <c r="E29" s="2657"/>
      <c r="F29" s="2657"/>
      <c r="G29" s="2669"/>
      <c r="H29" s="2669"/>
      <c r="I29" s="3448" t="s">
        <v>3405</v>
      </c>
      <c r="J29" s="3448" t="s">
        <v>3405</v>
      </c>
      <c r="K29" s="2668"/>
      <c r="L29" s="2668"/>
      <c r="M29" s="2667"/>
      <c r="N29" s="3468"/>
      <c r="O29" s="3468"/>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1">
        <v>200</v>
      </c>
      <c r="C30" s="2676"/>
      <c r="D30" s="2675"/>
      <c r="E30" s="2657"/>
      <c r="F30" s="2657"/>
      <c r="G30" s="2669"/>
      <c r="H30" s="2669"/>
      <c r="I30" s="3449">
        <f t="shared" ref="I30:J30" si="12">I31+I35+I34</f>
        <v>2202</v>
      </c>
      <c r="J30" s="3449">
        <f t="shared" si="12"/>
        <v>2572</v>
      </c>
      <c r="K30" s="2668"/>
      <c r="L30" s="2668"/>
      <c r="M30" s="2667"/>
      <c r="N30" s="3468"/>
      <c r="O30" s="3468"/>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3450">
        <v>1520</v>
      </c>
      <c r="J31" s="3450">
        <v>1800</v>
      </c>
      <c r="K31" s="2668"/>
      <c r="L31" s="2668"/>
      <c r="M31" s="2667"/>
      <c r="N31" s="3468"/>
      <c r="O31" s="3468"/>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2"/>
      <c r="C32" s="2676"/>
      <c r="D32" s="2672"/>
      <c r="E32" s="2669"/>
      <c r="F32" s="2669"/>
      <c r="G32" s="2669"/>
      <c r="H32" s="2669"/>
      <c r="I32" s="3448">
        <v>1520</v>
      </c>
      <c r="J32" s="3448">
        <v>1800</v>
      </c>
      <c r="K32" s="2668"/>
      <c r="L32" s="2668"/>
      <c r="M32" s="2667"/>
      <c r="N32" s="3468"/>
      <c r="O32" s="3468"/>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73">
        <v>0.05</v>
      </c>
      <c r="C33" s="2799" t="s">
        <v>2295</v>
      </c>
      <c r="D33" s="2672"/>
      <c r="E33" s="2669"/>
      <c r="F33" s="2669"/>
      <c r="G33" s="2669"/>
      <c r="H33" s="2669"/>
      <c r="I33" s="3448"/>
      <c r="J33" s="3448"/>
      <c r="K33" s="2668"/>
      <c r="L33" s="2668"/>
      <c r="M33" s="2667"/>
      <c r="N33" s="3468"/>
      <c r="O33" s="3468"/>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3">
        <v>0</v>
      </c>
      <c r="C34" s="2799" t="s">
        <v>2296</v>
      </c>
      <c r="D34" s="2680" t="s">
        <v>2304</v>
      </c>
      <c r="E34" s="2678"/>
      <c r="F34" s="2669"/>
      <c r="G34" s="2669"/>
      <c r="H34" s="2669"/>
      <c r="I34" s="3451">
        <v>100</v>
      </c>
      <c r="J34" s="3451">
        <v>100</v>
      </c>
      <c r="K34" s="2668"/>
      <c r="L34" s="2668"/>
      <c r="M34" s="2667"/>
      <c r="N34" s="3468"/>
      <c r="O34" s="3468"/>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9" t="s">
        <v>2297</v>
      </c>
      <c r="D35" s="2675"/>
      <c r="E35" s="2657"/>
      <c r="F35" s="2657"/>
      <c r="G35" s="2669"/>
      <c r="H35" s="2669"/>
      <c r="I35" s="3452">
        <v>582</v>
      </c>
      <c r="J35" s="3452">
        <v>672</v>
      </c>
      <c r="K35" s="2668"/>
      <c r="L35" s="2668"/>
      <c r="M35" s="2667"/>
      <c r="N35" s="2667"/>
      <c r="O35" s="3468"/>
      <c r="P35" s="2667"/>
      <c r="Q35" s="34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3453"/>
      <c r="J36" s="3453"/>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2.5000000000000001E-2</v>
      </c>
      <c r="C37" s="2799" t="s">
        <v>2299</v>
      </c>
      <c r="D37" s="2672"/>
      <c r="E37" s="2669"/>
      <c r="F37" s="2669"/>
      <c r="G37" s="2669"/>
      <c r="H37" s="2669"/>
      <c r="I37" s="3453"/>
      <c r="J37" s="3453"/>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2.5000000000000001E-2</v>
      </c>
      <c r="C38" s="2799" t="s">
        <v>2299</v>
      </c>
      <c r="D38" s="2672"/>
      <c r="E38" s="2669"/>
      <c r="F38" s="2669"/>
      <c r="G38" s="2669"/>
      <c r="H38" s="2669"/>
      <c r="I38" s="3453"/>
      <c r="J38" s="3453"/>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3453"/>
      <c r="J39" s="3453"/>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2314</v>
      </c>
      <c r="B40" s="1074">
        <f ca="1">IF(A40="利息：取LPR",存贷款利率!G1,存贷款利率!G1+C40)</f>
        <v>3.4500000000000003E-2</v>
      </c>
      <c r="C40" s="2810">
        <v>5.0000000000000001E-3</v>
      </c>
      <c r="D40" s="2667"/>
      <c r="E40" s="2672"/>
      <c r="F40" s="2669"/>
      <c r="G40" s="2669"/>
      <c r="H40" s="2669"/>
      <c r="I40" s="3454">
        <f t="shared" ref="I40:J40" si="13">I31/I30</f>
        <v>0.6902815622161671</v>
      </c>
      <c r="J40" s="3454">
        <f t="shared" si="13"/>
        <v>0.69984447900466562</v>
      </c>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3454">
        <f t="shared" ref="I41:J41" si="14">I34/I30</f>
        <v>4.5413260672116255E-2</v>
      </c>
      <c r="J41" s="3454">
        <f t="shared" si="14"/>
        <v>3.8880248833592534E-2</v>
      </c>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3454">
        <f t="shared" ref="I42:J42" si="15">I35/I30</f>
        <v>0.26430517711171664</v>
      </c>
      <c r="J42" s="3454">
        <f t="shared" si="15"/>
        <v>0.26127527216174184</v>
      </c>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3453"/>
      <c r="J43" s="3453"/>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80" t="s">
        <v>2286</v>
      </c>
      <c r="B1" s="3581"/>
      <c r="C1" s="3581"/>
      <c r="D1" s="3581"/>
      <c r="E1" s="3581"/>
      <c r="F1" s="3581"/>
      <c r="G1" s="358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6.75">
      <c r="A4" s="2438"/>
      <c r="B4" s="323" t="s">
        <v>2254</v>
      </c>
      <c r="C4" s="2464" t="s">
        <v>2255</v>
      </c>
      <c r="D4" s="2461"/>
      <c r="E4" s="2465"/>
      <c r="F4" s="1369" t="s">
        <v>2256</v>
      </c>
      <c r="G4" s="2466" t="s">
        <v>2257</v>
      </c>
      <c r="H4" s="795"/>
      <c r="I4" s="795"/>
      <c r="J4" s="795"/>
      <c r="K4" s="795"/>
      <c r="L4" s="795"/>
      <c r="M4" s="795"/>
      <c r="N4" s="795"/>
      <c r="O4" s="795"/>
      <c r="P4" s="795"/>
      <c r="Q4" s="795"/>
      <c r="R4" s="795"/>
    </row>
    <row r="5" spans="1:29" ht="36.75">
      <c r="A5" s="2438"/>
      <c r="B5" s="323" t="s">
        <v>2258</v>
      </c>
      <c r="C5" s="2464" t="s">
        <v>2259</v>
      </c>
      <c r="D5" s="2461"/>
      <c r="E5" s="2465"/>
      <c r="F5" s="323" t="s">
        <v>2260</v>
      </c>
      <c r="G5" s="2466" t="s">
        <v>2261</v>
      </c>
      <c r="H5" s="795"/>
      <c r="I5" s="795"/>
      <c r="J5" s="795"/>
      <c r="K5" s="795"/>
      <c r="L5" s="795"/>
      <c r="M5" s="795"/>
      <c r="N5" s="795"/>
      <c r="O5" s="795"/>
      <c r="P5" s="795"/>
      <c r="Q5" s="795"/>
      <c r="R5" s="795"/>
    </row>
    <row r="6" spans="1:29" ht="36">
      <c r="A6" s="2438"/>
      <c r="B6" s="323" t="s">
        <v>2262</v>
      </c>
      <c r="C6" s="2466" t="s">
        <v>2257</v>
      </c>
      <c r="D6" s="2461"/>
      <c r="E6" s="2465"/>
      <c r="F6" s="323" t="s">
        <v>2263</v>
      </c>
      <c r="G6" s="2466" t="s">
        <v>2264</v>
      </c>
      <c r="H6" s="795"/>
      <c r="I6" s="795"/>
      <c r="J6" s="795"/>
      <c r="K6" s="795"/>
      <c r="L6" s="795"/>
      <c r="M6" s="795"/>
      <c r="N6" s="795"/>
      <c r="O6" s="795"/>
      <c r="P6" s="795"/>
      <c r="Q6" s="795"/>
      <c r="R6" s="795"/>
    </row>
    <row r="7" spans="1:29" ht="24.75"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5"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5"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Layout" topLeftCell="A2"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2447.34</v>
      </c>
      <c r="C1" s="2682"/>
      <c r="D1" s="2682"/>
      <c r="E1" s="2682"/>
      <c r="F1" s="2682"/>
      <c r="G1" s="2683"/>
      <c r="H1" s="2684"/>
      <c r="I1" s="2684"/>
      <c r="J1" s="2684"/>
      <c r="K1" s="2684"/>
    </row>
    <row r="2" spans="1:11" ht="16.5">
      <c r="A2" s="2508" t="s">
        <v>653</v>
      </c>
      <c r="B2" s="2508">
        <f>SUM(C14:C23)</f>
        <v>5389.47</v>
      </c>
      <c r="C2" s="2682"/>
      <c r="D2" s="2682"/>
      <c r="E2" s="2682"/>
      <c r="F2" s="2682"/>
      <c r="G2" s="2683"/>
      <c r="H2" s="2684"/>
      <c r="I2" s="2684"/>
      <c r="J2" s="2684"/>
      <c r="K2" s="2684"/>
    </row>
    <row r="3" spans="1:11" ht="16.5">
      <c r="A3" s="2508" t="s">
        <v>662</v>
      </c>
      <c r="B3" s="2510">
        <f>项目基本情况!D3</f>
        <v>45417</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1454</v>
      </c>
      <c r="C5" s="2508">
        <f ca="1">IF(B5=D14,结果表!H102,ROUND(B5*10000/$B$1,0))</f>
        <v>5941</v>
      </c>
      <c r="D5" s="2508">
        <f ca="1">ROUND(B5*10000/$B$2,0)</f>
        <v>2698</v>
      </c>
      <c r="E5" s="2682"/>
      <c r="F5" s="2683"/>
      <c r="G5" s="2683"/>
      <c r="H5" s="2684"/>
      <c r="I5" s="2684"/>
      <c r="J5" s="2684"/>
      <c r="K5" s="2684"/>
    </row>
    <row r="6" spans="1:11" ht="16.5">
      <c r="A6" s="2508" t="s">
        <v>656</v>
      </c>
      <c r="B6" s="2508">
        <f>SUM(G14:G23)</f>
        <v>0</v>
      </c>
      <c r="C6" s="2508">
        <f ca="1">IF(B6=G14,结果表!H108,ROUND(B6*10000/$B$1,0))</f>
        <v>5941</v>
      </c>
      <c r="D6" s="2508">
        <f>ROUND(B6*10000/$B$2,0)</f>
        <v>0</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'数据-基础表'!I13</f>
        <v>2447.34</v>
      </c>
      <c r="C14" s="2514">
        <f>'数据-汇总表'!D3</f>
        <v>5389.47</v>
      </c>
      <c r="D14" s="2514">
        <f ca="1">结果表!H101</f>
        <v>1454</v>
      </c>
      <c r="E14" s="2514">
        <f ca="1">结果表!H102</f>
        <v>5941</v>
      </c>
      <c r="F14" s="2514">
        <f ca="1">ROUND(D14*10000/C14,0)</f>
        <v>2698</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18" sqref="N18"/>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t="s">
        <v>3</v>
      </c>
      <c r="D1" s="1743"/>
      <c r="E1" s="1743"/>
      <c r="F1" s="1745" t="s">
        <v>1263</v>
      </c>
      <c r="G1" s="1557" t="s">
        <v>3391</v>
      </c>
      <c r="H1" s="1746" t="str">
        <f>IF(G1="现房","——","估价对象范围")</f>
        <v>——</v>
      </c>
      <c r="I1" s="1747"/>
    </row>
    <row r="2" spans="1:12" ht="21.75" customHeight="1" thickBot="1">
      <c r="A2" s="3616" t="str">
        <f>项目基本情况!S2</f>
        <v>北京市 怀柔区开放东路21号3幢1层、4幢1层、5幢1层、6幢1层、7-2幢1层全部房地产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0" t="s">
        <v>1265</v>
      </c>
      <c r="B4" s="1751" t="s">
        <v>1266</v>
      </c>
      <c r="C4" s="1752" t="s">
        <v>3426</v>
      </c>
      <c r="D4" s="1752" t="s">
        <v>3406</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6" t="s">
        <v>1268</v>
      </c>
      <c r="B5" s="3583">
        <v>25</v>
      </c>
      <c r="C5" s="3599"/>
      <c r="D5" s="3619"/>
      <c r="E5" s="131" t="s">
        <v>1269</v>
      </c>
      <c r="F5" s="1753"/>
      <c r="G5" s="1753"/>
      <c r="H5" s="1753"/>
      <c r="I5" s="1369"/>
    </row>
    <row r="6" spans="1:12" ht="12.75">
      <c r="A6" s="3596"/>
      <c r="B6" s="3583"/>
      <c r="C6" s="3600"/>
      <c r="D6" s="3619"/>
      <c r="E6" s="131" t="s">
        <v>1270</v>
      </c>
      <c r="F6" s="1753"/>
      <c r="G6" s="1753"/>
      <c r="H6" s="1753"/>
      <c r="I6" s="1369"/>
    </row>
    <row r="7" spans="1:12" ht="12.75">
      <c r="A7" s="3596"/>
      <c r="B7" s="3583"/>
      <c r="C7" s="3601"/>
      <c r="D7" s="3619"/>
      <c r="E7" s="131" t="s">
        <v>1271</v>
      </c>
      <c r="F7" s="1753"/>
      <c r="G7" s="1753"/>
      <c r="H7" s="1753"/>
      <c r="I7" s="1369"/>
    </row>
    <row r="8" spans="1:12" ht="12.75">
      <c r="A8" s="3596" t="s">
        <v>1272</v>
      </c>
      <c r="B8" s="3583">
        <v>15</v>
      </c>
      <c r="C8" s="3599"/>
      <c r="D8" s="3619"/>
      <c r="E8" s="131" t="s">
        <v>1273</v>
      </c>
      <c r="F8" s="1753"/>
      <c r="G8" s="1753"/>
      <c r="H8" s="1753"/>
      <c r="I8" s="1369"/>
    </row>
    <row r="9" spans="1:12" ht="12.75">
      <c r="A9" s="3596"/>
      <c r="B9" s="3583"/>
      <c r="C9" s="3601"/>
      <c r="D9" s="3619"/>
      <c r="E9" s="131" t="s">
        <v>1274</v>
      </c>
      <c r="F9" s="1753"/>
      <c r="G9" s="1753"/>
      <c r="H9" s="1753"/>
      <c r="I9" s="1369"/>
    </row>
    <row r="10" spans="1:12" ht="12.75">
      <c r="A10" s="3596" t="s">
        <v>1275</v>
      </c>
      <c r="B10" s="3583">
        <v>15</v>
      </c>
      <c r="C10" s="3599"/>
      <c r="D10" s="3619"/>
      <c r="E10" s="131" t="s">
        <v>1276</v>
      </c>
      <c r="F10" s="1753"/>
      <c r="G10" s="1753"/>
      <c r="H10" s="1753"/>
      <c r="I10" s="1369"/>
    </row>
    <row r="11" spans="1:12" ht="12.75">
      <c r="A11" s="3596"/>
      <c r="B11" s="3583"/>
      <c r="C11" s="3601"/>
      <c r="D11" s="3619"/>
      <c r="E11" s="131" t="s">
        <v>1277</v>
      </c>
      <c r="F11" s="1753"/>
      <c r="G11" s="1753"/>
      <c r="H11" s="1753"/>
      <c r="I11" s="1369"/>
    </row>
    <row r="12" spans="1:12" ht="12.75">
      <c r="A12" s="3596" t="s">
        <v>1278</v>
      </c>
      <c r="B12" s="3583">
        <v>15</v>
      </c>
      <c r="C12" s="3599"/>
      <c r="D12" s="3619"/>
      <c r="E12" s="131" t="s">
        <v>1279</v>
      </c>
      <c r="F12" s="1753"/>
      <c r="G12" s="1753"/>
      <c r="H12" s="1753"/>
      <c r="I12" s="1369"/>
    </row>
    <row r="13" spans="1:12" ht="12.75">
      <c r="A13" s="3596"/>
      <c r="B13" s="3583"/>
      <c r="C13" s="3601"/>
      <c r="D13" s="3619"/>
      <c r="E13" s="131" t="s">
        <v>1280</v>
      </c>
      <c r="F13" s="1753"/>
      <c r="G13" s="1753"/>
      <c r="H13" s="1753"/>
      <c r="I13" s="1369"/>
    </row>
    <row r="14" spans="1:12" ht="12.75">
      <c r="A14" s="3596" t="s">
        <v>1281</v>
      </c>
      <c r="B14" s="3583">
        <v>30</v>
      </c>
      <c r="C14" s="3599">
        <v>5</v>
      </c>
      <c r="D14" s="3619">
        <v>5</v>
      </c>
      <c r="E14" s="131" t="s">
        <v>1282</v>
      </c>
      <c r="F14" s="1753"/>
      <c r="G14" s="1753"/>
      <c r="H14" s="1753"/>
      <c r="I14" s="1369"/>
    </row>
    <row r="15" spans="1:12" ht="12.75">
      <c r="A15" s="3596"/>
      <c r="B15" s="3583"/>
      <c r="C15" s="3600"/>
      <c r="D15" s="3619"/>
      <c r="E15" s="131" t="s">
        <v>1283</v>
      </c>
      <c r="F15" s="1753"/>
      <c r="G15" s="1753"/>
      <c r="H15" s="1753"/>
      <c r="I15" s="1369"/>
    </row>
    <row r="16" spans="1:12" ht="12.75">
      <c r="A16" s="3596"/>
      <c r="B16" s="3583"/>
      <c r="C16" s="3601"/>
      <c r="D16" s="3619"/>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06" t="s">
        <v>2131</v>
      </c>
      <c r="F18" s="3607"/>
      <c r="G18" s="3607"/>
      <c r="H18" s="3607"/>
      <c r="I18" s="3607"/>
      <c r="K18" s="302" t="s">
        <v>1289</v>
      </c>
      <c r="L18" s="302">
        <f>IF(C1="",'数据-汇总表'!E3,SUMIF(项目类型,C1,'数据-汇总表'!E17:E26)+SUMIF(项目类型,C1,'数据-汇总表'!I17:I26))</f>
        <v>2447.34</v>
      </c>
      <c r="M18" s="302">
        <f>IF(C1="",'数据-汇总表'!E3,SUMIF(项目类型,C1,'数据-汇总表'!E17:E26))</f>
        <v>2447.34</v>
      </c>
    </row>
    <row r="19" spans="1:36" ht="15">
      <c r="A19" s="1757" t="s">
        <v>1290</v>
      </c>
      <c r="B19" s="1758" t="s">
        <v>1291</v>
      </c>
      <c r="C19" s="134">
        <f ca="1">SUMIF(INDIRECT("'"&amp;C4&amp;"'"&amp;"!A:A"),结果表!B19,INDIRECT("'"&amp;C4&amp;"'"&amp;"!B:B"))</f>
        <v>1459.5887</v>
      </c>
      <c r="D19" s="135">
        <f ca="1">SUMIF(INDIRECT("'"&amp;D4&amp;"'"&amp;"!A:A"),结果表!B19,INDIRECT("'"&amp;D4&amp;"'"&amp;"!B:B"))</f>
        <v>1447.7333000000001</v>
      </c>
      <c r="E19" s="1757" t="s">
        <v>1292</v>
      </c>
      <c r="F19" s="1758" t="s">
        <v>1291</v>
      </c>
      <c r="G19" s="136">
        <f ca="1">ROUND(C19*$C$18+D19*$D$18,0)</f>
        <v>1454</v>
      </c>
      <c r="H19" s="1759"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5">
      <c r="A20" s="1760"/>
      <c r="B20" s="1022" t="s">
        <v>1295</v>
      </c>
      <c r="C20" s="137">
        <f ca="1">SUMIF(INDIRECT("'"&amp;C4&amp;"'"&amp;"!A:A"),结果表!B20,INDIRECT("'"&amp;C4&amp;"'"&amp;"!B:B"))</f>
        <v>5964</v>
      </c>
      <c r="D20" s="138">
        <f ca="1">SUMIF(INDIRECT("'"&amp;D4&amp;"'"&amp;"!A:A"),结果表!B20,INDIRECT("'"&amp;D4&amp;"'"&amp;"!B:B"))</f>
        <v>5916</v>
      </c>
      <c r="E20" s="1760"/>
      <c r="F20" s="1022" t="s">
        <v>1295</v>
      </c>
      <c r="G20" s="139">
        <f ca="1">ROUND(C20*$C$18+D20*$D$18,0)</f>
        <v>5940</v>
      </c>
      <c r="H20" s="804" t="s">
        <v>1296</v>
      </c>
      <c r="I20" s="129"/>
    </row>
    <row r="21" spans="1:36" ht="15" customHeight="1" thickBot="1">
      <c r="A21" s="824"/>
      <c r="B21" s="1761" t="s">
        <v>1297</v>
      </c>
      <c r="C21" s="719">
        <f ca="1">ROUND(C19*10000/L19,0)</f>
        <v>2708</v>
      </c>
      <c r="D21" s="720">
        <f ca="1">ROUND(D19*10000/L19,0)</f>
        <v>2686</v>
      </c>
      <c r="E21" s="824"/>
      <c r="F21" s="1761" t="s">
        <v>1297</v>
      </c>
      <c r="G21" s="140">
        <f ca="1">ROUND(G19*10000/L19,0)</f>
        <v>2698</v>
      </c>
      <c r="H21" s="1762" t="s">
        <v>1296</v>
      </c>
      <c r="I21" s="129"/>
    </row>
    <row r="22" spans="1:36" ht="15" thickBot="1">
      <c r="A22" s="1684" t="s">
        <v>1298</v>
      </c>
      <c r="B22" s="1763"/>
      <c r="C22" s="1764"/>
      <c r="D22" s="721">
        <f ca="1">IF(C19&lt;D19,D19/C19-1,C19/D19-1)</f>
        <v>8.1889392196752286E-3</v>
      </c>
      <c r="E22" s="129"/>
      <c r="F22" s="129"/>
      <c r="G22" s="129"/>
      <c r="H22" s="129"/>
      <c r="I22" s="129"/>
    </row>
    <row r="23" spans="1:36" ht="13.5" thickBot="1">
      <c r="A23" s="1743"/>
      <c r="B23" s="1743"/>
      <c r="C23" s="1743"/>
      <c r="D23" s="1743"/>
      <c r="E23" s="129"/>
      <c r="F23" s="129"/>
      <c r="G23" s="129"/>
      <c r="H23" s="129"/>
      <c r="I23" s="129"/>
    </row>
    <row r="24" spans="1:36" ht="14.25">
      <c r="A24" s="3590" t="s">
        <v>1299</v>
      </c>
      <c r="B24" s="1758" t="s">
        <v>1291</v>
      </c>
      <c r="C24" s="136">
        <f>IF(B30=0,0,D30)</f>
        <v>0</v>
      </c>
      <c r="D24" s="1765"/>
      <c r="E24" s="129"/>
      <c r="F24" s="129"/>
      <c r="G24" s="129"/>
      <c r="H24" s="129"/>
      <c r="I24" s="129"/>
    </row>
    <row r="25" spans="1:36" ht="14.25">
      <c r="A25" s="3591"/>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1454</v>
      </c>
      <c r="D32" s="1771" t="s">
        <v>3498</v>
      </c>
      <c r="E32" s="129"/>
      <c r="F32" s="129"/>
      <c r="G32" s="129"/>
      <c r="H32" s="129"/>
      <c r="I32" s="129"/>
    </row>
    <row r="33" spans="1:15" ht="15">
      <c r="A33" s="782" t="s">
        <v>1306</v>
      </c>
      <c r="B33" s="1772"/>
      <c r="C33" s="1773" t="s">
        <v>3499</v>
      </c>
      <c r="D33" s="1774" t="s">
        <v>3426</v>
      </c>
      <c r="E33" s="1775" t="s">
        <v>1307</v>
      </c>
      <c r="F33" s="1776" t="str">
        <f>IF(D32="楼面单价","取值（单价）","取值（总价）")</f>
        <v>取值（总价）</v>
      </c>
      <c r="G33" s="129"/>
      <c r="H33" s="129"/>
      <c r="I33" s="129"/>
    </row>
    <row r="34" spans="1:15" ht="15">
      <c r="A34" s="1777"/>
      <c r="B34" s="1778" t="s">
        <v>1308</v>
      </c>
      <c r="C34" s="148">
        <f ca="1">IF(C33="自定义",F34,C32-C35)</f>
        <v>806</v>
      </c>
      <c r="D34" s="857">
        <f ca="1">IF(C33="自定义",ROUND(C34/C32,3),IF(C33="收益比率",SUMIF(INDIRECT("'"&amp;D33&amp;"'"&amp;"!b:b"),"土地收益比率",INDIRECT("'"&amp;D33&amp;"'"&amp;"!c:c")),SUMIF(INDIRECT("'"&amp;D33&amp;"'"&amp;"!b:b"),"土地成本比率",INDIRECT("'"&amp;D33&amp;"'"&amp;"!c:c"))))</f>
        <v>0.55400000000000005</v>
      </c>
      <c r="E34" s="1779" t="s">
        <v>1309</v>
      </c>
      <c r="F34" s="1326"/>
      <c r="G34" s="129"/>
      <c r="H34" s="129"/>
      <c r="I34" s="129"/>
    </row>
    <row r="35" spans="1:15" ht="15.75" thickBot="1">
      <c r="A35" s="1780"/>
      <c r="B35" s="1781" t="s">
        <v>1310</v>
      </c>
      <c r="C35" s="1166">
        <f ca="1">IF(C33="自定义",F35,ROUND(C32*D35,0))</f>
        <v>648</v>
      </c>
      <c r="D35" s="1167">
        <f ca="1">IF(C33="自定义",ROUND(C35/C32,3),IF(C33="收益比率",SUMIF(INDIRECT("'"&amp;D33&amp;"'"&amp;"!b:b"),"建筑物收益比率",INDIRECT("'"&amp;D33&amp;"'"&amp;"!c:c")),SUMIF(INDIRECT("'"&amp;D33&amp;"'"&amp;"!b:b"),"建筑物成本比率",INDIRECT("'"&amp;D33&amp;"'"&amp;"!c:c"))))</f>
        <v>0.44600000000000001</v>
      </c>
      <c r="E35" s="1782" t="s">
        <v>1311</v>
      </c>
      <c r="F35" s="154"/>
      <c r="G35" s="129"/>
      <c r="H35" s="129"/>
      <c r="I35" s="129"/>
    </row>
    <row r="36" spans="1:15" ht="15.75" thickBot="1">
      <c r="A36" s="3610" t="s">
        <v>1312</v>
      </c>
      <c r="B36" s="1783" t="s">
        <v>1313</v>
      </c>
      <c r="C36" s="145"/>
      <c r="D36" s="1784"/>
      <c r="E36" s="1785"/>
      <c r="F36" s="1786"/>
      <c r="G36" s="129"/>
      <c r="H36" s="129"/>
      <c r="I36" s="129"/>
    </row>
    <row r="37" spans="1:15" ht="15.75" thickBot="1">
      <c r="A37" s="3611"/>
      <c r="B37" s="1670" t="s">
        <v>1314</v>
      </c>
      <c r="C37" s="147"/>
      <c r="D37" s="1135"/>
      <c r="E37" s="1135"/>
      <c r="F37" s="1786"/>
      <c r="G37" s="129"/>
      <c r="H37" s="129"/>
      <c r="I37" s="129"/>
    </row>
    <row r="38" spans="1:15" ht="15.75" thickBot="1">
      <c r="A38" s="3612"/>
      <c r="B38" s="1787" t="s">
        <v>1315</v>
      </c>
      <c r="C38" s="674"/>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87" t="s">
        <v>1326</v>
      </c>
      <c r="B45" s="3588"/>
      <c r="C45" s="3589"/>
      <c r="D45" s="155">
        <f ca="1">ROUND(H101*F45,0)</f>
        <v>1454</v>
      </c>
      <c r="E45" s="156" t="s">
        <v>1327</v>
      </c>
      <c r="F45" s="157">
        <v>1</v>
      </c>
      <c r="G45" s="158" t="s">
        <v>1328</v>
      </c>
      <c r="H45" s="129"/>
      <c r="I45" s="129"/>
      <c r="J45" s="3665" t="s">
        <v>1329</v>
      </c>
      <c r="K45" s="3665"/>
      <c r="L45" s="3665"/>
      <c r="M45" s="3665"/>
      <c r="N45" s="3665"/>
      <c r="O45" s="3665"/>
    </row>
    <row r="46" spans="1:15" ht="14.25" customHeight="1">
      <c r="A46" s="3584" t="s">
        <v>1330</v>
      </c>
      <c r="B46" s="3585"/>
      <c r="C46" s="3585"/>
      <c r="D46" s="3585"/>
      <c r="E46" s="3585"/>
      <c r="F46" s="3585"/>
      <c r="G46" s="3586"/>
      <c r="H46" s="1802"/>
      <c r="I46" s="159"/>
      <c r="J46" s="2519">
        <v>1</v>
      </c>
      <c r="K46" s="3646" t="s">
        <v>1331</v>
      </c>
      <c r="L46" s="3646"/>
      <c r="M46" s="3666"/>
      <c r="N46" s="3666"/>
      <c r="O46" s="3666"/>
    </row>
    <row r="47" spans="1:15" ht="12" customHeight="1">
      <c r="A47" s="160" t="s">
        <v>1332</v>
      </c>
      <c r="B47" s="161"/>
      <c r="C47" s="162"/>
      <c r="D47" s="1083" t="s">
        <v>1333</v>
      </c>
      <c r="E47" s="302" t="s">
        <v>1334</v>
      </c>
      <c r="F47" s="163" t="s">
        <v>1335</v>
      </c>
      <c r="G47" s="2542" t="s">
        <v>1336</v>
      </c>
      <c r="H47" s="2543"/>
      <c r="I47" s="159"/>
      <c r="J47" s="2519">
        <v>2</v>
      </c>
      <c r="K47" s="3646" t="s">
        <v>1337</v>
      </c>
      <c r="L47" s="3646"/>
      <c r="M47" s="3667">
        <f>'数据-取费表'!B2</f>
        <v>45417</v>
      </c>
      <c r="N47" s="3667"/>
      <c r="O47" s="3667"/>
    </row>
    <row r="48" spans="1:15" ht="25.5">
      <c r="A48" s="3615" t="s">
        <v>1338</v>
      </c>
      <c r="B48" s="3598"/>
      <c r="C48" s="3598"/>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46" t="s">
        <v>1340</v>
      </c>
      <c r="L48" s="3646"/>
      <c r="M48" s="3668">
        <f ca="1">H101</f>
        <v>1454</v>
      </c>
      <c r="N48" s="3668"/>
      <c r="O48" s="3668"/>
    </row>
    <row r="49" spans="1:35" ht="25.5" customHeight="1">
      <c r="A49" s="2329" t="s">
        <v>1341</v>
      </c>
      <c r="B49" s="3582" t="s">
        <v>1342</v>
      </c>
      <c r="C49" s="3582"/>
      <c r="D49" s="1586">
        <v>0</v>
      </c>
      <c r="E49" s="324" t="s">
        <v>1343</v>
      </c>
      <c r="F49" s="2420" t="s">
        <v>28</v>
      </c>
      <c r="G49" s="3652"/>
      <c r="H49" s="2306" t="s">
        <v>2134</v>
      </c>
      <c r="I49" s="2307"/>
      <c r="J49" s="2519">
        <v>4</v>
      </c>
      <c r="K49" s="3646" t="str">
        <f>IF(项目基本情况!E8="房地产抵押价值","房地产抵押价值","抵押担保权已注销时的房地产抵押价值")</f>
        <v>房地产抵押价值</v>
      </c>
      <c r="L49" s="3646"/>
      <c r="M49" s="3668">
        <f ca="1">IF(项目基本情况!E8="房地产抵押价值",H107,H109)</f>
        <v>1454</v>
      </c>
      <c r="N49" s="3668"/>
      <c r="O49" s="3668"/>
    </row>
    <row r="50" spans="1:35" ht="25.5" customHeight="1">
      <c r="A50" s="2547"/>
      <c r="B50" s="3582" t="s">
        <v>1344</v>
      </c>
      <c r="C50" s="3582"/>
      <c r="D50" s="2548"/>
      <c r="E50" s="332"/>
      <c r="F50" s="2420"/>
      <c r="G50" s="3653"/>
      <c r="H50" s="2308" t="s">
        <v>2135</v>
      </c>
      <c r="I50" s="2307"/>
      <c r="J50" s="3665" t="s">
        <v>1345</v>
      </c>
      <c r="K50" s="3665"/>
      <c r="L50" s="3665"/>
      <c r="M50" s="3665"/>
      <c r="N50" s="3665"/>
      <c r="O50" s="3665"/>
    </row>
    <row r="51" spans="1:35" ht="20.45" customHeight="1">
      <c r="A51" s="2549"/>
      <c r="B51" s="3582" t="s">
        <v>1346</v>
      </c>
      <c r="C51" s="3582"/>
      <c r="D51" s="1083"/>
      <c r="E51" s="327"/>
      <c r="F51" s="2420"/>
      <c r="G51" s="3654"/>
      <c r="H51" s="2308" t="s">
        <v>2136</v>
      </c>
      <c r="I51" s="2307"/>
      <c r="J51" s="2520" t="s">
        <v>1347</v>
      </c>
      <c r="K51" s="3646" t="s">
        <v>1348</v>
      </c>
      <c r="L51" s="3646"/>
      <c r="M51" s="2520" t="s">
        <v>1349</v>
      </c>
      <c r="N51" s="2520" t="s">
        <v>1350</v>
      </c>
      <c r="O51" s="2520" t="s">
        <v>1351</v>
      </c>
    </row>
    <row r="52" spans="1:35" ht="24" customHeight="1">
      <c r="A52" s="2331" t="s">
        <v>1352</v>
      </c>
      <c r="B52" s="3582" t="s">
        <v>1353</v>
      </c>
      <c r="C52" s="3582"/>
      <c r="D52" s="1083">
        <f ca="1">ROUND(D45*'数据-取费表'!B41/(1+'数据-取费表'!C42),0)</f>
        <v>76</v>
      </c>
      <c r="E52" s="2330" t="s">
        <v>1354</v>
      </c>
      <c r="F52" s="2550">
        <f>'数据-取费表'!B41</f>
        <v>5.5000000000000007E-2</v>
      </c>
      <c r="G52" s="2551"/>
      <c r="H52" s="2540"/>
      <c r="I52" s="1803"/>
      <c r="J52" s="2519">
        <v>1</v>
      </c>
      <c r="K52" s="3647" t="s">
        <v>1355</v>
      </c>
      <c r="L52" s="3647"/>
      <c r="M52" s="2521" t="b">
        <f>D48</f>
        <v>0</v>
      </c>
      <c r="N52" s="2519" t="str">
        <f>E48</f>
        <v>销售额×税（费）率</v>
      </c>
      <c r="O52" s="2522">
        <f>F48</f>
        <v>5.5000000000000007E-2</v>
      </c>
    </row>
    <row r="53" spans="1:35" ht="12" customHeight="1">
      <c r="A53" s="2331" t="s">
        <v>1356</v>
      </c>
      <c r="B53" s="3608" t="s">
        <v>2291</v>
      </c>
      <c r="C53" s="3609"/>
      <c r="D53" s="1083">
        <f ca="1">ROUND(D45*'数据-取费表'!B41/(1+'数据-取费表'!C42),0)</f>
        <v>76</v>
      </c>
      <c r="E53" s="2330" t="s">
        <v>1354</v>
      </c>
      <c r="F53" s="2550">
        <f>'数据-取费表'!B41</f>
        <v>5.5000000000000007E-2</v>
      </c>
      <c r="G53" s="2551"/>
      <c r="H53" s="2540"/>
      <c r="I53" s="1803"/>
      <c r="J53" s="2519">
        <v>2</v>
      </c>
      <c r="K53" s="3647" t="s">
        <v>1357</v>
      </c>
      <c r="L53" s="3647"/>
      <c r="M53" s="2521">
        <f t="shared" ref="M53:O54" ca="1" si="0">D55</f>
        <v>1</v>
      </c>
      <c r="N53" s="2519" t="str">
        <f t="shared" si="0"/>
        <v>销售额×税（费）率</v>
      </c>
      <c r="O53" s="2522" t="str">
        <f t="shared" si="0"/>
        <v>免征</v>
      </c>
    </row>
    <row r="54" spans="1:35" ht="12" customHeight="1">
      <c r="A54" s="2331" t="s">
        <v>1358</v>
      </c>
      <c r="B54" s="3608" t="s">
        <v>2292</v>
      </c>
      <c r="C54" s="3609"/>
      <c r="D54" s="1083">
        <f ca="1">C68</f>
        <v>76</v>
      </c>
      <c r="E54" s="327" t="s">
        <v>1359</v>
      </c>
      <c r="F54" s="2550">
        <f>'数据-取费表'!B41</f>
        <v>5.5000000000000007E-2</v>
      </c>
      <c r="G54" s="2551"/>
      <c r="H54" s="2552"/>
      <c r="I54" s="1803"/>
      <c r="J54" s="2519">
        <v>3</v>
      </c>
      <c r="K54" s="3647" t="s">
        <v>1360</v>
      </c>
      <c r="L54" s="3647"/>
      <c r="M54" s="2521">
        <f t="shared" ca="1" si="0"/>
        <v>824</v>
      </c>
      <c r="N54" s="2519" t="str">
        <f t="shared" si="0"/>
        <v>增值额×税（费）率</v>
      </c>
      <c r="O54" s="2523" t="str">
        <f t="shared" si="0"/>
        <v>免征</v>
      </c>
    </row>
    <row r="55" spans="1:35" ht="24" customHeight="1">
      <c r="A55" s="3597" t="s">
        <v>1361</v>
      </c>
      <c r="B55" s="3598"/>
      <c r="C55" s="3598"/>
      <c r="D55" s="2320">
        <f ca="1">IF(H55="个人住宅",0,ROUND(D45*I55,0))</f>
        <v>1</v>
      </c>
      <c r="E55" s="2330" t="s">
        <v>1362</v>
      </c>
      <c r="F55" s="2550" t="str">
        <f>IF(H55="正常",I55,"免征")</f>
        <v>免征</v>
      </c>
      <c r="G55" s="2551"/>
      <c r="H55" s="2546"/>
      <c r="I55" s="165">
        <f>'数据-取费表'!B49</f>
        <v>5.0000000000000001E-4</v>
      </c>
      <c r="J55" s="2519">
        <f>IF(H59="非个人房产","",4)</f>
        <v>4</v>
      </c>
      <c r="K55" s="3647" t="str">
        <f>IF(H59="非个人房产","——","个人所得税")</f>
        <v>个人所得税</v>
      </c>
      <c r="L55" s="3647"/>
      <c r="M55" s="2524">
        <f ca="1">D59</f>
        <v>14</v>
      </c>
      <c r="N55" s="2036" t="str">
        <f>E59</f>
        <v>差额计税</v>
      </c>
      <c r="O55" s="2525">
        <f>F59</f>
        <v>0.01</v>
      </c>
    </row>
    <row r="56" spans="1:35" ht="24.75">
      <c r="A56" s="3597" t="s">
        <v>1363</v>
      </c>
      <c r="B56" s="3598"/>
      <c r="C56" s="3598"/>
      <c r="D56" s="2320">
        <f ca="1">IF(H56="个人住宅",D57,D58)</f>
        <v>824</v>
      </c>
      <c r="E56" s="2330" t="s">
        <v>1364</v>
      </c>
      <c r="F56" s="2550" t="str">
        <f>IF(H56="正常",F58,"免征")</f>
        <v>免征</v>
      </c>
      <c r="G56" s="2553" t="s">
        <v>1365</v>
      </c>
      <c r="H56" s="2554"/>
      <c r="I56" s="1804"/>
      <c r="J56" s="2519" t="str">
        <f>IF(项目基本情况!K6="上海银行",IF(J55="",4,J55+1),"")</f>
        <v/>
      </c>
      <c r="K56" s="3670" t="str">
        <f>IF(项目基本情况!K6="上海银行","其他处置费用","")</f>
        <v/>
      </c>
      <c r="L56" s="3671"/>
      <c r="M56" s="2521" t="str">
        <f>IF(项目基本情况!K6="上海银行",M69,"")</f>
        <v/>
      </c>
      <c r="N56" s="3670" t="str">
        <f>IF(项目基本情况!K6="上海银行","包含处置中涉及的律师、诉讼、拍卖、评估等费用","")</f>
        <v/>
      </c>
      <c r="O56" s="3673"/>
    </row>
    <row r="57" spans="1:35" ht="12.75">
      <c r="A57" s="2331" t="s">
        <v>1341</v>
      </c>
      <c r="B57" s="3608" t="s">
        <v>1366</v>
      </c>
      <c r="C57" s="3609"/>
      <c r="D57" s="1586">
        <v>0</v>
      </c>
      <c r="E57" s="324" t="s">
        <v>1343</v>
      </c>
      <c r="F57" s="302"/>
      <c r="G57" s="2551"/>
      <c r="H57" s="2555"/>
      <c r="I57" s="1804"/>
      <c r="J57" s="3647">
        <f>IF(AND(J55="",J56=""),4,IF(项目基本情况!K6="上海银行",结果表!J56+1,结果表!J55+1))</f>
        <v>5</v>
      </c>
      <c r="K57" s="3647" t="s">
        <v>1367</v>
      </c>
      <c r="L57" s="2526" t="s">
        <v>1368</v>
      </c>
      <c r="M57" s="2527"/>
      <c r="N57" s="2528">
        <f ca="1">SUMIF(M52:M56,"&lt;9e307")</f>
        <v>839</v>
      </c>
      <c r="O57" s="2529"/>
      <c r="P57" s="2686">
        <f ca="1">N57/M49</f>
        <v>0.57702888583218703</v>
      </c>
    </row>
    <row r="58" spans="1:35" ht="24.75">
      <c r="A58" s="2331" t="s">
        <v>1352</v>
      </c>
      <c r="B58" s="3608" t="s">
        <v>1369</v>
      </c>
      <c r="C58" s="3582"/>
      <c r="D58" s="2320">
        <f ca="1">IF(H58="转让取得",C81,C97)</f>
        <v>824</v>
      </c>
      <c r="E58" s="2330" t="s">
        <v>1364</v>
      </c>
      <c r="F58" s="302" t="s">
        <v>28</v>
      </c>
      <c r="G58" s="2551"/>
      <c r="H58" s="2554"/>
      <c r="I58" s="1804"/>
      <c r="J58" s="3647"/>
      <c r="K58" s="3647"/>
      <c r="L58" s="2526" t="s">
        <v>1370</v>
      </c>
      <c r="M58" s="2530"/>
      <c r="N58" s="2531" t="str">
        <f ca="1">NUMBERSTRING(INT(N57*10000),2)&amp;"元整"</f>
        <v>捌佰叁拾玖万元整</v>
      </c>
      <c r="O58" s="2532"/>
    </row>
    <row r="59" spans="1:35" ht="24.75" thickBot="1">
      <c r="A59" s="3650" t="s">
        <v>1371</v>
      </c>
      <c r="B59" s="3651"/>
      <c r="C59" s="3651"/>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48">
        <f>J57+1</f>
        <v>6</v>
      </c>
      <c r="K59" s="3647" t="s">
        <v>1372</v>
      </c>
      <c r="L59" s="2519" t="s">
        <v>1368</v>
      </c>
      <c r="M59" s="2533"/>
      <c r="N59" s="2534">
        <f ca="1">M49-N57</f>
        <v>615</v>
      </c>
      <c r="O59" s="2535"/>
    </row>
    <row r="60" spans="1:35" ht="12" customHeight="1">
      <c r="A60" s="1805"/>
      <c r="B60" s="1743"/>
      <c r="C60" s="1743"/>
      <c r="D60" s="1743"/>
      <c r="E60" s="1574"/>
      <c r="F60" s="1804"/>
      <c r="G60" s="1804"/>
      <c r="H60" s="1806"/>
      <c r="I60" s="129"/>
      <c r="J60" s="3649"/>
      <c r="K60" s="3647"/>
      <c r="L60" s="2526" t="s">
        <v>1370</v>
      </c>
      <c r="M60" s="2530"/>
      <c r="N60" s="2531" t="str">
        <f ca="1">NUMBERSTRING(INT(N59*10000),2)&amp;"元整"</f>
        <v>陆佰壹拾伍万元整</v>
      </c>
      <c r="O60" s="2532"/>
    </row>
    <row r="61" spans="1:35" ht="13.5" thickBot="1">
      <c r="A61" s="3595" t="s">
        <v>1373</v>
      </c>
      <c r="B61" s="3595"/>
      <c r="C61" s="3595"/>
      <c r="D61" s="3595"/>
      <c r="E61" s="3595"/>
      <c r="F61" s="1804"/>
      <c r="G61" s="1804"/>
      <c r="H61" s="1806"/>
      <c r="I61" s="129"/>
      <c r="J61" s="2519">
        <f>J59+1</f>
        <v>7</v>
      </c>
      <c r="K61" s="3647" t="s">
        <v>1374</v>
      </c>
      <c r="L61" s="3647"/>
      <c r="M61" s="2536"/>
      <c r="N61" s="2537">
        <f ca="1">ROUND(N59*10000/'数据-汇总表'!E3,0)</f>
        <v>2513</v>
      </c>
      <c r="O61" s="2538"/>
    </row>
    <row r="62" spans="1:35" ht="12.75">
      <c r="A62" s="3613" t="s">
        <v>1375</v>
      </c>
      <c r="B62" s="3614"/>
      <c r="C62" s="2017"/>
      <c r="D62" s="2017" t="s">
        <v>1376</v>
      </c>
      <c r="E62" s="166" t="s">
        <v>1377</v>
      </c>
      <c r="F62" s="1804"/>
      <c r="G62" s="1804"/>
      <c r="H62" s="1806"/>
      <c r="I62" s="129"/>
    </row>
    <row r="63" spans="1:35" ht="12.75">
      <c r="A63" s="173" t="s">
        <v>330</v>
      </c>
      <c r="B63" s="167" t="s">
        <v>1378</v>
      </c>
      <c r="C63" s="2560">
        <f ca="1">ROUND((C64+C65)/(1+'数据-取费表'!C42),0)</f>
        <v>1385</v>
      </c>
      <c r="D63" s="167"/>
      <c r="E63" s="168"/>
      <c r="F63" s="1804"/>
      <c r="G63" s="1804"/>
      <c r="H63" s="1806"/>
      <c r="I63" s="129"/>
      <c r="J63" s="3672" t="s">
        <v>1379</v>
      </c>
      <c r="K63" s="1328" t="s">
        <v>1380</v>
      </c>
      <c r="L63" s="1328">
        <f ca="1">IF(M49&gt;10000,M49*0.5%,IF(AND(M49&gt;1000,M49&lt;=10000),M49*1%,IF(AND(M49&gt;100,M49&lt;=1000),M49*3%,IF(AND(M49&gt;10,M49&lt;=100),M49*5%,M49*8%))))</f>
        <v>14.540000000000001</v>
      </c>
      <c r="M63" s="302">
        <f ca="1">ROUND(L63,1)</f>
        <v>14.5</v>
      </c>
      <c r="N63" s="2539"/>
      <c r="Z63" s="1748"/>
      <c r="AI63" s="1749"/>
    </row>
    <row r="64" spans="1:35" ht="14.25" customHeight="1">
      <c r="A64" s="169" t="s">
        <v>325</v>
      </c>
      <c r="B64" s="170" t="s">
        <v>1381</v>
      </c>
      <c r="C64" s="2561">
        <f ca="1">D45</f>
        <v>1454</v>
      </c>
      <c r="D64" s="170" t="s">
        <v>26</v>
      </c>
      <c r="E64" s="172"/>
      <c r="F64" s="1804"/>
      <c r="G64" s="1804"/>
      <c r="H64" s="1806"/>
      <c r="I64" s="129"/>
      <c r="J64" s="3672"/>
      <c r="K64" s="1328" t="s">
        <v>1382</v>
      </c>
      <c r="L64" s="1328">
        <f ca="1">IF(M49&gt;2000,M49*0.5%,IF(AND(M49&gt;1000,M49&lt;=2000),M49*0.6%,IF(AND(M49&gt;500,M49&lt;=1000),M49*0.7%,IF(AND(M49&gt;200,M49&lt;=500),M49*0.8%,IF(AND(M49&gt;100,M49&lt;=200),M49*0.9%,IF(AND(M49&gt;50,M49&lt;=100),M49*1%,IF(AND(M49&gt;20,M49&lt;=50),M49*1.5%,IF(AND(M49&gt;10,M49&lt;=20),M49*2%,IF(AND(M49&gt;1,M49&lt;=10),M49*2.5%)))))))))</f>
        <v>8.7240000000000002</v>
      </c>
      <c r="M64" s="302">
        <f t="shared" ref="M64:M65" ca="1" si="1">ROUND(L64,1)</f>
        <v>8.6999999999999993</v>
      </c>
      <c r="N64" s="2540" t="s">
        <v>1383</v>
      </c>
      <c r="Z64" s="1748"/>
      <c r="AI64" s="1749"/>
    </row>
    <row r="65" spans="1:35" ht="14.25" customHeight="1">
      <c r="A65" s="169" t="s">
        <v>326</v>
      </c>
      <c r="B65" s="170" t="s">
        <v>1384</v>
      </c>
      <c r="C65" s="2562"/>
      <c r="D65" s="170"/>
      <c r="E65" s="172"/>
      <c r="F65" s="1804"/>
      <c r="G65" s="1804"/>
      <c r="H65" s="1806"/>
      <c r="I65" s="129"/>
      <c r="J65" s="3672"/>
      <c r="K65" s="1328" t="s">
        <v>1385</v>
      </c>
      <c r="L65" s="1328">
        <f ca="1">IF(M49&gt;1000,M49*0.1%,IF(AND(M49&gt;500,M49&lt;=1000),M49*0.5%,IF(AND(M49&gt;50,M49&lt;=500),M49*1%,IF(AND(M49&gt;1,M49&lt;=50),M49*1.5%))))</f>
        <v>1.454</v>
      </c>
      <c r="M65" s="302">
        <f t="shared" ca="1" si="1"/>
        <v>1.5</v>
      </c>
      <c r="N65" s="2540" t="s">
        <v>1383</v>
      </c>
      <c r="Z65" s="1748"/>
      <c r="AI65" s="1749"/>
    </row>
    <row r="66" spans="1:35" ht="14.25" customHeight="1">
      <c r="A66" s="173" t="s">
        <v>327</v>
      </c>
      <c r="B66" s="174" t="s">
        <v>1386</v>
      </c>
      <c r="C66" s="2563"/>
      <c r="D66" s="174" t="s">
        <v>26</v>
      </c>
      <c r="E66" s="1334" t="s">
        <v>671</v>
      </c>
      <c r="F66" s="1804"/>
      <c r="G66" s="1804"/>
      <c r="H66" s="1806"/>
      <c r="I66" s="129"/>
      <c r="J66" s="3672"/>
      <c r="K66" s="1328" t="s">
        <v>1387</v>
      </c>
      <c r="L66" s="1328">
        <f ca="1">M49*0.5%</f>
        <v>7.2700000000000005</v>
      </c>
      <c r="M66" s="302">
        <f ca="1">IF(L66&gt;0.5,0.5,ROUND(L66,0))</f>
        <v>0.5</v>
      </c>
      <c r="N66" s="2540" t="s">
        <v>1388</v>
      </c>
      <c r="Z66" s="1748"/>
      <c r="AI66" s="1749"/>
    </row>
    <row r="67" spans="1:35" ht="14.25" customHeight="1">
      <c r="A67" s="173" t="s">
        <v>328</v>
      </c>
      <c r="B67" s="174" t="s">
        <v>1389</v>
      </c>
      <c r="C67" s="2564">
        <f ca="1">C63-C66</f>
        <v>1385</v>
      </c>
      <c r="D67" s="170" t="s">
        <v>26</v>
      </c>
      <c r="E67" s="172"/>
      <c r="F67" s="1804"/>
      <c r="G67" s="1804"/>
      <c r="H67" s="1806"/>
      <c r="I67" s="129"/>
      <c r="J67" s="3672"/>
      <c r="K67" s="1328" t="s">
        <v>1390</v>
      </c>
      <c r="L67" s="1328">
        <f ca="1">IF(M49&gt;=10000,(8.25+(M49-10000)*0.01%),IF(AND(M49&gt;=8000,M49&lt;10000),(7.85+(M49-8000)*0.02%),IF(AND(M49&gt;=5000,M49&lt;8000),(6.65+(M49-5000)*0.04%),IF(AND(M49&gt;=2000,M49&lt;5000),(4.25+(PM49-2000)*0.08%),IF(AND(M49&gt;=1000,M49&lt;2000),(2.75+(M49-1000)*0.15%),IF(AND(M49&gt;=100,M49&lt;1000),(0.5+(M49-100)*0.25%),IF(AND(M49&gt;0,M49&lt;100),M49*0.5%)))))))</f>
        <v>3.431</v>
      </c>
      <c r="M67" s="302">
        <f ca="1">ROUND(L67*0.9,1)</f>
        <v>3.1</v>
      </c>
      <c r="N67" s="2539"/>
      <c r="Z67" s="1748"/>
      <c r="AI67" s="1749"/>
    </row>
    <row r="68" spans="1:35" ht="14.25" customHeight="1" thickBot="1">
      <c r="A68" s="176" t="s">
        <v>329</v>
      </c>
      <c r="B68" s="177" t="s">
        <v>1391</v>
      </c>
      <c r="C68" s="2565">
        <f ca="1">IF(C67&lt;=0,0,ROUND(C67*D68,0))</f>
        <v>76</v>
      </c>
      <c r="D68" s="2566">
        <f>'数据-取费表'!B41</f>
        <v>5.5000000000000007E-2</v>
      </c>
      <c r="E68" s="178"/>
      <c r="F68" s="1804"/>
      <c r="G68" s="1804"/>
      <c r="H68" s="1806"/>
      <c r="I68" s="129"/>
      <c r="J68" s="3672"/>
      <c r="K68" s="1328" t="s">
        <v>1392</v>
      </c>
      <c r="L68" s="1328">
        <f ca="1">IF(M49&gt;10000,M49*0.5%,IF(AND(M49&gt;5000,M49&lt;=10000),M49*1%,IF(AND(M49&gt;1000,M49&lt;=5000),M49*2%,IF(AND(M49&gt;200,M49&lt;=1000),M49*3%,M49*5%))))</f>
        <v>29.080000000000002</v>
      </c>
      <c r="M68" s="302">
        <f ca="1">ROUND(L68,1)</f>
        <v>29.1</v>
      </c>
      <c r="N68" s="2539"/>
      <c r="Z68" s="1748"/>
      <c r="AI68" s="1749"/>
    </row>
    <row r="69" spans="1:35" s="1768" customFormat="1" ht="16.5" customHeight="1">
      <c r="A69" s="1807"/>
      <c r="B69" s="1808"/>
      <c r="C69" s="1809"/>
      <c r="D69" s="1810"/>
      <c r="E69" s="1811"/>
      <c r="F69" s="1574"/>
      <c r="G69" s="1574"/>
      <c r="H69" s="1573"/>
      <c r="I69" s="1743"/>
      <c r="J69" s="3672"/>
      <c r="K69" s="1328" t="s">
        <v>1393</v>
      </c>
      <c r="L69" s="1328"/>
      <c r="M69" s="302">
        <f ca="1">ROUND(SUM(M63:M68),0)</f>
        <v>57</v>
      </c>
      <c r="N69" s="2541">
        <f ca="1">M69/M49</f>
        <v>3.9202200825309494E-2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34" t="s">
        <v>1394</v>
      </c>
      <c r="B70" s="3635"/>
      <c r="C70" s="3635"/>
      <c r="D70" s="3635"/>
      <c r="E70" s="3635"/>
      <c r="F70" s="3635"/>
      <c r="G70" s="3635"/>
      <c r="H70" s="3635"/>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3" t="s">
        <v>1375</v>
      </c>
      <c r="B71" s="3614"/>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1385</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08" t="s">
        <v>1402</v>
      </c>
      <c r="F76" s="3582"/>
      <c r="G76" s="3582"/>
      <c r="H76" s="3633"/>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5.000000000000001E-3</v>
      </c>
      <c r="E78" s="3592" t="s">
        <v>1406</v>
      </c>
      <c r="F78" s="3593"/>
      <c r="G78" s="3593"/>
      <c r="H78" s="360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1378</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196.85714285714286</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824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4" t="s">
        <v>1410</v>
      </c>
      <c r="B83" s="3635"/>
      <c r="C83" s="3635"/>
      <c r="D83" s="3635"/>
      <c r="E83" s="3635"/>
      <c r="F83" s="3635"/>
      <c r="G83" s="3635"/>
      <c r="H83" s="3635"/>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3" t="s">
        <v>1375</v>
      </c>
      <c r="B84" s="3614"/>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1385</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74" t="s">
        <v>2129</v>
      </c>
      <c r="H90" s="3675"/>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2" t="s">
        <v>1419</v>
      </c>
      <c r="F91" s="3593"/>
      <c r="G91" s="359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2" t="s">
        <v>1422</v>
      </c>
      <c r="F92" s="3593"/>
      <c r="G92" s="3593"/>
      <c r="H92" s="3602"/>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5.000000000000001E-3</v>
      </c>
      <c r="E93" s="3592" t="s">
        <v>1406</v>
      </c>
      <c r="F93" s="3593"/>
      <c r="G93" s="3593"/>
      <c r="H93" s="360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03" t="s">
        <v>1426</v>
      </c>
      <c r="F94" s="3604"/>
      <c r="G94" s="3604"/>
      <c r="H94" s="360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1378</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196.85714285714286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824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6" t="s">
        <v>1428</v>
      </c>
      <c r="B100" s="3577"/>
      <c r="C100" s="3577"/>
      <c r="D100" s="3594"/>
      <c r="E100" s="3577" t="s">
        <v>1429</v>
      </c>
      <c r="F100" s="3577"/>
      <c r="G100" s="3577"/>
      <c r="H100" s="3594"/>
      <c r="I100" s="129"/>
    </row>
    <row r="101" spans="1:35" ht="18.75" customHeight="1">
      <c r="A101" s="3655" t="s">
        <v>1430</v>
      </c>
      <c r="B101" s="3656"/>
      <c r="C101" s="2581" t="str">
        <f>C4</f>
        <v>成本法 (元)</v>
      </c>
      <c r="D101" s="2582" t="str">
        <f>D4</f>
        <v>收益法 (元)</v>
      </c>
      <c r="E101" s="3669" t="s">
        <v>1431</v>
      </c>
      <c r="F101" s="3626"/>
      <c r="G101" s="1823" t="s">
        <v>1432</v>
      </c>
      <c r="H101" s="2591">
        <f ca="1">H118</f>
        <v>1454</v>
      </c>
      <c r="I101" s="129"/>
    </row>
    <row r="102" spans="1:35" ht="18.75" customHeight="1">
      <c r="A102" s="3628" t="s">
        <v>1433</v>
      </c>
      <c r="B102" s="2580" t="s">
        <v>1432</v>
      </c>
      <c r="C102" s="2581">
        <f ca="1">IF(D32="楼面单价",ROUND(C19,0),C19)</f>
        <v>1459.5887</v>
      </c>
      <c r="D102" s="2582">
        <f ca="1">IF(D32="楼面单价",ROUND(D19,0),D19)</f>
        <v>1447.7333000000001</v>
      </c>
      <c r="E102" s="3669"/>
      <c r="F102" s="3626"/>
      <c r="G102" s="1823" t="s">
        <v>1434</v>
      </c>
      <c r="H102" s="2551">
        <f ca="1">I118</f>
        <v>5941</v>
      </c>
      <c r="I102" s="129"/>
    </row>
    <row r="103" spans="1:35" ht="42.75" customHeight="1">
      <c r="A103" s="3628"/>
      <c r="B103" s="2580" t="s">
        <v>1434</v>
      </c>
      <c r="C103" s="2583">
        <f ca="1">C20</f>
        <v>5964</v>
      </c>
      <c r="D103" s="2584">
        <f ca="1">D20</f>
        <v>5916</v>
      </c>
      <c r="E103" s="3663" t="s">
        <v>1435</v>
      </c>
      <c r="F103" s="3664"/>
      <c r="G103" s="1824" t="s">
        <v>1436</v>
      </c>
      <c r="H103" s="2591">
        <f>IF(D36="正常操作",H104+H105+H106,H105+H106)</f>
        <v>0</v>
      </c>
      <c r="I103" s="129"/>
    </row>
    <row r="104" spans="1:35" ht="18.75" customHeight="1">
      <c r="A104" s="3628" t="s">
        <v>1437</v>
      </c>
      <c r="B104" s="2585" t="s">
        <v>1432</v>
      </c>
      <c r="C104" s="2586">
        <f ca="1">H118</f>
        <v>1454</v>
      </c>
      <c r="D104" s="2587"/>
      <c r="E104" s="1670" t="s">
        <v>1438</v>
      </c>
      <c r="F104" s="1662"/>
      <c r="G104" s="1824" t="s">
        <v>1436</v>
      </c>
      <c r="H104" s="2592">
        <f>IF(D36="同一抵押权人同一抵押物续贷",C36&amp;"（续贷，未扣减，详见特别提示）",C36)</f>
        <v>0</v>
      </c>
      <c r="I104" s="129"/>
    </row>
    <row r="105" spans="1:35" ht="18.75" customHeight="1" thickBot="1">
      <c r="A105" s="3629"/>
      <c r="B105" s="2588" t="s">
        <v>1434</v>
      </c>
      <c r="C105" s="2589">
        <f ca="1">I118</f>
        <v>5941</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5" t="str">
        <f>IF(项目基本情况!E8="已注销","——","3.房地产抵押价值")</f>
        <v>3.房地产抵押价值</v>
      </c>
      <c r="F107" s="3626"/>
      <c r="G107" s="1823" t="s">
        <v>1432</v>
      </c>
      <c r="H107" s="2591">
        <f ca="1">IF(E107="——","——",H101-H103)</f>
        <v>1454</v>
      </c>
      <c r="I107" s="129"/>
    </row>
    <row r="108" spans="1:35" ht="18.75" customHeight="1">
      <c r="A108" s="129"/>
      <c r="B108" s="129"/>
      <c r="C108" s="129"/>
      <c r="D108" s="129"/>
      <c r="E108" s="3625"/>
      <c r="F108" s="3626"/>
      <c r="G108" s="1823" t="s">
        <v>1434</v>
      </c>
      <c r="H108" s="2551">
        <f ca="1">IF(H107=H101,H102,ROUND(H107*10000/'数据-汇总表'!E3,0))</f>
        <v>5941</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626"/>
      <c r="G109" s="1823" t="s">
        <v>1432</v>
      </c>
      <c r="H109" s="2594" t="str">
        <f>IF(E109="——","——",H101-H105-H106)</f>
        <v>——</v>
      </c>
      <c r="I109" s="129"/>
    </row>
    <row r="110" spans="1:35" ht="18.75" customHeight="1">
      <c r="A110" s="129"/>
      <c r="B110" s="129"/>
      <c r="C110" s="129"/>
      <c r="D110" s="129"/>
      <c r="E110" s="3625"/>
      <c r="F110" s="3626"/>
      <c r="G110" s="1823" t="s">
        <v>1434</v>
      </c>
      <c r="H110" s="2551" t="str">
        <f>IF(H109="——","——",ROUND(H109*10000/'数据-汇总表'!E3,0))</f>
        <v>——</v>
      </c>
      <c r="I110" s="129"/>
    </row>
    <row r="111" spans="1:35" ht="18.75" customHeight="1">
      <c r="A111" s="129"/>
      <c r="B111" s="129"/>
      <c r="C111" s="129"/>
      <c r="D111" s="129"/>
      <c r="E111" s="3657" t="str">
        <f>IF(项目基本情况!E9="抵押净值",IF(OR(项目基本情况!E8="已注销",项目基本情况!E8="房地产抵押价值"),"4.抵押净值","5.抵押净值"),"——")</f>
        <v>——</v>
      </c>
      <c r="F111" s="3627"/>
      <c r="G111" s="1823" t="s">
        <v>1432</v>
      </c>
      <c r="H111" s="2591" t="str">
        <f>IF(E111="——","——",N59)</f>
        <v>——</v>
      </c>
      <c r="I111" s="129"/>
    </row>
    <row r="112" spans="1:35" ht="18.75" customHeight="1" thickBot="1">
      <c r="A112" s="129"/>
      <c r="B112" s="129"/>
      <c r="C112" s="129"/>
      <c r="D112" s="129"/>
      <c r="E112" s="3658"/>
      <c r="F112" s="3659"/>
      <c r="G112" s="1826" t="s">
        <v>1434</v>
      </c>
      <c r="H112" s="2595" t="str">
        <f>IF(E111="——","——",N61)</f>
        <v>——</v>
      </c>
      <c r="I112" s="129"/>
    </row>
    <row r="113" spans="1:27" ht="18.75" customHeight="1">
      <c r="A113" s="129"/>
      <c r="B113" s="129"/>
      <c r="C113" s="129"/>
      <c r="D113" s="129"/>
      <c r="E113" s="3630" t="s">
        <v>1440</v>
      </c>
      <c r="F113" s="3630"/>
      <c r="G113" s="3630"/>
      <c r="H113" s="3630"/>
      <c r="I113" s="129"/>
    </row>
    <row r="114" spans="1:27" ht="3.75" customHeight="1">
      <c r="A114" s="1743"/>
      <c r="B114" s="1743"/>
      <c r="C114" s="1743"/>
      <c r="D114" s="1743"/>
      <c r="E114" s="1805"/>
      <c r="F114" s="1805"/>
      <c r="G114" s="1805"/>
      <c r="H114" s="1805"/>
      <c r="I114" s="1743"/>
    </row>
    <row r="115" spans="1:27" ht="18.75" customHeight="1">
      <c r="A115" s="3640" t="s">
        <v>1442</v>
      </c>
      <c r="B115" s="3641"/>
      <c r="C115" s="3641"/>
      <c r="D115" s="3641"/>
      <c r="E115" s="3641"/>
      <c r="F115" s="3641"/>
      <c r="G115" s="3641"/>
      <c r="H115" s="3641"/>
      <c r="I115" s="3642"/>
    </row>
    <row r="116" spans="1:27" ht="27" customHeight="1">
      <c r="A116" s="3596" t="s">
        <v>1443</v>
      </c>
      <c r="B116" s="3631" t="s">
        <v>1444</v>
      </c>
      <c r="C116" s="3631" t="s">
        <v>1445</v>
      </c>
      <c r="D116" s="3644" t="s">
        <v>1446</v>
      </c>
      <c r="E116" s="3645"/>
      <c r="F116" s="3639" t="s">
        <v>1447</v>
      </c>
      <c r="G116" s="3639"/>
      <c r="H116" s="3596" t="s">
        <v>1448</v>
      </c>
      <c r="I116" s="3596"/>
    </row>
    <row r="117" spans="1:27" ht="18.75" customHeight="1">
      <c r="A117" s="3596"/>
      <c r="B117" s="3632"/>
      <c r="C117" s="3632"/>
      <c r="D117" s="2325" t="s">
        <v>1449</v>
      </c>
      <c r="E117" s="2325" t="s">
        <v>1450</v>
      </c>
      <c r="F117" s="2325" t="s">
        <v>1449</v>
      </c>
      <c r="G117" s="2325" t="s">
        <v>1451</v>
      </c>
      <c r="H117" s="2325" t="s">
        <v>1449</v>
      </c>
      <c r="I117" s="2325" t="s">
        <v>1451</v>
      </c>
    </row>
    <row r="118" spans="1:27" ht="24.75" customHeight="1">
      <c r="A118" s="2596" t="str">
        <f>项目基本情况!S2</f>
        <v>北京市 怀柔区开放东路21号3幢1层、4幢1层、5幢1层、6幢1层、7-2幢1层全部房地产</v>
      </c>
      <c r="B118" s="2325">
        <f>M18</f>
        <v>2447.34</v>
      </c>
      <c r="C118" s="2325">
        <f>M19</f>
        <v>5389.47</v>
      </c>
      <c r="D118" s="2325">
        <f ca="1">ROUND(IF(D32="总价",C34,E118*B118/10000),0)</f>
        <v>806</v>
      </c>
      <c r="E118" s="2325">
        <f ca="1">ROUND(IF(C33="自定义",IF(D32="楼面单价",C34,D118*10000/B118),I118-G118),0)</f>
        <v>3293</v>
      </c>
      <c r="F118" s="2325">
        <f ca="1">ROUND(IF(D32="总价",C35,G118*B118/10000),0)</f>
        <v>648</v>
      </c>
      <c r="G118" s="2325">
        <f ca="1">ROUND(IF(D32="楼面单价",C35,F118*10000/B118),0)</f>
        <v>2648</v>
      </c>
      <c r="H118" s="2325">
        <f ca="1">ROUND(IF(D32="总价",C32,I118*B118/10000),0)</f>
        <v>1454</v>
      </c>
      <c r="I118" s="2325">
        <f ca="1">ROUND(IF(D32="楼面单价",C32,H118*10000/B118),0)</f>
        <v>5941</v>
      </c>
    </row>
    <row r="119" spans="1:27" ht="18.75" customHeight="1">
      <c r="A119" s="3596" t="s">
        <v>1452</v>
      </c>
      <c r="B119" s="3596"/>
      <c r="C119" s="3596"/>
      <c r="D119" s="3636" t="str">
        <f ca="1">NUMBERSTRING(INT(D118*10000),2)&amp;"元整"</f>
        <v>捌佰零陆万元整</v>
      </c>
      <c r="E119" s="3638"/>
      <c r="F119" s="3636" t="str">
        <f ca="1">NUMBERSTRING(INT(F118*10000),2)&amp;"元整"</f>
        <v>陆佰肆拾捌万元整</v>
      </c>
      <c r="G119" s="3638"/>
      <c r="H119" s="3636" t="str">
        <f ca="1">NUMBERSTRING(INT(H118*10000),2)&amp;"元整"</f>
        <v>壹仟肆佰伍拾肆万元整</v>
      </c>
      <c r="I119" s="3638"/>
    </row>
    <row r="120" spans="1:27" ht="18.75" customHeight="1">
      <c r="A120" s="3660" t="str">
        <f>IF(项目基本情况!B9="房地产市场价值","",MID(E103,3,LEN(E103)-2))</f>
        <v>估价师知悉的法定优先受偿款</v>
      </c>
      <c r="B120" s="3661"/>
      <c r="C120" s="3662"/>
      <c r="D120" s="3660">
        <f>H103</f>
        <v>0</v>
      </c>
      <c r="E120" s="3661"/>
      <c r="F120" s="3661"/>
      <c r="G120" s="3661"/>
      <c r="H120" s="3661"/>
      <c r="I120" s="366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6" t="s">
        <v>1452</v>
      </c>
      <c r="B121" s="3637"/>
      <c r="C121" s="3638"/>
      <c r="D121" s="3636" t="str">
        <f>IF(D120=0,"零元整",NUMBERSTRING(INT(D120*10000),2)&amp;"元整")</f>
        <v>零元整</v>
      </c>
      <c r="E121" s="3637"/>
      <c r="F121" s="3637"/>
      <c r="G121" s="3637"/>
      <c r="H121" s="3637"/>
      <c r="I121" s="3638"/>
      <c r="AA121" s="725"/>
    </row>
    <row r="122" spans="1:27" ht="18.75" customHeight="1">
      <c r="A122" s="3627" t="str">
        <f>IF(项目基本情况!B9="房地产市场价值","",MID(E107,3,LEN(E107)-2))</f>
        <v>房地产抵押价值</v>
      </c>
      <c r="B122" s="3627"/>
      <c r="C122" s="3627"/>
      <c r="D122" s="3660">
        <f ca="1">H107</f>
        <v>1454</v>
      </c>
      <c r="E122" s="3661"/>
      <c r="F122" s="3661"/>
      <c r="G122" s="3661"/>
      <c r="H122" s="3661"/>
      <c r="I122" s="3662"/>
      <c r="AA122" s="725"/>
    </row>
    <row r="123" spans="1:27" ht="18.75" customHeight="1">
      <c r="A123" s="3596" t="s">
        <v>1452</v>
      </c>
      <c r="B123" s="3596"/>
      <c r="C123" s="3596"/>
      <c r="D123" s="3636" t="str">
        <f ca="1">NUMBERSTRING(INT(D122*10000),2)&amp;"元整"</f>
        <v>壹仟肆佰伍拾肆万元整</v>
      </c>
      <c r="E123" s="3637"/>
      <c r="F123" s="3637"/>
      <c r="G123" s="3637"/>
      <c r="H123" s="3637"/>
      <c r="I123" s="3638"/>
      <c r="AA123" s="725"/>
    </row>
    <row r="124" spans="1:27" ht="18.75" customHeight="1">
      <c r="A124" s="3627" t="str">
        <f>IF(项目基本情况!B9="房地产市场价值","",MID(E109,3,LEN(E109)-2))</f>
        <v/>
      </c>
      <c r="B124" s="3627"/>
      <c r="C124" s="3627"/>
      <c r="D124" s="3660" t="str">
        <f>H109</f>
        <v>——</v>
      </c>
      <c r="E124" s="3661"/>
      <c r="F124" s="3661"/>
      <c r="G124" s="3661"/>
      <c r="H124" s="3661"/>
      <c r="I124" s="3662"/>
      <c r="AA124" s="725"/>
    </row>
    <row r="125" spans="1:27" ht="18.75" customHeight="1">
      <c r="A125" s="3596" t="s">
        <v>1452</v>
      </c>
      <c r="B125" s="3596"/>
      <c r="C125" s="3596"/>
      <c r="D125" s="3636" t="e">
        <f>NUMBERSTRING(INT(D124*10000),2)&amp;"元整"</f>
        <v>#VALUE!</v>
      </c>
      <c r="E125" s="3637"/>
      <c r="F125" s="3637"/>
      <c r="G125" s="3637"/>
      <c r="H125" s="3637"/>
      <c r="I125" s="3638"/>
      <c r="AA125" s="725"/>
    </row>
    <row r="126" spans="1:27" ht="18.75" customHeight="1">
      <c r="A126" s="3627" t="str">
        <f>IF(项目基本情况!B9="房地产市场价值","",MID(E111,3,LEN(E111)-2))</f>
        <v/>
      </c>
      <c r="B126" s="3627"/>
      <c r="C126" s="3627"/>
      <c r="D126" s="3660" t="str">
        <f>H111</f>
        <v>——</v>
      </c>
      <c r="E126" s="3661"/>
      <c r="F126" s="3661"/>
      <c r="G126" s="3661"/>
      <c r="H126" s="3661"/>
      <c r="I126" s="3662"/>
      <c r="AA126" s="725"/>
    </row>
    <row r="127" spans="1:27" ht="18.75" customHeight="1">
      <c r="A127" s="3596" t="s">
        <v>1452</v>
      </c>
      <c r="B127" s="3596"/>
      <c r="C127" s="3596"/>
      <c r="D127" s="3636" t="e">
        <f>NUMBERSTRING(INT(D126*10000),2)&amp;"元整"</f>
        <v>#VALUE!</v>
      </c>
      <c r="E127" s="3637"/>
      <c r="F127" s="3637"/>
      <c r="G127" s="3637"/>
      <c r="H127" s="3637"/>
      <c r="I127" s="3638"/>
      <c r="AA127" s="725"/>
    </row>
    <row r="128" spans="1:27" ht="21.75" customHeight="1">
      <c r="A128" s="3643" t="s">
        <v>1453</v>
      </c>
      <c r="B128" s="3643"/>
      <c r="C128" s="3643"/>
      <c r="D128" s="3643"/>
      <c r="E128" s="3643"/>
      <c r="F128" s="3643"/>
      <c r="G128" s="3643"/>
      <c r="H128" s="3643"/>
      <c r="I128" s="3643"/>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8" t="str">
        <f>项目基本情况!B1</f>
        <v>北京市 怀柔区开放东路21号3幢1层、4幢1层、5幢1层、6幢1层、7-2幢1层全部房地产抵押价值预评估</v>
      </c>
      <c r="C37" s="3488"/>
      <c r="D37" s="3488"/>
      <c r="E37" s="3488"/>
      <c r="F37" s="3488"/>
      <c r="G37" s="3488"/>
      <c r="H37" s="3488"/>
      <c r="I37" s="3488"/>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t="s">
        <v>3</v>
      </c>
      <c r="C1" s="198"/>
      <c r="D1" s="198"/>
      <c r="E1" s="198"/>
      <c r="F1" s="198"/>
      <c r="G1" s="1122">
        <f>MATCH(B1,'数据-取费表'!A6:A16,0)+5</f>
        <v>6</v>
      </c>
    </row>
    <row r="2" spans="1:9" s="200" customFormat="1" ht="18" customHeight="1">
      <c r="A2" s="201" t="s">
        <v>1462</v>
      </c>
      <c r="B2" s="202">
        <f ca="1">IF(D2="——",C52,C52-E2)</f>
        <v>1456</v>
      </c>
      <c r="C2" s="199" t="s">
        <v>1463</v>
      </c>
      <c r="D2" s="1849" t="s">
        <v>43</v>
      </c>
      <c r="E2" s="1165">
        <f ca="1">SUMIF(INDIRECT("'"&amp;G2&amp;"'"&amp;"!A:A"),"承租人权益价值",INDIRECT("'"&amp;G2&amp;"'"&amp;"!c:c"))</f>
        <v>0</v>
      </c>
      <c r="F2" s="1850" t="s">
        <v>1463</v>
      </c>
      <c r="G2" s="1851" t="s">
        <v>3422</v>
      </c>
    </row>
    <row r="3" spans="1:9" s="200" customFormat="1" ht="18" customHeight="1" thickBot="1">
      <c r="A3" s="203" t="s">
        <v>1464</v>
      </c>
      <c r="B3" s="204">
        <f ca="1">ROUND(B2*10000/(IF(B1="",'数据-汇总表'!E3,INDIRECT("'数据-取费表'!k"&amp;$G$1))),0)</f>
        <v>5949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651</v>
      </c>
      <c r="D5" s="211" t="s">
        <v>1469</v>
      </c>
      <c r="E5" s="212" t="s">
        <v>1470</v>
      </c>
      <c r="F5" s="212" t="s">
        <v>1471</v>
      </c>
      <c r="G5" s="213"/>
    </row>
    <row r="6" spans="1:9" s="214" customFormat="1" ht="13.5" customHeight="1">
      <c r="A6" s="774" t="s">
        <v>1472</v>
      </c>
      <c r="B6" s="215" t="s">
        <v>1473</v>
      </c>
      <c r="C6" s="216">
        <f>基准地价修正!E33</f>
        <v>594</v>
      </c>
      <c r="D6" s="217"/>
      <c r="E6" s="218"/>
      <c r="F6" s="218"/>
      <c r="G6" s="219"/>
    </row>
    <row r="7" spans="1:9" s="214" customFormat="1" ht="13.5" customHeight="1">
      <c r="A7" s="774" t="s">
        <v>1474</v>
      </c>
      <c r="B7" s="215" t="s">
        <v>1475</v>
      </c>
      <c r="C7" s="220">
        <f>ROUND(C6*F7,0)</f>
        <v>18</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39</v>
      </c>
      <c r="D8" s="222"/>
      <c r="E8" s="220"/>
      <c r="F8" s="221"/>
      <c r="G8" s="1852" t="s">
        <v>3420</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120</v>
      </c>
      <c r="F9" s="221"/>
      <c r="G9" s="1853" t="s">
        <v>3427</v>
      </c>
      <c r="H9" s="1133"/>
      <c r="I9" s="1854" t="s">
        <v>1479</v>
      </c>
    </row>
    <row r="10" spans="1:9" s="214" customFormat="1" ht="13.5" customHeight="1">
      <c r="A10" s="775" t="s">
        <v>356</v>
      </c>
      <c r="B10" s="224" t="s">
        <v>1480</v>
      </c>
      <c r="C10" s="225">
        <f ca="1">ROUND(D10*E10/10000,0)</f>
        <v>39</v>
      </c>
      <c r="D10" s="841">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2447.34</v>
      </c>
      <c r="E19" s="211">
        <f>'数据-取费表'!B31</f>
        <v>200</v>
      </c>
      <c r="F19" s="231"/>
      <c r="G19" s="1852" t="s">
        <v>3421</v>
      </c>
    </row>
    <row r="20" spans="1:7" s="214" customFormat="1" ht="13.5" customHeight="1">
      <c r="A20" s="255" t="s">
        <v>1493</v>
      </c>
      <c r="B20" s="210" t="s">
        <v>1494</v>
      </c>
      <c r="C20" s="232">
        <f ca="1">ROUND((C5+C19)*F20,0)</f>
        <v>16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0">
        <f ca="1">ROUND(SUM(C23:C25),0)</f>
        <v>22</v>
      </c>
      <c r="D22" s="235">
        <f ca="1">C26</f>
        <v>4.0000000000000002E-4</v>
      </c>
      <c r="E22" s="236" t="s">
        <v>1498</v>
      </c>
      <c r="F22" s="237">
        <f ca="1">'数据-取费表'!B40</f>
        <v>3.4500000000000003E-2</v>
      </c>
      <c r="G22" s="234" t="str">
        <f>IF('数据-取费表'!B22&lt;=1,"单利计息","复利计息")</f>
        <v>单利计息</v>
      </c>
    </row>
    <row r="23" spans="1:7" s="214" customFormat="1" ht="13.5" customHeight="1">
      <c r="A23" s="776" t="s">
        <v>1502</v>
      </c>
      <c r="B23" s="215" t="s">
        <v>1503</v>
      </c>
      <c r="C23" s="1101">
        <f ca="1">ROUND(IF('数据-取费表'!B22&lt;=1,C5*F22*'数据-取费表'!B23,C5*(POWER((1+F22),'数据-取费表'!B23)-1)),0)</f>
        <v>22</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53</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ROUND((C5+C19+C20)*F27*'数据-取费表'!B21/'数据-取费表'!B20,0)</f>
        <v>53</v>
      </c>
      <c r="D28" s="235"/>
      <c r="E28" s="236"/>
      <c r="F28" s="246"/>
      <c r="G28" s="247"/>
    </row>
    <row r="29" spans="1:7" s="214" customFormat="1" ht="13.5" customHeight="1">
      <c r="A29" s="776"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761</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666</v>
      </c>
      <c r="D34" s="217"/>
      <c r="E34" s="220"/>
      <c r="F34" s="257">
        <f ca="1">IF('数据-取费表'!B24=0,1,IF(B1="",'数据-取费表'!N16,INDIRECT("'数据-取费表'!n"&amp;$G$1)))</f>
        <v>1</v>
      </c>
      <c r="G34" s="219" t="s">
        <v>1526</v>
      </c>
    </row>
    <row r="35" spans="1:7" ht="13.5" customHeight="1">
      <c r="A35" s="776" t="s">
        <v>351</v>
      </c>
      <c r="B35" s="215" t="s">
        <v>1527</v>
      </c>
      <c r="C35" s="220">
        <f ca="1">ROUND(C34*F35,0)</f>
        <v>33</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49</v>
      </c>
      <c r="D37" s="217">
        <f ca="1">D19</f>
        <v>2447.34</v>
      </c>
      <c r="E37" s="249">
        <f>'数据-取费表'!B35</f>
        <v>200</v>
      </c>
      <c r="F37" s="259"/>
      <c r="G37" s="261" t="s">
        <v>1532</v>
      </c>
    </row>
    <row r="38" spans="1:7" ht="13.5" customHeight="1">
      <c r="A38" s="776"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ROUND(IF('数据-取费表'!B22&lt;=1,C33*F22*'数据-取费表'!B21/2,C33*(POWER((1+F22),'数据-取费表'!B21/2)-1)),0)</f>
        <v>13</v>
      </c>
      <c r="D42" s="238"/>
      <c r="E42" s="238"/>
      <c r="F42" s="239"/>
      <c r="G42" s="3676" t="s">
        <v>1544</v>
      </c>
    </row>
    <row r="43" spans="1:7" ht="13.5" customHeight="1">
      <c r="A43" s="776" t="s">
        <v>347</v>
      </c>
      <c r="B43" s="215" t="s">
        <v>1545</v>
      </c>
      <c r="C43" s="238">
        <f ca="1">ROUND(IF('数据-取费表'!B22&lt;=1,C39*F22*'数据-取费表'!B21/2,C39*(POWER((1+F22),'数据-取费表'!B21/2)-1)),0)</f>
        <v>0</v>
      </c>
      <c r="D43" s="238"/>
      <c r="E43" s="238"/>
      <c r="F43" s="239"/>
      <c r="G43" s="3677"/>
    </row>
    <row r="44" spans="1:7" ht="13.5" customHeight="1">
      <c r="A44" s="776" t="s">
        <v>348</v>
      </c>
      <c r="B44" s="215" t="s">
        <v>1546</v>
      </c>
      <c r="C44" s="238">
        <f ca="1">ROUND(IF('数据-取费表'!B22&lt;=1,C40*F22*'数据-取费表'!B21/2,C40*(POWER((1+F22),'数据-取费表'!B21/2)-1)),4)</f>
        <v>4.0000000000000002E-4</v>
      </c>
      <c r="D44" s="238"/>
      <c r="E44" s="238"/>
      <c r="F44" s="239"/>
      <c r="G44" s="3678"/>
    </row>
    <row r="45" spans="1:7" s="214" customFormat="1" ht="13.5" customHeight="1">
      <c r="A45" s="255" t="s">
        <v>1547</v>
      </c>
      <c r="B45" s="244" t="s">
        <v>1513</v>
      </c>
      <c r="C45" s="245">
        <f ca="1">C46</f>
        <v>62</v>
      </c>
      <c r="D45" s="235">
        <f ca="1">C47</f>
        <v>2E-3</v>
      </c>
      <c r="E45" s="236" t="s">
        <v>1539</v>
      </c>
      <c r="F45" s="246">
        <f ca="1">F27</f>
        <v>0.08</v>
      </c>
      <c r="G45" s="247" t="s">
        <v>1548</v>
      </c>
    </row>
    <row r="46" spans="1:7" s="214" customFormat="1" ht="13.5" customHeight="1">
      <c r="A46" s="776" t="s">
        <v>346</v>
      </c>
      <c r="B46" s="248" t="s">
        <v>1549</v>
      </c>
      <c r="C46" s="249">
        <f ca="1">ROUND((C33+C39)*F27,0)</f>
        <v>62</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650</v>
      </c>
      <c r="D51" s="232"/>
      <c r="E51" s="232"/>
      <c r="F51" s="264"/>
      <c r="G51" s="234" t="s">
        <v>1560</v>
      </c>
    </row>
    <row r="52" spans="1:7" s="208" customFormat="1" ht="16.5" thickBot="1">
      <c r="A52" s="265" t="s">
        <v>1561</v>
      </c>
      <c r="B52" s="266"/>
      <c r="C52" s="267">
        <f ca="1">C31+C51</f>
        <v>1456</v>
      </c>
      <c r="D52" s="266"/>
      <c r="E52" s="266"/>
      <c r="F52" s="266"/>
      <c r="G52" s="268"/>
    </row>
    <row r="55" spans="1:7" ht="15">
      <c r="B55" s="270" t="s">
        <v>1562</v>
      </c>
      <c r="C55" s="271"/>
    </row>
    <row r="56" spans="1:7">
      <c r="B56" s="273" t="s">
        <v>802</v>
      </c>
      <c r="C56" s="275">
        <f ca="1">1-C57</f>
        <v>0.55400000000000005</v>
      </c>
    </row>
    <row r="57" spans="1:7">
      <c r="B57" s="273" t="s">
        <v>803</v>
      </c>
      <c r="C57" s="274">
        <f ca="1">ROUND(C51/C52,3)</f>
        <v>0.44600000000000001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8" zoomScale="70" zoomScaleNormal="70" zoomScaleSheetLayoutView="7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t="s">
        <v>3</v>
      </c>
      <c r="C1" s="1855" t="s">
        <v>1563</v>
      </c>
      <c r="D1" s="198"/>
      <c r="E1" s="198"/>
      <c r="F1" s="198"/>
      <c r="G1" s="1122">
        <f>MATCH(B1,'数据-取费表'!A6:A16,0)+5</f>
        <v>6</v>
      </c>
      <c r="H1" s="1057" t="str">
        <f>IF(ISERROR(FIND("住宅",B1)),"非住宅","住宅")</f>
        <v>非住宅</v>
      </c>
    </row>
    <row r="2" spans="1:8" s="200" customFormat="1" ht="18" customHeight="1">
      <c r="A2" s="201" t="s">
        <v>1462</v>
      </c>
      <c r="B2" s="3420">
        <f ca="1">ROUND(IF(D2="——",C52/10000,C52/10000-E2),4)</f>
        <v>1459.5887</v>
      </c>
      <c r="C2" s="199" t="s">
        <v>1463</v>
      </c>
      <c r="D2" s="1849" t="s">
        <v>43</v>
      </c>
      <c r="E2" s="1165">
        <f ca="1">SUMIF(INDIRECT("'"&amp;G2&amp;"'"&amp;"!A:A"),"承租人权益价值",INDIRECT("'"&amp;G2&amp;"'"&amp;"!c:c"))</f>
        <v>0</v>
      </c>
      <c r="F2" s="1850" t="s">
        <v>1463</v>
      </c>
      <c r="G2" s="1851" t="s">
        <v>3422</v>
      </c>
    </row>
    <row r="3" spans="1:8" s="200" customFormat="1" ht="18" customHeight="1" thickBot="1">
      <c r="A3" s="203" t="s">
        <v>1464</v>
      </c>
      <c r="B3" s="204">
        <f ca="1">ROUND(B2*10000/(IF(B1="",'数据-汇总表'!E3,INDIRECT("'数据-取费表'!k"&amp;$G$1))),0)</f>
        <v>5964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6511914.9400000004</v>
      </c>
      <c r="D5" s="211" t="s">
        <v>1469</v>
      </c>
      <c r="E5" s="212" t="s">
        <v>1470</v>
      </c>
      <c r="F5" s="212" t="s">
        <v>1471</v>
      </c>
      <c r="G5" s="213"/>
    </row>
    <row r="6" spans="1:8" s="214" customFormat="1" ht="13.5" customHeight="1">
      <c r="A6" s="774" t="s">
        <v>1472</v>
      </c>
      <c r="B6" s="215" t="s">
        <v>1473</v>
      </c>
      <c r="C6" s="216">
        <f>基准地价修正!C33*基准地价修正!D33</f>
        <v>5939195.9400000004</v>
      </c>
      <c r="D6" s="217"/>
      <c r="E6" s="218"/>
      <c r="F6" s="218"/>
      <c r="G6" s="219"/>
    </row>
    <row r="7" spans="1:8" s="214" customFormat="1" ht="13.5" customHeight="1">
      <c r="A7" s="774" t="s">
        <v>1474</v>
      </c>
      <c r="B7" s="215" t="s">
        <v>1475</v>
      </c>
      <c r="C7" s="220">
        <f>ROUND(C6*F7,0)</f>
        <v>181145</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391574</v>
      </c>
      <c r="D8" s="222"/>
      <c r="E8" s="220"/>
      <c r="F8" s="221"/>
      <c r="G8" s="1852" t="s">
        <v>3420</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120</v>
      </c>
      <c r="F9" s="221"/>
      <c r="G9" s="226"/>
    </row>
    <row r="10" spans="1:8" s="214" customFormat="1" ht="13.5" customHeight="1">
      <c r="A10" s="775" t="s">
        <v>356</v>
      </c>
      <c r="B10" s="224" t="s">
        <v>1480</v>
      </c>
      <c r="C10" s="225">
        <f ca="1">ROUND(D10*E10,0)</f>
        <v>391574</v>
      </c>
      <c r="D10" s="841">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2447.34</v>
      </c>
      <c r="E19" s="211">
        <f>'数据-取费表'!B31</f>
        <v>200</v>
      </c>
      <c r="F19" s="231"/>
      <c r="G19" s="1852" t="s">
        <v>3421</v>
      </c>
    </row>
    <row r="20" spans="1:7" s="214" customFormat="1" ht="13.5" customHeight="1">
      <c r="A20" s="255" t="s">
        <v>1574</v>
      </c>
      <c r="B20" s="210" t="s">
        <v>1575</v>
      </c>
      <c r="C20" s="232">
        <f ca="1">ROUND((C5+C19)*F20,0)</f>
        <v>162798</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3">
        <f ca="1">ROUND(SUM(C23:C25),0)</f>
        <v>227469</v>
      </c>
      <c r="D22" s="235">
        <f ca="1">C26</f>
        <v>4.0000000000000002E-4</v>
      </c>
      <c r="E22" s="236" t="s">
        <v>1579</v>
      </c>
      <c r="F22" s="237">
        <f ca="1">'数据-取费表'!B40</f>
        <v>3.4500000000000003E-2</v>
      </c>
      <c r="G22" s="234" t="str">
        <f>IF('数据-取费表'!B22&lt;=1,"单利计息","复利计息")</f>
        <v>单利计息</v>
      </c>
    </row>
    <row r="23" spans="1:7" s="214" customFormat="1" ht="13.5" customHeight="1">
      <c r="A23" s="776" t="s">
        <v>1472</v>
      </c>
      <c r="B23" s="215" t="s">
        <v>1583</v>
      </c>
      <c r="C23" s="1124">
        <f ca="1">ROUND(IF('数据-取费表'!B22&lt;=1,C5*F22*'数据-取费表'!B22,C5*(POWER((1+F22),'数据-取费表'!B22)-1)),0)</f>
        <v>224661</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2808</v>
      </c>
      <c r="D25" s="238"/>
      <c r="E25" s="241"/>
      <c r="F25" s="239"/>
      <c r="G25" s="242" t="s">
        <v>1588</v>
      </c>
    </row>
    <row r="26" spans="1:7" s="214" customFormat="1">
      <c r="A26" s="776"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533977</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ROUND((C5+C19+C20)*F27,0)</f>
        <v>533977</v>
      </c>
      <c r="D28" s="235"/>
      <c r="E28" s="236"/>
      <c r="F28" s="246"/>
      <c r="G28" s="247"/>
    </row>
    <row r="29" spans="1:7" s="214" customFormat="1" ht="13.5" customHeight="1">
      <c r="A29" s="776"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8081025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7614825</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6659212</v>
      </c>
      <c r="D34" s="217"/>
      <c r="E34" s="220"/>
      <c r="F34" s="257"/>
      <c r="G34" s="219"/>
    </row>
    <row r="35" spans="1:7" ht="13.5" customHeight="1">
      <c r="A35" s="776" t="s">
        <v>351</v>
      </c>
      <c r="B35" s="215" t="s">
        <v>1527</v>
      </c>
      <c r="C35" s="220">
        <f ca="1">ROUND(C34*F35,0)</f>
        <v>332961</v>
      </c>
      <c r="D35" s="220"/>
      <c r="E35" s="220"/>
      <c r="F35" s="259">
        <f>'数据-取费表'!B33</f>
        <v>0.05</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489468</v>
      </c>
      <c r="D37" s="217">
        <f ca="1">D19</f>
        <v>2447.34</v>
      </c>
      <c r="E37" s="249">
        <f>'数据-取费表'!B35</f>
        <v>200</v>
      </c>
      <c r="F37" s="259"/>
      <c r="G37" s="261"/>
    </row>
    <row r="38" spans="1:7" ht="13.5" customHeight="1">
      <c r="A38" s="776" t="s">
        <v>354</v>
      </c>
      <c r="B38" s="215" t="s">
        <v>1533</v>
      </c>
      <c r="C38" s="220">
        <f ca="1">ROUND(C34*F38,0)</f>
        <v>133184</v>
      </c>
      <c r="D38" s="220"/>
      <c r="E38" s="220"/>
      <c r="F38" s="259">
        <f>'数据-取费表'!B36</f>
        <v>0.02</v>
      </c>
      <c r="G38" s="219" t="s">
        <v>1528</v>
      </c>
    </row>
    <row r="39" spans="1:7" s="214" customFormat="1" ht="13.5" customHeight="1">
      <c r="A39" s="255" t="s">
        <v>1534</v>
      </c>
      <c r="B39" s="210" t="s">
        <v>1535</v>
      </c>
      <c r="C39" s="232">
        <f ca="1">ROUND(C33*F20,0)</f>
        <v>190371</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134640</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ROUND(IF('数据-取费表'!B22&lt;=1,C33*F22*'数据-取费表'!B20/2,C33*(POWER((1+F22),'数据-取费表'!B20/2)-1)),0)</f>
        <v>131356</v>
      </c>
      <c r="D42" s="238"/>
      <c r="E42" s="238"/>
      <c r="F42" s="239"/>
      <c r="G42" s="3676" t="s">
        <v>1591</v>
      </c>
    </row>
    <row r="43" spans="1:7" ht="13.5" customHeight="1">
      <c r="A43" s="776" t="s">
        <v>347</v>
      </c>
      <c r="B43" s="215" t="s">
        <v>1545</v>
      </c>
      <c r="C43" s="238">
        <f ca="1">ROUND(IF('数据-取费表'!B22&lt;=1,C39*F22*'数据-取费表'!B20/2,C39*(POWER((1+F22),'数据-取费表'!B20/2)-1)),0)</f>
        <v>3284</v>
      </c>
      <c r="D43" s="238"/>
      <c r="E43" s="238"/>
      <c r="F43" s="239"/>
      <c r="G43" s="3677"/>
    </row>
    <row r="44" spans="1:7" ht="13.5" customHeight="1">
      <c r="A44" s="776" t="s">
        <v>348</v>
      </c>
      <c r="B44" s="215" t="s">
        <v>1546</v>
      </c>
      <c r="C44" s="238">
        <f ca="1">ROUND(IF('数据-取费表'!B22&lt;=1,C40*F22*'数据-取费表'!B20/2,C40*(POWER((1+F22),'数据-取费表'!B20/2)-1)),4)</f>
        <v>4.0000000000000002E-4</v>
      </c>
      <c r="D44" s="238"/>
      <c r="E44" s="238"/>
      <c r="F44" s="239"/>
      <c r="G44" s="3678"/>
    </row>
    <row r="45" spans="1:7" s="214" customFormat="1" ht="13.5" customHeight="1">
      <c r="A45" s="255" t="s">
        <v>1547</v>
      </c>
      <c r="B45" s="244" t="s">
        <v>1513</v>
      </c>
      <c r="C45" s="245">
        <f ca="1">C46</f>
        <v>624416</v>
      </c>
      <c r="D45" s="235">
        <f ca="1">C47</f>
        <v>2E-3</v>
      </c>
      <c r="E45" s="236" t="s">
        <v>1539</v>
      </c>
      <c r="F45" s="246">
        <f ca="1">F27</f>
        <v>0.08</v>
      </c>
      <c r="G45" s="247" t="s">
        <v>1548</v>
      </c>
    </row>
    <row r="46" spans="1:7" s="214" customFormat="1" ht="13.5" customHeight="1">
      <c r="A46" s="776" t="s">
        <v>346</v>
      </c>
      <c r="B46" s="248" t="s">
        <v>1549</v>
      </c>
      <c r="C46" s="249">
        <f ca="1">ROUND((C33+C39)*F27,0)</f>
        <v>624416</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9306946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6514862</v>
      </c>
      <c r="D51" s="232"/>
      <c r="E51" s="232"/>
      <c r="F51" s="264"/>
      <c r="G51" s="234" t="s">
        <v>1560</v>
      </c>
    </row>
    <row r="52" spans="1:7" s="208" customFormat="1" ht="16.5" thickBot="1">
      <c r="A52" s="265" t="s">
        <v>1561</v>
      </c>
      <c r="B52" s="266"/>
      <c r="C52" s="267">
        <f ca="1">C31+C51</f>
        <v>14595887</v>
      </c>
      <c r="D52" s="266"/>
      <c r="E52" s="266"/>
      <c r="F52" s="266"/>
      <c r="G52" s="268"/>
    </row>
    <row r="55" spans="1:7" ht="15">
      <c r="B55" s="270" t="s">
        <v>1562</v>
      </c>
      <c r="C55" s="271"/>
    </row>
    <row r="56" spans="1:7">
      <c r="B56" s="273" t="s">
        <v>802</v>
      </c>
      <c r="C56" s="275">
        <f ca="1">1-C57</f>
        <v>0.55400000000000005</v>
      </c>
    </row>
    <row r="57" spans="1:7">
      <c r="B57" s="273" t="s">
        <v>803</v>
      </c>
      <c r="C57" s="274">
        <f ca="1">ROUND(C51/C52,3)</f>
        <v>0.44600000000000001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7"/>
      <c r="C1" s="1188"/>
      <c r="D1" s="1186"/>
      <c r="E1" s="2802"/>
      <c r="F1" s="2802"/>
      <c r="G1" s="2667"/>
      <c r="H1" s="2802"/>
      <c r="I1" s="2802"/>
      <c r="J1" s="2802"/>
      <c r="K1" s="2803">
        <f>MATCH(C1,'数据-取费表'!A6:A16,0)+5</f>
        <v>7</v>
      </c>
    </row>
    <row r="2" spans="1:33" ht="18" customHeight="1">
      <c r="A2" s="201" t="s">
        <v>1462</v>
      </c>
      <c r="B2" s="204">
        <f ca="1">C32</f>
        <v>-42</v>
      </c>
      <c r="C2" s="276" t="s">
        <v>1595</v>
      </c>
      <c r="D2" s="276"/>
      <c r="E2" s="2802"/>
      <c r="F2" s="2802"/>
      <c r="G2" s="2802"/>
      <c r="H2" s="2802"/>
      <c r="I2" s="2802"/>
      <c r="J2" s="2802"/>
      <c r="K2" s="2802"/>
    </row>
    <row r="3" spans="1:33" ht="18" customHeight="1" thickBot="1">
      <c r="A3" s="203" t="s">
        <v>1464</v>
      </c>
      <c r="B3" s="204">
        <f ca="1">ROUND(B2*10000/IF(C1="",'数据-汇总表'!E3,INDIRECT("'数据-取费表'!K"&amp;$K$1)),0)</f>
        <v>-172</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2447.34</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2447.34</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39</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120</v>
      </c>
      <c r="F19" s="800"/>
      <c r="G19" s="12"/>
      <c r="H19" s="1185"/>
      <c r="I19" s="805"/>
      <c r="J19" s="805"/>
      <c r="K19" s="806"/>
    </row>
    <row r="20" spans="1:33" s="799" customFormat="1" ht="13.5" customHeight="1">
      <c r="A20" s="796" t="s">
        <v>361</v>
      </c>
      <c r="B20" s="797" t="s">
        <v>1627</v>
      </c>
      <c r="C20" s="21">
        <f ca="1">ROUND(D20*E20/10000,0)</f>
        <v>39</v>
      </c>
      <c r="D20" s="842">
        <f ca="1">IF(C1="",'数据-汇总表'!E6,IF(INDIRECT("'数据-取费表'!c"&amp;$K$1)="住宅",INDIRECT("'数据-取费表'!s"&amp;$K$1),INDIRECT("'数据-取费表'!k"&amp;$K$1)+INDIRECT("'数据-取费表'!s"&amp;$K$1)))</f>
        <v>2447.34</v>
      </c>
      <c r="E20" s="21">
        <f>'数据-取费表'!B28</f>
        <v>160</v>
      </c>
      <c r="F20" s="800"/>
      <c r="G20" s="12"/>
      <c r="H20" s="805"/>
      <c r="I20" s="805"/>
      <c r="J20" s="805"/>
      <c r="K20" s="806"/>
    </row>
    <row r="21" spans="1:33" s="799" customFormat="1" ht="13.5" customHeight="1">
      <c r="A21" s="786" t="s">
        <v>357</v>
      </c>
      <c r="B21" s="809" t="s">
        <v>1628</v>
      </c>
      <c r="C21" s="810">
        <f ca="1">C16+C17+C18</f>
        <v>39</v>
      </c>
      <c r="D21" s="811"/>
      <c r="E21" s="281"/>
      <c r="F21" s="281"/>
      <c r="G21" s="131" t="s">
        <v>1629</v>
      </c>
      <c r="H21" s="803"/>
      <c r="I21" s="803"/>
      <c r="J21" s="803"/>
      <c r="K21" s="804"/>
    </row>
    <row r="22" spans="1:33" s="799" customFormat="1" ht="13.5" customHeight="1">
      <c r="A22" s="786" t="s">
        <v>1601</v>
      </c>
      <c r="B22" s="809" t="s">
        <v>1630</v>
      </c>
      <c r="C22" s="810">
        <f ca="1">ROUND(C21*F22,0)</f>
        <v>1</v>
      </c>
      <c r="D22" s="281"/>
      <c r="E22" s="281"/>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2.5000000000000001E-2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3"/>
      <c r="I27" s="803"/>
      <c r="J27" s="803"/>
      <c r="K27" s="804"/>
    </row>
    <row r="28" spans="1:33" s="289" customFormat="1" ht="13.5" customHeight="1">
      <c r="A28" s="786" t="s">
        <v>1641</v>
      </c>
      <c r="B28" s="1861" t="s">
        <v>1642</v>
      </c>
      <c r="C28" s="287">
        <f ca="1">C30</f>
        <v>3</v>
      </c>
      <c r="D28" s="280">
        <f ca="1">C29</f>
        <v>0</v>
      </c>
      <c r="E28" s="282" t="s">
        <v>12</v>
      </c>
      <c r="F28" s="288">
        <f ca="1">IF(C1="",'数据-取费表'!Q16,INDIRECT("'数据-取费表'!q"&amp;$K$1))</f>
        <v>0.08</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3</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-42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1" t="s">
        <v>694</v>
      </c>
      <c r="C6" s="1070">
        <f ca="1">ROUND(F6*F8*F7*(1-F9)/10000,0)</f>
        <v>0</v>
      </c>
      <c r="D6" s="155" t="s">
        <v>2109</v>
      </c>
      <c r="E6" s="302" t="s">
        <v>696</v>
      </c>
      <c r="F6" s="303">
        <f ca="1">INDIRECT("'数据-取费表'!u"&amp;$G$1)</f>
        <v>0</v>
      </c>
      <c r="G6" s="1380"/>
      <c r="H6" s="1065" t="s">
        <v>398</v>
      </c>
      <c r="I6" s="3681" t="s">
        <v>694</v>
      </c>
      <c r="J6" s="301">
        <f ca="1">ROUND(M6*M8*M7*(1-M9)/10000,0)</f>
        <v>0</v>
      </c>
      <c r="K6" s="155" t="s">
        <v>2108</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0</v>
      </c>
      <c r="G7" s="1380"/>
      <c r="H7" s="304"/>
      <c r="I7" s="3682"/>
      <c r="J7" s="306"/>
      <c r="K7" s="307"/>
      <c r="L7" s="302" t="s">
        <v>697</v>
      </c>
      <c r="M7" s="303">
        <f ca="1">F7</f>
        <v>0</v>
      </c>
    </row>
    <row r="8" spans="1:37" ht="18" customHeight="1">
      <c r="A8" s="304"/>
      <c r="B8" s="3682"/>
      <c r="C8" s="306"/>
      <c r="D8" s="307"/>
      <c r="E8" s="302" t="s">
        <v>698</v>
      </c>
      <c r="F8" s="303">
        <f ca="1">INDIRECT("'数据-取费表'!ai"&amp;$G$1)</f>
        <v>0</v>
      </c>
      <c r="G8" s="1380"/>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2.5000000000000001E-2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2.5000000000000001E-2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0</v>
      </c>
      <c r="G35" s="1380"/>
      <c r="H35" s="2693"/>
      <c r="I35" s="1394"/>
      <c r="J35" s="1395"/>
      <c r="K35" s="2697"/>
      <c r="L35" s="2696"/>
      <c r="M35" s="2696"/>
    </row>
    <row r="36" spans="1:18" ht="18" customHeight="1">
      <c r="A36" s="1098"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78"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5" t="s">
        <v>684</v>
      </c>
      <c r="B38" s="1086" t="s">
        <v>728</v>
      </c>
      <c r="C38" s="1087">
        <f ca="1">ROUND(C5*F38,2)</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10">
        <f ca="1">C5-C30</f>
        <v>0</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0</v>
      </c>
      <c r="K53" s="3679" t="s">
        <v>837</v>
      </c>
      <c r="L53" s="3680"/>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v>
      </c>
      <c r="D1" s="1358" t="s">
        <v>43</v>
      </c>
      <c r="E1" s="1359" t="s">
        <v>678</v>
      </c>
      <c r="F1" s="1058">
        <f ca="1">J53</f>
        <v>24.24</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f ca="1">ROUND(D2/10000,4)</f>
        <v>1447.7333000000001</v>
      </c>
      <c r="C2" s="1383" t="s">
        <v>879</v>
      </c>
      <c r="D2" s="1467">
        <f ca="1">C40+J29+L46</f>
        <v>14477333</v>
      </c>
      <c r="E2" s="1384" t="s">
        <v>880</v>
      </c>
      <c r="F2" s="1385"/>
      <c r="G2" s="2702"/>
      <c r="H2" s="2691"/>
      <c r="I2" s="2691"/>
      <c r="J2" s="2691"/>
      <c r="K2" s="2692"/>
      <c r="L2" s="2691"/>
      <c r="M2" s="2691"/>
    </row>
    <row r="3" spans="1:37" ht="18" customHeight="1" thickBot="1">
      <c r="A3" s="1386" t="s">
        <v>881</v>
      </c>
      <c r="B3" s="1387">
        <f ca="1">IF(ISERROR(D2/F43),0,ROUND(D2/F43,0))</f>
        <v>5916</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1104579</v>
      </c>
      <c r="D5" s="1360" t="s">
        <v>889</v>
      </c>
      <c r="E5" s="1067"/>
      <c r="F5" s="1068"/>
      <c r="G5" s="1380"/>
      <c r="H5" s="299">
        <v>1</v>
      </c>
      <c r="I5" s="300" t="s">
        <v>888</v>
      </c>
      <c r="J5" s="1066">
        <f ca="1">J6+J10+J12</f>
        <v>0</v>
      </c>
      <c r="K5" s="1360" t="s">
        <v>889</v>
      </c>
      <c r="L5" s="1067"/>
      <c r="M5" s="1068"/>
    </row>
    <row r="6" spans="1:37" ht="18" customHeight="1">
      <c r="A6" s="1065" t="s">
        <v>398</v>
      </c>
      <c r="B6" s="3681" t="s">
        <v>694</v>
      </c>
      <c r="C6" s="1070">
        <f ca="1">ROUND(F6*F8*F7*(1-F9),0)</f>
        <v>1103200</v>
      </c>
      <c r="D6" s="155" t="s">
        <v>2106</v>
      </c>
      <c r="E6" s="302" t="s">
        <v>696</v>
      </c>
      <c r="F6" s="303">
        <f ca="1">INDIRECT("'数据-取费表'!u"&amp;$G$1)</f>
        <v>1.3</v>
      </c>
      <c r="G6" s="1380"/>
      <c r="H6" s="1065" t="s">
        <v>398</v>
      </c>
      <c r="I6" s="3681" t="s">
        <v>694</v>
      </c>
      <c r="J6" s="301">
        <f ca="1">ROUND(M6*M8*M7*(1-M9),0)</f>
        <v>0</v>
      </c>
      <c r="K6" s="1372" t="s">
        <v>2107</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2447.34</v>
      </c>
      <c r="G7" s="1380"/>
      <c r="H7" s="304"/>
      <c r="I7" s="3682"/>
      <c r="J7" s="306"/>
      <c r="K7" s="307"/>
      <c r="L7" s="302" t="s">
        <v>697</v>
      </c>
      <c r="M7" s="303">
        <f ca="1">F7</f>
        <v>2447.34</v>
      </c>
    </row>
    <row r="8" spans="1:37" ht="18" customHeight="1">
      <c r="A8" s="304"/>
      <c r="B8" s="3682"/>
      <c r="C8" s="306"/>
      <c r="D8" s="307"/>
      <c r="E8" s="302" t="s">
        <v>698</v>
      </c>
      <c r="F8" s="303">
        <f ca="1">INDIRECT("'数据-取费表'!ai"&amp;$G$1)</f>
        <v>365</v>
      </c>
      <c r="G8" s="1380"/>
      <c r="H8" s="304"/>
      <c r="I8" s="3682"/>
      <c r="J8" s="306"/>
      <c r="K8" s="307"/>
      <c r="L8" s="302" t="s">
        <v>698</v>
      </c>
      <c r="M8" s="303">
        <f ca="1">INDIRECT("'数据-取费表'!ai"&amp;$G$1)</f>
        <v>365</v>
      </c>
    </row>
    <row r="9" spans="1:37" ht="18" customHeight="1">
      <c r="A9" s="304"/>
      <c r="B9" s="3683"/>
      <c r="C9" s="306"/>
      <c r="D9" s="307"/>
      <c r="E9" s="302" t="s">
        <v>699</v>
      </c>
      <c r="F9" s="312">
        <f ca="1">INDIRECT("'数据-取费表'!w"&amp;$G$1)</f>
        <v>0.05</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1379</v>
      </c>
      <c r="D10" s="1362" t="s">
        <v>2116</v>
      </c>
      <c r="E10" s="313" t="s">
        <v>701</v>
      </c>
      <c r="F10" s="1112" t="s">
        <v>3425</v>
      </c>
      <c r="G10" s="1380"/>
      <c r="H10" s="1065" t="s">
        <v>402</v>
      </c>
      <c r="I10" s="1361" t="s">
        <v>700</v>
      </c>
      <c r="J10" s="301">
        <f ca="1">ROUND(IF(M10="押一",J6/12*M11,IF(M10="押二",J6/12*2*M11,IF(M10="押三",J6/12*3*M11,J11*M11))),0)</f>
        <v>0</v>
      </c>
      <c r="K10" s="1373" t="s">
        <v>2118</v>
      </c>
      <c r="L10" s="313" t="s">
        <v>701</v>
      </c>
      <c r="M10" s="1112" t="s">
        <v>3425</v>
      </c>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6514862</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6659212</v>
      </c>
      <c r="D14" s="1341" t="s">
        <v>708</v>
      </c>
      <c r="E14" s="1338"/>
      <c r="F14" s="319"/>
      <c r="G14" s="1380"/>
      <c r="H14" s="978" t="s">
        <v>398</v>
      </c>
      <c r="I14" s="302" t="s">
        <v>709</v>
      </c>
      <c r="J14" s="21">
        <f ca="1">C29</f>
        <v>9306946</v>
      </c>
      <c r="K14" s="12"/>
      <c r="L14" s="803"/>
      <c r="M14" s="804"/>
    </row>
    <row r="15" spans="1:37" s="1393" customFormat="1" ht="18" customHeight="1" thickBot="1">
      <c r="A15" s="978" t="s">
        <v>399</v>
      </c>
      <c r="B15" s="302" t="s">
        <v>710</v>
      </c>
      <c r="C15" s="21">
        <f ca="1">ROUND(C14*F15,0)</f>
        <v>332961</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45312</v>
      </c>
      <c r="K16" s="1083" t="s">
        <v>715</v>
      </c>
      <c r="L16" s="1084"/>
      <c r="M16" s="1068"/>
    </row>
    <row r="17" spans="1:37" s="1393" customFormat="1" ht="18" customHeight="1">
      <c r="A17" s="978" t="s">
        <v>681</v>
      </c>
      <c r="B17" s="302" t="s">
        <v>716</v>
      </c>
      <c r="C17" s="21">
        <f ca="1">ROUND(F17*(F43+INDIRECT("'数据-取费表'!S"&amp;$G$1)),0)</f>
        <v>489468</v>
      </c>
      <c r="D17" s="302" t="s">
        <v>717</v>
      </c>
      <c r="E17" s="302" t="s">
        <v>718</v>
      </c>
      <c r="F17" s="23">
        <f>'数据-取费表'!B35</f>
        <v>200</v>
      </c>
      <c r="G17" s="1392"/>
      <c r="H17" s="978" t="s">
        <v>398</v>
      </c>
      <c r="I17" s="302" t="s">
        <v>719</v>
      </c>
      <c r="J17" s="2312">
        <f ca="1">ROUND(IF(AND(项目基本情况!B11="自然人",项目基本情况!B10="北京市"),J6*M17/(1+'数据-取费表'!C42),J18+J19+J20),0)</f>
        <v>8084</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133184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7614825</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190371</v>
      </c>
      <c r="D20" s="323" t="s">
        <v>729</v>
      </c>
      <c r="E20" s="302" t="s">
        <v>712</v>
      </c>
      <c r="F20" s="322">
        <f>'数据-取费表'!B37</f>
        <v>2.5000000000000001E-2</v>
      </c>
      <c r="G20" s="1392"/>
      <c r="H20" s="978" t="s">
        <v>680</v>
      </c>
      <c r="I20" s="155" t="s">
        <v>730</v>
      </c>
      <c r="J20" s="22">
        <f ca="1">ROUND(M20*M21,0)</f>
        <v>8084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ROUND(J14*M22,0)</f>
        <v>37228</v>
      </c>
      <c r="K22" s="1340" t="s">
        <v>739</v>
      </c>
      <c r="L22" s="302" t="s">
        <v>712</v>
      </c>
      <c r="M22" s="328">
        <f ca="1">INDIRECT("'数据-取费表'!Ak"&amp;$G$1)</f>
        <v>4.0000000000000001E-3</v>
      </c>
    </row>
    <row r="23" spans="1:37" s="1393" customFormat="1" ht="18" customHeight="1">
      <c r="A23" s="978" t="s">
        <v>397</v>
      </c>
      <c r="B23" s="302" t="s">
        <v>740</v>
      </c>
      <c r="C23" s="21">
        <f ca="1">IF('数据-取费表'!B22&lt;=1,ROUND(C19*F24*F23/2,0)+ROUND(C20*F24*F23/2,0),ROUND(C19*(POWER((1+F24),F23/2)-1),0)+ROUND(C20*(POWER((1+F24),F23/2)-1),0))</f>
        <v>134640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-45312</v>
      </c>
      <c r="K25" s="1091" t="s">
        <v>753</v>
      </c>
      <c r="L25" s="1092"/>
      <c r="M25" s="1093"/>
    </row>
    <row r="26" spans="1:37" ht="18" customHeight="1">
      <c r="A26" s="978" t="s">
        <v>397</v>
      </c>
      <c r="B26" s="302" t="s">
        <v>754</v>
      </c>
      <c r="C26" s="21">
        <f ca="1">ROUND((C19+C20)*F26,0)</f>
        <v>624416</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9306946</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241217</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191951</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IF(项目基本情况!B11="自然人","——",ROUND(C6*F32/(1+'数据-取费表'!C42),0))</f>
        <v>57787</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126080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8084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ROUND(C29*F36,0)</f>
        <v>37228</v>
      </c>
      <c r="D36" s="1340" t="s">
        <v>771</v>
      </c>
      <c r="E36" s="302" t="s">
        <v>712</v>
      </c>
      <c r="F36" s="328">
        <f ca="1">INDIRECT("'数据-取费表'!Ak"&amp;$G$1)</f>
        <v>4.0000000000000001E-3</v>
      </c>
      <c r="G36" s="1380"/>
      <c r="H36" s="2696"/>
      <c r="I36" s="1394"/>
      <c r="J36" s="1395"/>
      <c r="K36" s="2540"/>
      <c r="L36" s="2696"/>
      <c r="M36" s="2696"/>
    </row>
    <row r="37" spans="1:18" ht="18" customHeight="1">
      <c r="A37" s="978" t="s">
        <v>437</v>
      </c>
      <c r="B37" s="302" t="s">
        <v>742</v>
      </c>
      <c r="C37" s="21">
        <f ca="1">ROUND(C13*F37,0)</f>
        <v>6515</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ROUND(C5*F38,0)</f>
        <v>5523</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10">
        <f ca="1">C5-C30</f>
        <v>863362</v>
      </c>
      <c r="D39" s="1091" t="s">
        <v>773</v>
      </c>
      <c r="E39" s="1092"/>
      <c r="F39" s="1093"/>
      <c r="G39" s="1380"/>
      <c r="H39" s="2696">
        <f ca="1">C39/C6</f>
        <v>0.78259789702683102</v>
      </c>
      <c r="I39" s="1394"/>
      <c r="J39" s="1395"/>
      <c r="K39" s="2700"/>
      <c r="L39" s="2696"/>
      <c r="M39" s="2696"/>
    </row>
    <row r="40" spans="1:18" ht="18" customHeight="1">
      <c r="A40" s="299" t="s">
        <v>395</v>
      </c>
      <c r="B40" s="300" t="s">
        <v>774</v>
      </c>
      <c r="C40" s="301">
        <f ca="1">ROUND(C39*(1-((1+F42)/(1+F40))^F41)/(F40-F42),0)</f>
        <v>14477333</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24.24</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ROUND(C40/F43,0)</f>
        <v>5916</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3356</v>
      </c>
      <c r="B45" s="1396"/>
      <c r="C45" s="1468">
        <f ca="1">ROUND((C68-C40)/10000,4)</f>
        <v>-723.01049999999998</v>
      </c>
      <c r="D45" s="3428" t="s">
        <v>3357</v>
      </c>
      <c r="E45" s="1396"/>
      <c r="F45" s="1396"/>
      <c r="O45" s="1399" t="s">
        <v>808</v>
      </c>
      <c r="P45" s="1457"/>
      <c r="Q45" s="1457"/>
      <c r="R45" s="1457"/>
    </row>
    <row r="46" spans="1:18" s="1380" customFormat="1" ht="13.5" thickBot="1">
      <c r="A46" s="1400" t="s">
        <v>809</v>
      </c>
      <c r="C46" s="1401">
        <f ca="1">ROUND(C45,0)</f>
        <v>-723</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14477333</v>
      </c>
      <c r="R47" s="1416" t="s">
        <v>818</v>
      </c>
    </row>
    <row r="48" spans="1:18" s="1380" customFormat="1" ht="28.5" thickBot="1">
      <c r="A48" s="1106" t="s">
        <v>438</v>
      </c>
      <c r="B48" s="300" t="s">
        <v>692</v>
      </c>
      <c r="C48" s="1355">
        <f ca="1">C49+C53+C55</f>
        <v>724460</v>
      </c>
      <c r="D48" s="1108"/>
      <c r="E48" s="1109"/>
      <c r="F48" s="958"/>
      <c r="G48" s="722"/>
      <c r="H48" s="723"/>
      <c r="I48" s="1417" t="s">
        <v>819</v>
      </c>
      <c r="J48" s="1418" t="s">
        <v>3424</v>
      </c>
      <c r="K48" s="1419" t="s">
        <v>820</v>
      </c>
      <c r="L48" s="1420">
        <f ca="1">INDIRECT("'数据-取费表'!f"&amp;$G$1)</f>
        <v>24.24</v>
      </c>
      <c r="O48" s="1414" t="s">
        <v>404</v>
      </c>
      <c r="P48" s="1415" t="s">
        <v>821</v>
      </c>
      <c r="Q48" s="1416" t="str">
        <f ca="1">J60</f>
        <v>0</v>
      </c>
      <c r="R48" s="1416" t="s">
        <v>822</v>
      </c>
    </row>
    <row r="49" spans="1:18" s="1380" customFormat="1" ht="13.5" thickBot="1">
      <c r="A49" s="971" t="s">
        <v>439</v>
      </c>
      <c r="B49" s="1367" t="s">
        <v>779</v>
      </c>
      <c r="C49" s="1110">
        <f ca="1">ROUND(F49*F51*F50*(1-F52),0)</f>
        <v>723556</v>
      </c>
      <c r="D49" s="1051" t="s">
        <v>695</v>
      </c>
      <c r="E49" s="1368" t="s">
        <v>780</v>
      </c>
      <c r="F49" s="1056">
        <f>'比较法-工业'!C43</f>
        <v>0.9</v>
      </c>
      <c r="G49" s="1421"/>
      <c r="H49" s="723"/>
      <c r="I49" s="1417" t="s">
        <v>823</v>
      </c>
      <c r="J49" s="1422">
        <f>'数据-取费表'!L18</f>
        <v>1999</v>
      </c>
      <c r="K49" s="1419" t="s">
        <v>824</v>
      </c>
      <c r="L49" s="1423"/>
      <c r="O49" s="1424" t="s">
        <v>405</v>
      </c>
      <c r="P49" s="1415" t="s">
        <v>825</v>
      </c>
      <c r="Q49" s="1416">
        <f ca="1">C29</f>
        <v>9306946</v>
      </c>
      <c r="R49" s="1416" t="s">
        <v>818</v>
      </c>
    </row>
    <row r="50" spans="1:18" s="1380" customFormat="1" ht="13.5" thickBot="1">
      <c r="A50" s="972"/>
      <c r="B50" s="975"/>
      <c r="C50" s="976"/>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5"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5740769</v>
      </c>
      <c r="M51" s="1432"/>
      <c r="O51" s="1424" t="s">
        <v>407</v>
      </c>
      <c r="P51" s="1415" t="s">
        <v>831</v>
      </c>
      <c r="Q51" s="1427">
        <f>J52</f>
        <v>7.4999999999999997E-2</v>
      </c>
      <c r="R51" s="1416"/>
    </row>
    <row r="52" spans="1:18" s="1380" customFormat="1" ht="13.5" thickBot="1">
      <c r="A52" s="973"/>
      <c r="B52" s="975"/>
      <c r="C52" s="976"/>
      <c r="D52" s="949"/>
      <c r="E52" s="977" t="s">
        <v>699</v>
      </c>
      <c r="F52" s="1050">
        <v>0.1</v>
      </c>
      <c r="I52" s="1433" t="s">
        <v>832</v>
      </c>
      <c r="J52" s="1434">
        <v>7.4999999999999997E-2</v>
      </c>
      <c r="K52" s="1433" t="s">
        <v>833</v>
      </c>
      <c r="L52" s="1434">
        <v>5.5E-2</v>
      </c>
      <c r="O52" s="1424" t="s">
        <v>408</v>
      </c>
      <c r="P52" s="1415" t="s">
        <v>834</v>
      </c>
      <c r="Q52" s="1416">
        <f ca="1">J53</f>
        <v>24.24</v>
      </c>
      <c r="R52" s="1416" t="s">
        <v>835</v>
      </c>
    </row>
    <row r="53" spans="1:18" s="1380" customFormat="1" ht="30.75" customHeight="1" thickBot="1">
      <c r="A53" s="1107" t="s">
        <v>440</v>
      </c>
      <c r="B53" s="323" t="s">
        <v>700</v>
      </c>
      <c r="C53" s="316">
        <f ca="1">ROUND(IF(F53="押一",C49/12*F11,IF(F53="押二",C49/12*2*F11,IF(F53="押三",C49/12*3*F11,C54*F11))),0)</f>
        <v>904</v>
      </c>
      <c r="D53" s="1362" t="s">
        <v>2119</v>
      </c>
      <c r="E53" s="313" t="s">
        <v>701</v>
      </c>
      <c r="F53" s="1112" t="s">
        <v>3425</v>
      </c>
      <c r="I53" s="1435" t="s">
        <v>836</v>
      </c>
      <c r="J53" s="2164">
        <f ca="1">IF(M47="住宅",IF(D1="——",MAX(J51,L48),MAX(J51,L48-'数据-取费表'!B24)),IF(D1="——",MIN(J51,L48),MIN(J51,L48-'数据-取费表'!B24)))</f>
        <v>24.24</v>
      </c>
      <c r="K53" s="3679" t="s">
        <v>837</v>
      </c>
      <c r="L53" s="3680"/>
      <c r="O53" s="1414" t="s">
        <v>409</v>
      </c>
      <c r="P53" s="1415" t="s">
        <v>838</v>
      </c>
      <c r="Q53" s="1416">
        <f ca="1">Q47+Q48</f>
        <v>14477333</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6514862</v>
      </c>
      <c r="D56" s="1443"/>
      <c r="E56" s="1444"/>
      <c r="F56" s="1436"/>
      <c r="I56" s="1445" t="s">
        <v>842</v>
      </c>
      <c r="J56" s="1446" t="s">
        <v>3394</v>
      </c>
      <c r="K56" s="1417" t="s">
        <v>843</v>
      </c>
      <c r="L56" s="1420" t="str">
        <f ca="1">IF(L48&lt;J51,"——",L48-J51)</f>
        <v>——</v>
      </c>
      <c r="O56" s="1414" t="s">
        <v>403</v>
      </c>
      <c r="P56" s="1415" t="s">
        <v>817</v>
      </c>
      <c r="Q56" s="1416">
        <f ca="1">C40+J29</f>
        <v>14477333</v>
      </c>
      <c r="R56" s="1416" t="s">
        <v>818</v>
      </c>
    </row>
    <row r="57" spans="1:18" s="1380" customFormat="1" ht="24.75" thickBot="1">
      <c r="A57" s="1447"/>
      <c r="B57" s="946" t="s">
        <v>767</v>
      </c>
      <c r="C57" s="238">
        <f ca="1">C29</f>
        <v>9306946</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176089</v>
      </c>
      <c r="D58" s="956" t="s">
        <v>715</v>
      </c>
      <c r="E58" s="957"/>
      <c r="F58" s="958"/>
      <c r="I58" s="1451" t="s">
        <v>848</v>
      </c>
      <c r="J58" s="1453" t="e">
        <f ca="1">IF(J55&lt;0.4,0.4,J55)</f>
        <v>#VALUE!</v>
      </c>
      <c r="K58" s="1430" t="s">
        <v>895</v>
      </c>
      <c r="L58" s="1420">
        <f ca="1">ROUND(POWER(1+L52,L47-L48)*(POWER(1+L52,L48)-1)/(POWER(1+L52,L47)-1),4)</f>
        <v>0.78059999999999996</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128724</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7">
        <f ca="1">ROUND(POWER(1+L52,L47-(J51+'数据-取费表'!B24))*(POWER(1+L52,(J51+'数据-取费表'!B24))-1)/(POWER(1+L52,L47)-1),4)</f>
        <v>0.79220000000000002</v>
      </c>
      <c r="N59" s="1377">
        <f ca="1">ROUND(POWER(1+L52,L47-(J51+'数据-取费表'!B20))*(POWER(1+L52,(J51+'数据-取费表'!B20))-1)/(POWER(1+L52,L47)-1),4)</f>
        <v>0.80689999999999995</v>
      </c>
      <c r="O59" s="1424" t="s">
        <v>406</v>
      </c>
      <c r="P59" s="1415" t="s">
        <v>852</v>
      </c>
      <c r="Q59" s="1427">
        <f>L52</f>
        <v>5.5E-2</v>
      </c>
      <c r="R59" s="1416"/>
    </row>
    <row r="60" spans="1:18" s="1380" customFormat="1" ht="16.5" thickBot="1">
      <c r="A60" s="978" t="s">
        <v>397</v>
      </c>
      <c r="B60" s="946" t="s">
        <v>723</v>
      </c>
      <c r="C60" s="21">
        <f ca="1">IF(项目基本情况!B11="自然人","——",ROUND(C48*F60/(1+'数据-取费表'!C42),0))</f>
        <v>37948</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0.78059999999999996</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82692</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5" thickBot="1">
      <c r="A62" s="978" t="s">
        <v>784</v>
      </c>
      <c r="B62" s="945" t="s">
        <v>785</v>
      </c>
      <c r="C62" s="22">
        <f ca="1">IF(项目基本情况!B11="自然人","——",ROUND(F62*F63,0))</f>
        <v>8084</v>
      </c>
      <c r="D62" s="961" t="s">
        <v>786</v>
      </c>
      <c r="E62" s="946" t="s">
        <v>787</v>
      </c>
      <c r="F62" s="325">
        <f t="shared" si="0"/>
        <v>1.5</v>
      </c>
      <c r="I62" s="1458" t="s">
        <v>858</v>
      </c>
      <c r="J62" s="1459" t="s">
        <v>859</v>
      </c>
      <c r="K62" s="1459" t="s">
        <v>860</v>
      </c>
      <c r="L62" s="1459" t="s">
        <v>861</v>
      </c>
      <c r="M62" s="1460" t="s">
        <v>862</v>
      </c>
      <c r="O62" s="1414" t="s">
        <v>409</v>
      </c>
      <c r="P62" s="1415" t="s">
        <v>863</v>
      </c>
      <c r="Q62" s="1416">
        <f ca="1">Q56+Q57</f>
        <v>14477333</v>
      </c>
      <c r="R62" s="1416" t="s">
        <v>410</v>
      </c>
    </row>
    <row r="63" spans="1:18" s="1380" customFormat="1" ht="13.5"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37228</v>
      </c>
      <c r="D64" s="960" t="s">
        <v>791</v>
      </c>
      <c r="E64" s="946" t="s">
        <v>783</v>
      </c>
      <c r="F64" s="328">
        <f t="shared" ca="1" si="0"/>
        <v>4.0000000000000001E-3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6515</v>
      </c>
      <c r="D65" s="960" t="s">
        <v>743</v>
      </c>
      <c r="E65" s="946" t="s">
        <v>744</v>
      </c>
      <c r="F65" s="330">
        <f t="shared" ca="1" si="0"/>
        <v>1E-3</v>
      </c>
      <c r="I65" s="1458" t="s">
        <v>867</v>
      </c>
      <c r="J65" s="1459">
        <v>40</v>
      </c>
      <c r="K65" s="1459">
        <v>30</v>
      </c>
      <c r="L65" s="1459">
        <v>50</v>
      </c>
      <c r="M65" s="1461">
        <v>0.02</v>
      </c>
      <c r="O65" s="1414" t="s">
        <v>403</v>
      </c>
      <c r="P65" s="1415" t="s">
        <v>868</v>
      </c>
      <c r="Q65" s="1416">
        <f ca="1">C40+J29</f>
        <v>14477333</v>
      </c>
      <c r="R65" s="1416" t="s">
        <v>818</v>
      </c>
    </row>
    <row r="66" spans="1:18" s="1380" customFormat="1" ht="16.5" thickBot="1">
      <c r="A66" s="978" t="s">
        <v>793</v>
      </c>
      <c r="B66" s="946" t="s">
        <v>728</v>
      </c>
      <c r="C66" s="21">
        <f ca="1">ROUND(C48*F66,0)</f>
        <v>3622</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548371</v>
      </c>
      <c r="D67" s="959" t="s">
        <v>753</v>
      </c>
      <c r="E67" s="964"/>
      <c r="F67" s="965"/>
      <c r="O67" s="1424" t="s">
        <v>405</v>
      </c>
      <c r="P67" s="1415" t="s">
        <v>850</v>
      </c>
      <c r="Q67" s="1462">
        <f ca="1">L51</f>
        <v>5740769</v>
      </c>
      <c r="R67" s="1416" t="s">
        <v>870</v>
      </c>
    </row>
    <row r="68" spans="1:18" s="1380" customFormat="1" ht="16.5" thickBot="1">
      <c r="A68" s="943" t="s">
        <v>395</v>
      </c>
      <c r="B68" s="944" t="s">
        <v>774</v>
      </c>
      <c r="C68" s="301">
        <f ca="1">ROUND(C67*(1-((1+F70)/(1+F68))^F69)/(F68-F70),0)</f>
        <v>7247228</v>
      </c>
      <c r="D68" s="961" t="s">
        <v>758</v>
      </c>
      <c r="E68" s="946" t="s">
        <v>759</v>
      </c>
      <c r="F68" s="312">
        <f ca="1">F40</f>
        <v>5.5E-2</v>
      </c>
      <c r="O68" s="1424" t="s">
        <v>406</v>
      </c>
      <c r="P68" s="1463" t="s">
        <v>871</v>
      </c>
      <c r="Q68" s="1416">
        <f ca="1">ROUND(Q69-Q70*Q71,0)</f>
        <v>407322</v>
      </c>
      <c r="R68" s="1416" t="s">
        <v>414</v>
      </c>
    </row>
    <row r="69" spans="1:18" s="1380" customFormat="1" ht="13.5" thickBot="1">
      <c r="A69" s="947"/>
      <c r="B69" s="948"/>
      <c r="C69" s="306"/>
      <c r="D69" s="966" t="s">
        <v>762</v>
      </c>
      <c r="E69" s="946" t="s">
        <v>763</v>
      </c>
      <c r="F69" s="333">
        <f ca="1">F41</f>
        <v>24.24</v>
      </c>
      <c r="O69" s="1424" t="s">
        <v>411</v>
      </c>
      <c r="P69" s="1463" t="s">
        <v>872</v>
      </c>
      <c r="Q69" s="1416">
        <f ca="1">C39</f>
        <v>863362</v>
      </c>
      <c r="R69" s="1416" t="s">
        <v>818</v>
      </c>
    </row>
    <row r="70" spans="1:18" s="1380" customFormat="1" ht="13.5" thickBot="1">
      <c r="A70" s="950"/>
      <c r="B70" s="951"/>
      <c r="C70" s="310"/>
      <c r="D70" s="962"/>
      <c r="E70" s="946" t="s">
        <v>766</v>
      </c>
      <c r="F70" s="1050"/>
      <c r="O70" s="1424" t="s">
        <v>412</v>
      </c>
      <c r="P70" s="1463" t="s">
        <v>873</v>
      </c>
      <c r="Q70" s="1416">
        <f ca="1">C13</f>
        <v>6514862</v>
      </c>
      <c r="R70" s="1416" t="s">
        <v>818</v>
      </c>
    </row>
    <row r="71" spans="1:18" s="1380" customFormat="1" ht="13.5" thickBot="1">
      <c r="A71" s="967" t="s">
        <v>396</v>
      </c>
      <c r="B71" s="968" t="s">
        <v>776</v>
      </c>
      <c r="C71" s="336">
        <f ca="1">ROUND(C68/F71,0)</f>
        <v>2961</v>
      </c>
      <c r="D71" s="969" t="s">
        <v>777</v>
      </c>
      <c r="E71" s="970" t="s">
        <v>778</v>
      </c>
      <c r="F71" s="339">
        <f ca="1">F43</f>
        <v>2447.34</v>
      </c>
      <c r="O71" s="1424" t="s">
        <v>413</v>
      </c>
      <c r="P71" s="1463" t="s">
        <v>874</v>
      </c>
      <c r="Q71" s="1427">
        <f ca="1">C76</f>
        <v>7.0000000000000007E-2</v>
      </c>
      <c r="R71" s="1416"/>
    </row>
    <row r="72" spans="1:18" s="1380" customFormat="1" ht="13.5" thickBot="1">
      <c r="B72" s="726"/>
      <c r="C72" s="726"/>
      <c r="O72" s="1424" t="s">
        <v>407</v>
      </c>
      <c r="P72" s="1415" t="s">
        <v>852</v>
      </c>
      <c r="Q72" s="1427">
        <f>L52</f>
        <v>5.5E-2</v>
      </c>
      <c r="R72" s="1416"/>
    </row>
    <row r="73" spans="1:18" ht="16.5" thickBot="1">
      <c r="A73" s="1380"/>
      <c r="B73" s="726"/>
      <c r="C73" s="726"/>
      <c r="D73" s="1380"/>
      <c r="E73" s="1380"/>
      <c r="F73" s="1380"/>
      <c r="O73" s="1424" t="s">
        <v>408</v>
      </c>
      <c r="P73" s="1415" t="s">
        <v>855</v>
      </c>
      <c r="Q73" s="1416">
        <f ca="1">L58</f>
        <v>0.78059999999999996</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5" thickBot="1">
      <c r="A75" s="1380"/>
      <c r="B75" s="340" t="s">
        <v>795</v>
      </c>
      <c r="C75" s="341">
        <f ca="1">ROUND(C13*C76,0)</f>
        <v>456040</v>
      </c>
      <c r="D75" s="1380"/>
      <c r="E75" s="1380"/>
      <c r="F75" s="1380"/>
      <c r="K75" s="1398"/>
      <c r="L75" s="1380"/>
      <c r="O75" s="1414" t="s">
        <v>409</v>
      </c>
      <c r="P75" s="1415" t="s">
        <v>838</v>
      </c>
      <c r="Q75" s="1416">
        <f ca="1">Q65+Q66</f>
        <v>14477333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0.55000000000000004</v>
      </c>
    </row>
    <row r="83" spans="2:3">
      <c r="B83" s="273" t="s">
        <v>803</v>
      </c>
      <c r="C83" s="274">
        <f ca="1">ROUND(C13/C40,3)</f>
        <v>0.45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6" zoomScale="70" zoomScaleNormal="80" zoomScaleSheetLayoutView="70" workbookViewId="0">
      <selection activeCell="F89" sqref="F89"/>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1926</v>
      </c>
      <c r="B1" s="197"/>
      <c r="C1" s="201" t="s">
        <v>1927</v>
      </c>
      <c r="D1" s="342">
        <f>SUM(D33:D34,D37:D42)</f>
        <v>5389.47</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594</v>
      </c>
      <c r="C2" s="1995" t="s">
        <v>1935</v>
      </c>
      <c r="D2" s="1996" t="s">
        <v>1936</v>
      </c>
      <c r="E2" s="3418" t="s">
        <v>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Ⅷ-怀1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1698</v>
      </c>
      <c r="U2" s="1209"/>
      <c r="V2" s="3357">
        <f>ROUND(T2*U2/10000,0)</f>
        <v>0</v>
      </c>
      <c r="W2" s="1212"/>
      <c r="X2" s="1212"/>
      <c r="Y2" s="1212"/>
      <c r="Z2" s="1212"/>
      <c r="AA2" s="1212"/>
      <c r="AB2" s="1212"/>
      <c r="AC2" s="1213"/>
      <c r="AD2" s="1214"/>
      <c r="AE2" s="1214"/>
      <c r="AF2" s="1214"/>
      <c r="AG2" s="1214"/>
      <c r="AH2" s="1214"/>
      <c r="AI2" s="1214"/>
      <c r="AJ2" s="1215"/>
    </row>
    <row r="3" spans="1:36" ht="15.75">
      <c r="A3" s="203" t="s">
        <v>1940</v>
      </c>
      <c r="B3" s="204">
        <f>ROUND(B2*10000/D1,0)</f>
        <v>1102</v>
      </c>
      <c r="C3" s="1995" t="s">
        <v>1941</v>
      </c>
      <c r="D3" s="1996" t="s">
        <v>1942</v>
      </c>
      <c r="E3" s="3416" t="s">
        <v>2483</v>
      </c>
      <c r="F3" s="2000" t="s">
        <v>3407</v>
      </c>
      <c r="G3" s="748">
        <f>IF(F3="宗地容积率",'数据-汇总表'!I4,IF(F3="估价对象容积率",'数据-汇总表'!I6,'数据-汇总表'!I7))</f>
        <v>1</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1309</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691"/>
      <c r="B4" s="3692"/>
      <c r="C4" s="3692"/>
      <c r="D4" s="3693"/>
      <c r="E4" s="3693"/>
      <c r="F4" s="3693"/>
      <c r="G4" s="3693"/>
      <c r="H4" s="3693"/>
      <c r="I4" s="3693"/>
      <c r="J4" s="3694"/>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1068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1350</v>
      </c>
      <c r="D5" s="1335">
        <f>ROUND(C6*C17+C20,0)</f>
        <v>1350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907</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1350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826</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3241</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八级</v>
      </c>
      <c r="Y7" s="1210" t="s">
        <v>1956</v>
      </c>
      <c r="Z7" s="1211">
        <f>G3</f>
        <v>1</v>
      </c>
      <c r="AA7" s="1212"/>
      <c r="AB7" s="1212"/>
      <c r="AC7" s="1213"/>
      <c r="AD7" s="1214"/>
      <c r="AE7" s="1214"/>
      <c r="AF7" s="1214"/>
      <c r="AG7" s="1214"/>
      <c r="AH7" s="1214"/>
      <c r="AI7" s="1214"/>
      <c r="AJ7" s="1215"/>
    </row>
    <row r="8" spans="1:36" ht="15">
      <c r="A8" s="3295"/>
      <c r="B8" s="170" t="s">
        <v>1957</v>
      </c>
      <c r="C8" s="2022"/>
      <c r="D8" s="752" t="s">
        <v>112</v>
      </c>
      <c r="E8" s="753" t="e">
        <f>ROUND(C11/E7,4)</f>
        <v>#DIV/0!</v>
      </c>
      <c r="F8" s="2023" t="s">
        <v>1958</v>
      </c>
      <c r="G8" s="2024"/>
      <c r="H8" s="2024"/>
      <c r="I8" s="2024"/>
      <c r="J8" s="2025"/>
      <c r="K8" s="1115"/>
      <c r="L8" s="1999" t="s">
        <v>1959</v>
      </c>
      <c r="M8" s="860">
        <f>SUMPRODUCT((区片价!B234:B276=I2)*(区片价!C3:G3=E2)*(区片价!C234:G276))</f>
        <v>1350</v>
      </c>
      <c r="N8" s="862">
        <f>SUMPRODUCT((因素修正幅度!B234:B276=I2)*(因素修正幅度!C3:G3=E2)*(因素修正幅度!C234:G276))</f>
        <v>0.14699999999999999</v>
      </c>
      <c r="O8" s="1115"/>
      <c r="P8" s="1115"/>
      <c r="Q8" s="1115"/>
      <c r="R8" s="1208">
        <v>7</v>
      </c>
      <c r="S8" s="1209"/>
      <c r="T8" s="3357">
        <f t="shared" si="0"/>
        <v>0</v>
      </c>
      <c r="U8" s="1209"/>
      <c r="V8" s="3357">
        <f t="shared" si="1"/>
        <v>0</v>
      </c>
      <c r="W8" s="3688" t="s">
        <v>1960</v>
      </c>
      <c r="X8" s="368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90"/>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9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3242</v>
      </c>
      <c r="B12" s="3301" t="s">
        <v>3243</v>
      </c>
      <c r="C12" s="3302">
        <v>1</v>
      </c>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695" t="s">
        <v>3258</v>
      </c>
      <c r="B20" s="167" t="s">
        <v>1994</v>
      </c>
      <c r="C20" s="3321">
        <f>ROUND(IF(F21="与级别开发程度一致",0,(G21-E21)/C21),0)</f>
        <v>0</v>
      </c>
      <c r="D20" s="3337" t="s">
        <v>1998</v>
      </c>
      <c r="E20" s="3338"/>
      <c r="F20" s="3701" t="s">
        <v>1995</v>
      </c>
      <c r="G20" s="3702"/>
      <c r="H20" s="3322" t="s">
        <v>3409</v>
      </c>
      <c r="I20" s="3322" t="s">
        <v>3410</v>
      </c>
      <c r="J20" s="3323" t="s">
        <v>3411</v>
      </c>
      <c r="K20" s="2043" t="s">
        <v>3412</v>
      </c>
      <c r="L20" s="2043" t="s">
        <v>3413</v>
      </c>
      <c r="M20" s="2043" t="s">
        <v>3414</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696"/>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3408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2002</v>
      </c>
      <c r="E23" s="757">
        <v>44197</v>
      </c>
      <c r="F23" s="2050" t="s">
        <v>2003</v>
      </c>
      <c r="G23" s="758">
        <f>'数据-取费表'!B2</f>
        <v>45417</v>
      </c>
      <c r="H23" s="3339" t="s">
        <v>3260</v>
      </c>
      <c r="I23" s="3340" t="str">
        <f>IF(H23="季度增幅（自定义）",SUMIF(N25:N28,E2,O25:O28),"")</f>
        <v/>
      </c>
      <c r="J23" s="3442" t="s">
        <v>3259</v>
      </c>
      <c r="K23" s="1121"/>
      <c r="L23" s="2051" t="s">
        <v>2004</v>
      </c>
      <c r="M23" s="1324">
        <f>ROUND(SUMIF(地价!B2:G2,E2,地价!B16:G16),0)</f>
        <v>318</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0.75980000000000003</v>
      </c>
      <c r="D24" s="2056" t="s">
        <v>2007</v>
      </c>
      <c r="E24" s="1331">
        <f>存贷款利率!E24/100</f>
        <v>4.3499999999999997E-2</v>
      </c>
      <c r="F24" s="2056" t="s">
        <v>1999</v>
      </c>
      <c r="G24" s="764">
        <f>SUMIF(M30:Q30,E2,M33:Q33)</f>
        <v>0.05</v>
      </c>
      <c r="H24" s="2056" t="s">
        <v>2008</v>
      </c>
      <c r="I24" s="765">
        <f>SUMIF('数据-取费表'!C6:C15,E2,'数据-取费表'!F6:F15)/COUNTIF('数据-取费表'!C6:C15,E2)</f>
        <v>24.24</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3339</v>
      </c>
      <c r="C25" s="767">
        <f>IF(B25="容积率修正",IF(G3&lt;10,D26,J26),C27)</f>
        <v>1</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1" t="s">
        <v>3261</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0.99990000000000001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594</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1102</v>
      </c>
      <c r="D33" s="2094">
        <f>'数据-汇总表'!D19</f>
        <v>5389.47</v>
      </c>
      <c r="E33" s="769">
        <f>ROUND(C33*D33/10000,0)</f>
        <v>594</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7">
        <f>ROUND(IF(E2="工业",C33*M42,IF(B25="楼层修正",SUM(V2:V16)*M41*10000/D34,C33*M41)),0)</f>
        <v>165</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699"/>
      <c r="B37" s="2109" t="s">
        <v>2036</v>
      </c>
      <c r="C37" s="175">
        <f>ROUND(D5*C22*C23*C24*C28*F37,0)</f>
        <v>551</v>
      </c>
      <c r="D37" s="2094"/>
      <c r="E37" s="171">
        <f>ROUND(C37*D37/10000,0)</f>
        <v>0</v>
      </c>
      <c r="F37" s="171">
        <f>SUMIF(修正!A57:A68,G2,修正!B57:B68)</f>
        <v>0.5</v>
      </c>
      <c r="G37" s="171">
        <f>ROUND(IF(E2="工业",C37*$M$42,C37*$M$41),0)</f>
        <v>83</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00"/>
      <c r="B38" s="2037" t="s">
        <v>2037</v>
      </c>
      <c r="C38" s="175">
        <f>ROUND(D5*C22*C23*C24*C28*F38,0)</f>
        <v>220</v>
      </c>
      <c r="D38" s="2094"/>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00"/>
      <c r="B39" s="2037" t="s">
        <v>3263</v>
      </c>
      <c r="C39" s="175">
        <f>ROUND(D5*C22*C23*C24*C28*F39,0)</f>
        <v>220</v>
      </c>
      <c r="D39" s="2094"/>
      <c r="E39" s="171">
        <f t="shared" si="4"/>
        <v>0</v>
      </c>
      <c r="F39" s="171">
        <f>SUMIF(修正!A57:A68,G2,修正!D57:D68)</f>
        <v>0.2</v>
      </c>
      <c r="G39" s="171">
        <f>ROUND(IF(E2="工业",C39*$M$42,C39*$M$41),0)</f>
        <v>33</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220</v>
      </c>
      <c r="D40" s="2094"/>
      <c r="E40" s="171">
        <f t="shared" si="4"/>
        <v>0</v>
      </c>
      <c r="F40" s="175">
        <f>SUMIF(修正!A57:A68,G2,修正!E57:E68)</f>
        <v>0.2</v>
      </c>
      <c r="G40" s="171">
        <f>ROUND(IF(E2="工业",C40*$M$42,C40*$M$41),0)</f>
        <v>33</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3271</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7">
        <f>ROUND(D5*C22*C23*C44*C28*F42,0)</f>
        <v>0</v>
      </c>
      <c r="D42" s="2099"/>
      <c r="E42" s="187">
        <f t="shared" si="4"/>
        <v>0</v>
      </c>
      <c r="F42" s="763">
        <f>SUMIF(修正!A57:A68,G2,修正!G57:G68)</f>
        <v>0.1</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42">
        <f>ROUND(POWER(1+E44,H44-G44)*(POWER(1+E44,G44)-1)/(POWER(1+E44,H44)-1),4)</f>
        <v>0</v>
      </c>
      <c r="D44" s="171" t="s">
        <v>1999</v>
      </c>
      <c r="E44" s="2149">
        <f>G24</f>
        <v>0.05</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5" t="s">
        <v>3273</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2069</v>
      </c>
      <c r="B81" s="2123">
        <f>1+E83</f>
        <v>0.99990000000000001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8.25">
      <c r="A83" s="2126" t="s">
        <v>2070</v>
      </c>
      <c r="B83" s="2130" t="str">
        <f>估价对象房地状况!G15</f>
        <v>估价对象位于XX开发区，园区建设成熟度XX，产业集聚程度XX</v>
      </c>
      <c r="C83" s="2040" t="s">
        <v>3415</v>
      </c>
      <c r="D83" s="1061">
        <f t="shared" ref="D83:D90" si="22">SUMIF($J$82:$N$82,C83,J83:N83)</f>
        <v>0</v>
      </c>
      <c r="E83" s="740">
        <f>ROUND(SUM(D83:D90),4)</f>
        <v>-1E-4</v>
      </c>
      <c r="F83" s="1810">
        <f>IF(E2="工业",SUMIF(L1:L12,G2,N1:N12),"——")</f>
        <v>0.14699999999999999</v>
      </c>
      <c r="G83" s="3455">
        <f t="shared" ref="G83:H90" si="23">IFERROR(ROUNDDOWN($F$83*H83/2,4),"——")</f>
        <v>1.4E-3</v>
      </c>
      <c r="H83" s="1062">
        <f t="shared" si="23"/>
        <v>1.9099999999999999E-2</v>
      </c>
      <c r="I83" s="3363">
        <v>0.26</v>
      </c>
      <c r="J83" s="1060">
        <f t="shared" ref="J83:J90" si="24">K83+$G83</f>
        <v>2.8E-3</v>
      </c>
      <c r="K83" s="1060">
        <f t="shared" ref="K83:K90" si="25">$L83+$G83</f>
        <v>1.4E-3</v>
      </c>
      <c r="L83" s="1060">
        <v>0</v>
      </c>
      <c r="M83" s="1060">
        <f t="shared" ref="M83:N90" si="26">L83-$G83</f>
        <v>-1.4E-3</v>
      </c>
      <c r="N83" s="1060">
        <f t="shared" si="26"/>
        <v>-2.8E-3</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t="s">
        <v>3415</v>
      </c>
      <c r="D84" s="1061">
        <f t="shared" si="22"/>
        <v>0</v>
      </c>
      <c r="E84" s="743"/>
      <c r="F84" s="1810"/>
      <c r="G84" s="3455">
        <f t="shared" si="23"/>
        <v>1.6000000000000001E-3</v>
      </c>
      <c r="H84" s="1062">
        <f t="shared" si="23"/>
        <v>2.1999999999999999E-2</v>
      </c>
      <c r="I84" s="3363">
        <v>0.3</v>
      </c>
      <c r="J84" s="1060">
        <f t="shared" si="24"/>
        <v>3.2000000000000002E-3</v>
      </c>
      <c r="K84" s="1060">
        <f t="shared" si="25"/>
        <v>1.6000000000000001E-3</v>
      </c>
      <c r="L84" s="1060">
        <v>0</v>
      </c>
      <c r="M84" s="1060">
        <f t="shared" si="26"/>
        <v>-1.6000000000000001E-3</v>
      </c>
      <c r="N84" s="1060">
        <f t="shared" si="26"/>
        <v>-3.2000000000000002E-3</v>
      </c>
      <c r="Z84" s="1994"/>
      <c r="AA84" s="2049"/>
      <c r="AG84" s="1117"/>
      <c r="AK84" s="2049"/>
    </row>
    <row r="85" spans="1:37" ht="36">
      <c r="A85" s="3365" t="s">
        <v>3274</v>
      </c>
      <c r="B85" s="2130">
        <f>估价对象房地状况!G17</f>
        <v>0</v>
      </c>
      <c r="C85" s="2040" t="s">
        <v>3415</v>
      </c>
      <c r="D85" s="1061">
        <f t="shared" si="22"/>
        <v>0</v>
      </c>
      <c r="E85" s="743"/>
      <c r="F85" s="1810"/>
      <c r="G85" s="3455">
        <f t="shared" si="23"/>
        <v>5.0000000000000001E-4</v>
      </c>
      <c r="H85" s="1062">
        <f t="shared" si="23"/>
        <v>7.3000000000000001E-3</v>
      </c>
      <c r="I85" s="3363">
        <v>0.1</v>
      </c>
      <c r="J85" s="1060">
        <f t="shared" si="24"/>
        <v>1E-3</v>
      </c>
      <c r="K85" s="1060">
        <f t="shared" si="25"/>
        <v>5.0000000000000001E-4</v>
      </c>
      <c r="L85" s="1060">
        <v>0</v>
      </c>
      <c r="M85" s="1060">
        <f t="shared" si="26"/>
        <v>-5.0000000000000001E-4</v>
      </c>
      <c r="N85" s="1060">
        <f t="shared" si="26"/>
        <v>-1E-3</v>
      </c>
      <c r="Z85" s="1994"/>
      <c r="AA85" s="2049"/>
      <c r="AG85" s="1117"/>
      <c r="AK85" s="2049"/>
    </row>
    <row r="86" spans="1:37" ht="14.25">
      <c r="A86" s="2126" t="s">
        <v>2067</v>
      </c>
      <c r="B86" s="2130">
        <f>估价对象房地状况!G22</f>
        <v>0</v>
      </c>
      <c r="C86" s="2040" t="s">
        <v>3460</v>
      </c>
      <c r="D86" s="1061">
        <f t="shared" si="22"/>
        <v>-4.0000000000000002E-4</v>
      </c>
      <c r="E86" s="743"/>
      <c r="F86" s="1810"/>
      <c r="G86" s="3455">
        <f t="shared" si="23"/>
        <v>2.0000000000000001E-4</v>
      </c>
      <c r="H86" s="1062">
        <f t="shared" si="23"/>
        <v>3.5999999999999999E-3</v>
      </c>
      <c r="I86" s="3363">
        <v>0.05</v>
      </c>
      <c r="J86" s="1060">
        <f t="shared" si="24"/>
        <v>4.0000000000000002E-4</v>
      </c>
      <c r="K86" s="1060">
        <f t="shared" si="25"/>
        <v>2.0000000000000001E-4</v>
      </c>
      <c r="L86" s="1060">
        <v>0</v>
      </c>
      <c r="M86" s="1060">
        <f t="shared" si="26"/>
        <v>-2.0000000000000001E-4</v>
      </c>
      <c r="N86" s="1060">
        <f t="shared" si="26"/>
        <v>-4.0000000000000002E-4</v>
      </c>
      <c r="Z86" s="1994"/>
      <c r="AA86" s="2049"/>
      <c r="AG86" s="1117"/>
      <c r="AK86" s="2049"/>
    </row>
    <row r="87" spans="1:37" ht="25.5">
      <c r="A87" s="2126" t="s">
        <v>2059</v>
      </c>
      <c r="B87" s="1322" t="str">
        <f>估价对象房地状况!G19</f>
        <v>估价对象所在区域公共配套设施齐备情况</v>
      </c>
      <c r="C87" s="2040" t="s">
        <v>3415</v>
      </c>
      <c r="D87" s="1061">
        <f t="shared" si="22"/>
        <v>0</v>
      </c>
      <c r="E87" s="743"/>
      <c r="F87" s="1810"/>
      <c r="G87" s="3455">
        <f t="shared" si="23"/>
        <v>2.9999999999999997E-4</v>
      </c>
      <c r="H87" s="1062">
        <f t="shared" si="23"/>
        <v>4.4000000000000003E-3</v>
      </c>
      <c r="I87" s="3363">
        <v>0.06</v>
      </c>
      <c r="J87" s="1060">
        <f t="shared" si="24"/>
        <v>5.9999999999999995E-4</v>
      </c>
      <c r="K87" s="1060">
        <f t="shared" si="25"/>
        <v>2.9999999999999997E-4</v>
      </c>
      <c r="L87" s="1060">
        <v>0</v>
      </c>
      <c r="M87" s="1060">
        <f t="shared" si="26"/>
        <v>-2.9999999999999997E-4</v>
      </c>
      <c r="N87" s="1060">
        <f t="shared" si="26"/>
        <v>-5.9999999999999995E-4</v>
      </c>
    </row>
    <row r="88" spans="1:37" ht="25.5">
      <c r="A88" s="2126" t="s">
        <v>2060</v>
      </c>
      <c r="B88" s="1322" t="str">
        <f>估价对象房地状况!G20</f>
        <v>估价对象所在区域基础设施水平</v>
      </c>
      <c r="C88" s="2040" t="s">
        <v>3415</v>
      </c>
      <c r="D88" s="1061">
        <f t="shared" si="22"/>
        <v>0</v>
      </c>
      <c r="E88" s="743"/>
      <c r="F88" s="1810"/>
      <c r="G88" s="3455">
        <f t="shared" si="23"/>
        <v>5.9999999999999995E-4</v>
      </c>
      <c r="H88" s="1062">
        <f t="shared" si="23"/>
        <v>8.8000000000000005E-3</v>
      </c>
      <c r="I88" s="3363">
        <v>0.12</v>
      </c>
      <c r="J88" s="1060">
        <f t="shared" si="24"/>
        <v>1.1999999999999999E-3</v>
      </c>
      <c r="K88" s="1060">
        <f t="shared" si="25"/>
        <v>5.9999999999999995E-4</v>
      </c>
      <c r="L88" s="1060">
        <v>0</v>
      </c>
      <c r="M88" s="1060">
        <f t="shared" si="26"/>
        <v>-5.9999999999999995E-4</v>
      </c>
      <c r="N88" s="1060">
        <f t="shared" si="26"/>
        <v>-1.1999999999999999E-3</v>
      </c>
    </row>
    <row r="89" spans="1:37" ht="24">
      <c r="A89" s="2126" t="s">
        <v>2057</v>
      </c>
      <c r="B89" s="2132" t="s">
        <v>2071</v>
      </c>
      <c r="C89" s="2040" t="s">
        <v>3416</v>
      </c>
      <c r="D89" s="1061">
        <f t="shared" si="22"/>
        <v>2.9999999999999997E-4</v>
      </c>
      <c r="E89" s="743"/>
      <c r="F89" s="1810"/>
      <c r="G89" s="3455">
        <f t="shared" si="23"/>
        <v>2.9999999999999997E-4</v>
      </c>
      <c r="H89" s="1062">
        <f t="shared" si="23"/>
        <v>4.4000000000000003E-3</v>
      </c>
      <c r="I89" s="3363">
        <v>0.06</v>
      </c>
      <c r="J89" s="1060">
        <f t="shared" si="24"/>
        <v>5.9999999999999995E-4</v>
      </c>
      <c r="K89" s="1060">
        <f t="shared" si="25"/>
        <v>2.9999999999999997E-4</v>
      </c>
      <c r="L89" s="1060">
        <v>0</v>
      </c>
      <c r="M89" s="1060">
        <f t="shared" si="26"/>
        <v>-2.9999999999999997E-4</v>
      </c>
      <c r="N89" s="1060">
        <f t="shared" si="26"/>
        <v>-5.9999999999999995E-4</v>
      </c>
    </row>
    <row r="90" spans="1:37" ht="39" thickBot="1">
      <c r="A90" s="2134" t="s">
        <v>2072</v>
      </c>
      <c r="B90" s="2139" t="str">
        <f>估价对象房地状况!G18</f>
        <v>该园区内是否有污染型企业，绿化情况，卫生条件，整体环境状况判断</v>
      </c>
      <c r="C90" s="2040" t="s">
        <v>3415</v>
      </c>
      <c r="D90" s="1061">
        <f t="shared" si="22"/>
        <v>0</v>
      </c>
      <c r="E90" s="744"/>
      <c r="F90" s="1810"/>
      <c r="G90" s="3455">
        <f t="shared" si="23"/>
        <v>2.0000000000000001E-4</v>
      </c>
      <c r="H90" s="1062">
        <f t="shared" si="23"/>
        <v>3.5999999999999999E-3</v>
      </c>
      <c r="I90" s="3364">
        <v>0.05</v>
      </c>
      <c r="J90" s="1060">
        <f t="shared" si="24"/>
        <v>4.0000000000000002E-4</v>
      </c>
      <c r="K90" s="1060">
        <f t="shared" si="25"/>
        <v>2.0000000000000001E-4</v>
      </c>
      <c r="L90" s="1060">
        <v>0</v>
      </c>
      <c r="M90" s="1060">
        <f t="shared" si="26"/>
        <v>-2.0000000000000001E-4</v>
      </c>
      <c r="N90" s="1060">
        <f t="shared" si="26"/>
        <v>-4.0000000000000002E-4</v>
      </c>
    </row>
    <row r="91" spans="1:37" ht="15">
      <c r="A91" s="3373" t="s">
        <v>2616</v>
      </c>
      <c r="B91" s="3374">
        <f>1+E93</f>
        <v>1</v>
      </c>
      <c r="C91" s="3367"/>
      <c r="D91" s="3368"/>
      <c r="E91" s="1810"/>
      <c r="F91" s="1810"/>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7" t="s">
        <v>3298</v>
      </c>
      <c r="B103" s="3697"/>
      <c r="C103" s="3697"/>
      <c r="D103" s="3697"/>
      <c r="E103" s="3697"/>
      <c r="F103" s="3697"/>
      <c r="G103" s="3697"/>
      <c r="H103" s="3697"/>
      <c r="I103" s="3697"/>
      <c r="J103" s="3697"/>
      <c r="K103" s="3386"/>
      <c r="L103" s="3386"/>
      <c r="M103" s="3386"/>
      <c r="N103" s="3386"/>
    </row>
    <row r="104" spans="1:14">
      <c r="A104" s="3698" t="s">
        <v>3299</v>
      </c>
      <c r="B104" s="3698" t="s">
        <v>3300</v>
      </c>
      <c r="C104" s="3387" t="s">
        <v>3301</v>
      </c>
      <c r="D104" s="3388"/>
      <c r="E104" s="3388"/>
      <c r="F104" s="3388"/>
      <c r="G104" s="3388"/>
      <c r="H104" s="3388"/>
      <c r="I104" s="3388"/>
      <c r="J104" s="3389"/>
      <c r="K104" s="3390"/>
      <c r="L104" s="3390"/>
      <c r="M104" s="3390"/>
      <c r="N104" s="3390"/>
    </row>
    <row r="105" spans="1:14">
      <c r="A105" s="3698"/>
      <c r="B105" s="3698"/>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84"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5"/>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7" t="s">
        <v>3315</v>
      </c>
      <c r="B113" s="3687"/>
      <c r="C113" s="3687"/>
      <c r="D113" s="3687"/>
      <c r="E113" s="3687"/>
      <c r="F113" s="3687"/>
      <c r="G113" s="3687"/>
      <c r="H113" s="3687"/>
      <c r="I113" s="3687"/>
      <c r="J113" s="368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v>
      </c>
      <c r="C116" s="3396" t="s">
        <v>3317</v>
      </c>
      <c r="D116" s="3397">
        <f>SUMPRODUCT((A118:A122=F116)*(B117:M117=H116)*B118:M122)</f>
        <v>0.57150000000000001</v>
      </c>
      <c r="E116" s="1996" t="s">
        <v>3318</v>
      </c>
      <c r="F116" s="3398" t="str">
        <f>E2</f>
        <v>工业</v>
      </c>
      <c r="G116" s="1996" t="s">
        <v>3319</v>
      </c>
      <c r="H116" s="3398" t="str">
        <f>G2</f>
        <v>八级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5"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61:H69 H72:H80 H83:H91">
    <cfRule type="cellIs" dxfId="153" priority="3" operator="notEqual">
      <formula>"——"</formula>
    </cfRule>
  </conditionalFormatting>
  <conditionalFormatting sqref="H93:H101">
    <cfRule type="cellIs" dxfId="152" priority="2" operator="notEqual">
      <formula>"——"</formula>
    </cfRule>
  </conditionalFormatting>
  <conditionalFormatting sqref="G83:G90">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1" t="s">
        <v>2319</v>
      </c>
      <c r="B2" s="2839" t="e">
        <f>IF(D2="——",C40,C40+E2)</f>
        <v>#DIV/0!</v>
      </c>
      <c r="C2" s="2840" t="s">
        <v>2320</v>
      </c>
      <c r="D2" s="3439" t="s">
        <v>3363</v>
      </c>
      <c r="E2" s="3440"/>
      <c r="F2" s="2842"/>
      <c r="G2" s="2843"/>
      <c r="H2" s="2844"/>
      <c r="I2" s="2845"/>
      <c r="J2" s="3709" t="s">
        <v>2321</v>
      </c>
      <c r="K2" s="3710"/>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11" t="s">
        <v>2331</v>
      </c>
      <c r="K3" s="3712"/>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11" t="s">
        <v>2333</v>
      </c>
      <c r="K4" s="3712"/>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17" t="s">
        <v>2337</v>
      </c>
      <c r="B6" s="3718"/>
      <c r="C6" s="3719"/>
      <c r="D6" s="2866"/>
      <c r="E6" s="2867"/>
      <c r="F6" s="2868"/>
      <c r="G6" s="2869"/>
      <c r="H6" s="2844"/>
      <c r="I6" s="2845"/>
      <c r="J6" s="3703">
        <v>1</v>
      </c>
      <c r="K6" s="3704"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03"/>
      <c r="K7" s="3705"/>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20" t="s">
        <v>2351</v>
      </c>
      <c r="C8" s="3721"/>
      <c r="D8" s="2885" t="s">
        <v>2352</v>
      </c>
      <c r="E8" s="2886" t="s">
        <v>2353</v>
      </c>
      <c r="F8" s="2887" t="s">
        <v>2354</v>
      </c>
      <c r="G8" s="2888"/>
      <c r="H8" s="2844"/>
      <c r="I8" s="2845"/>
      <c r="J8" s="3703"/>
      <c r="K8" s="3705"/>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20" t="s">
        <v>2357</v>
      </c>
      <c r="C9" s="3721"/>
      <c r="D9" s="2885">
        <f>ROUND(D6*E9,0)</f>
        <v>0</v>
      </c>
      <c r="E9" s="2889"/>
      <c r="F9" s="2890" t="s">
        <v>2358</v>
      </c>
      <c r="G9" s="2869"/>
      <c r="H9" s="2844"/>
      <c r="I9" s="2845"/>
      <c r="J9" s="3703"/>
      <c r="K9" s="3705"/>
      <c r="L9" s="2879" t="s">
        <v>2359</v>
      </c>
      <c r="M9" s="2880"/>
      <c r="N9" s="2856"/>
      <c r="O9" s="2881"/>
      <c r="P9" s="2881"/>
      <c r="Q9" s="2882">
        <v>365</v>
      </c>
      <c r="R9" s="2883">
        <f t="shared" si="0"/>
        <v>0</v>
      </c>
      <c r="S9" s="2837"/>
      <c r="T9" s="2837"/>
      <c r="U9" s="2837"/>
      <c r="V9" s="2845"/>
    </row>
    <row r="10" spans="1:22" s="2849" customFormat="1" ht="13.15" customHeight="1">
      <c r="A10" s="2884">
        <v>2</v>
      </c>
      <c r="B10" s="3720" t="s">
        <v>2360</v>
      </c>
      <c r="C10" s="3721"/>
      <c r="D10" s="2885">
        <f>ROUND(D6*E10,0)</f>
        <v>0</v>
      </c>
      <c r="E10" s="2889"/>
      <c r="F10" s="2890" t="s">
        <v>2361</v>
      </c>
      <c r="G10" s="2869"/>
      <c r="H10" s="2844"/>
      <c r="I10" s="2845"/>
      <c r="J10" s="3703"/>
      <c r="K10" s="3705"/>
      <c r="L10" s="2879" t="s">
        <v>2362</v>
      </c>
      <c r="M10" s="2880"/>
      <c r="N10" s="2856"/>
      <c r="O10" s="2881"/>
      <c r="P10" s="2881"/>
      <c r="Q10" s="2882">
        <v>365</v>
      </c>
      <c r="R10" s="2883">
        <f t="shared" si="0"/>
        <v>0</v>
      </c>
      <c r="S10" s="2837"/>
      <c r="T10" s="2837"/>
      <c r="U10" s="2837"/>
      <c r="V10" s="2845"/>
    </row>
    <row r="11" spans="1:22" s="2849" customFormat="1" ht="13.15" customHeight="1">
      <c r="A11" s="2884">
        <v>3</v>
      </c>
      <c r="B11" s="3720" t="s">
        <v>2363</v>
      </c>
      <c r="C11" s="3721"/>
      <c r="D11" s="2885">
        <f>D12+D14+D15+D16</f>
        <v>0</v>
      </c>
      <c r="E11" s="2891" t="e">
        <f>D11/D6</f>
        <v>#DIV/0!</v>
      </c>
      <c r="F11" s="2887"/>
      <c r="G11" s="2888"/>
      <c r="H11" s="2844"/>
      <c r="I11" s="2845"/>
      <c r="J11" s="3703"/>
      <c r="K11" s="3705"/>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13" t="s">
        <v>2366</v>
      </c>
      <c r="C12" s="3714"/>
      <c r="D12" s="2893">
        <f>ROUND(D13*1.2%*(1-30%),0)</f>
        <v>0</v>
      </c>
      <c r="E12" s="2894">
        <v>1.2E-2</v>
      </c>
      <c r="F12" s="2887" t="s">
        <v>2367</v>
      </c>
      <c r="G12" s="2888"/>
      <c r="H12" s="2844"/>
      <c r="I12" s="2845"/>
      <c r="J12" s="3703"/>
      <c r="K12" s="3705"/>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03"/>
      <c r="K13" s="3705"/>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13" t="s">
        <v>2372</v>
      </c>
      <c r="C14" s="3714"/>
      <c r="D14" s="2893">
        <f>ROUND(E14*B5/10000,0)</f>
        <v>0</v>
      </c>
      <c r="E14" s="2882"/>
      <c r="F14" s="2887" t="s">
        <v>2373</v>
      </c>
      <c r="G14" s="2888"/>
      <c r="H14" s="2844"/>
      <c r="I14" s="2845"/>
      <c r="J14" s="3703"/>
      <c r="K14" s="3706"/>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13" t="s">
        <v>2376</v>
      </c>
      <c r="C15" s="3714"/>
      <c r="D15" s="2893">
        <f>ROUND(D6*E15,0)</f>
        <v>0</v>
      </c>
      <c r="E15" s="2894">
        <v>5.5E-2</v>
      </c>
      <c r="F15" s="2887" t="s">
        <v>2377</v>
      </c>
      <c r="G15" s="2869"/>
      <c r="H15" s="2844"/>
      <c r="I15" s="2845"/>
      <c r="J15" s="3703">
        <v>2</v>
      </c>
      <c r="K15" s="3704"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13" t="s">
        <v>2385</v>
      </c>
      <c r="C16" s="3714"/>
      <c r="D16" s="2904">
        <f>D6*E16</f>
        <v>0</v>
      </c>
      <c r="E16" s="2905"/>
      <c r="F16" s="2890" t="s">
        <v>2386</v>
      </c>
      <c r="G16" s="2869"/>
      <c r="H16" s="2844"/>
      <c r="I16" s="2845"/>
      <c r="J16" s="3703"/>
      <c r="K16" s="3705"/>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15" t="s">
        <v>2388</v>
      </c>
      <c r="C17" s="3716"/>
      <c r="D17" s="2907">
        <f>ROUND(D6*E17,0)</f>
        <v>0</v>
      </c>
      <c r="E17" s="2908"/>
      <c r="F17" s="2909" t="s">
        <v>2389</v>
      </c>
      <c r="G17" s="2869"/>
      <c r="H17" s="2844"/>
      <c r="I17" s="2845"/>
      <c r="J17" s="3703"/>
      <c r="K17" s="3705"/>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03"/>
      <c r="K18" s="3705"/>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03"/>
      <c r="K19" s="3706"/>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3">
        <v>3</v>
      </c>
      <c r="K20" s="3704"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03"/>
      <c r="K21" s="3705"/>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03"/>
      <c r="K22" s="3705"/>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03"/>
      <c r="K23" s="3705"/>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03"/>
      <c r="K24" s="3706"/>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07">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0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09" t="s">
        <v>2321</v>
      </c>
      <c r="K32" s="3710"/>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11" t="s">
        <v>2331</v>
      </c>
      <c r="K33" s="3712"/>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11" t="s">
        <v>2333</v>
      </c>
      <c r="K34" s="371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03">
        <v>1</v>
      </c>
      <c r="K36" s="3704"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03"/>
      <c r="K37" s="3705"/>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3"/>
      <c r="K38" s="3705"/>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03"/>
      <c r="K39" s="3705"/>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03"/>
      <c r="K40" s="3706"/>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07">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0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K22" sqref="K2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1447.7333000000001</v>
      </c>
      <c r="C2" s="1868" t="s">
        <v>1651</v>
      </c>
      <c r="D2" s="1869" t="s">
        <v>1652</v>
      </c>
      <c r="E2" s="2603">
        <f>SUM(E6:E13)</f>
        <v>2447.34</v>
      </c>
      <c r="F2" s="2703"/>
      <c r="G2" s="1485"/>
      <c r="H2" s="1485"/>
      <c r="I2" s="1485"/>
      <c r="J2" s="1485"/>
      <c r="K2" s="1485"/>
      <c r="L2" s="1485"/>
      <c r="M2" s="1485"/>
      <c r="N2" s="1485"/>
      <c r="O2" s="1485"/>
      <c r="P2" s="1485"/>
      <c r="Q2" s="1485"/>
      <c r="R2" s="1485"/>
      <c r="S2" s="1485"/>
    </row>
    <row r="3" spans="1:22" ht="15.75">
      <c r="A3" s="1866" t="s">
        <v>686</v>
      </c>
      <c r="B3" s="2597">
        <f ca="1">ROUND(B2*10000/E2,0)</f>
        <v>5916</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22" t="s">
        <v>1654</v>
      </c>
      <c r="C5" s="3723"/>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1447.7333000000001</v>
      </c>
      <c r="C6" s="1868" t="s">
        <v>1651</v>
      </c>
      <c r="D6" s="2705"/>
      <c r="E6" s="2602">
        <f>IF(OR(A6=0,F6="否"),0,'数据-取费表'!K6+'数据-取费表'!S6)</f>
        <v>2447.34</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2447.34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1666</v>
      </c>
      <c r="B4" s="356"/>
      <c r="C4" s="3742" t="s">
        <v>1667</v>
      </c>
      <c r="D4" s="3743"/>
      <c r="E4" s="3744" t="s">
        <v>1668</v>
      </c>
      <c r="F4" s="3745"/>
      <c r="G4" s="3742" t="s">
        <v>1669</v>
      </c>
      <c r="H4" s="3743"/>
      <c r="I4" s="3742" t="s">
        <v>1670</v>
      </c>
      <c r="J4" s="3743"/>
      <c r="K4" s="1885" t="s">
        <v>1671</v>
      </c>
      <c r="L4" s="2711"/>
      <c r="M4" s="2712"/>
      <c r="N4" s="2712"/>
      <c r="O4" s="2712"/>
      <c r="P4" s="3746" t="s">
        <v>1672</v>
      </c>
      <c r="Q4" s="3747"/>
      <c r="R4" s="3752" t="s">
        <v>1668</v>
      </c>
      <c r="S4" s="3753"/>
      <c r="T4" s="3752" t="s">
        <v>1669</v>
      </c>
      <c r="U4" s="3753"/>
      <c r="V4" s="3758" t="s">
        <v>1670</v>
      </c>
      <c r="W4" s="3758"/>
      <c r="X4" s="1351"/>
      <c r="Y4" s="3752" t="s">
        <v>1672</v>
      </c>
      <c r="Z4" s="3753"/>
      <c r="AA4" s="3739" t="s">
        <v>1668</v>
      </c>
      <c r="AB4" s="3739" t="s">
        <v>1669</v>
      </c>
      <c r="AC4" s="3739" t="s">
        <v>1670</v>
      </c>
    </row>
    <row r="5" spans="1:29" ht="15">
      <c r="A5" s="358"/>
      <c r="B5" s="359"/>
      <c r="C5" s="3761" t="s">
        <v>1673</v>
      </c>
      <c r="D5" s="3762"/>
      <c r="E5" s="3768" t="s">
        <v>1674</v>
      </c>
      <c r="F5" s="3769"/>
      <c r="G5" s="3761" t="s">
        <v>1675</v>
      </c>
      <c r="H5" s="3762"/>
      <c r="I5" s="3761" t="s">
        <v>1676</v>
      </c>
      <c r="J5" s="3762"/>
      <c r="K5" s="1886"/>
      <c r="L5" s="2711"/>
      <c r="M5" s="2712"/>
      <c r="N5" s="2712"/>
      <c r="O5" s="2712"/>
      <c r="P5" s="3748"/>
      <c r="Q5" s="3749"/>
      <c r="R5" s="3754"/>
      <c r="S5" s="3755"/>
      <c r="T5" s="3754"/>
      <c r="U5" s="3755"/>
      <c r="V5" s="3758"/>
      <c r="W5" s="3758"/>
      <c r="X5" s="1351"/>
      <c r="Y5" s="3754"/>
      <c r="Z5" s="3755"/>
      <c r="AA5" s="3740"/>
      <c r="AB5" s="3740"/>
      <c r="AC5" s="3740"/>
    </row>
    <row r="6" spans="1:29" ht="15.75" thickBot="1">
      <c r="A6" s="360"/>
      <c r="B6" s="361"/>
      <c r="C6" s="3759" t="s">
        <v>1677</v>
      </c>
      <c r="D6" s="3760"/>
      <c r="E6" s="3766" t="s">
        <v>1677</v>
      </c>
      <c r="F6" s="3767"/>
      <c r="G6" s="3759" t="s">
        <v>1677</v>
      </c>
      <c r="H6" s="3760"/>
      <c r="I6" s="3759" t="s">
        <v>1677</v>
      </c>
      <c r="J6" s="3760"/>
      <c r="K6" s="1886" t="s">
        <v>1678</v>
      </c>
      <c r="L6" s="2711"/>
      <c r="M6" s="2712"/>
      <c r="N6" s="2712"/>
      <c r="O6" s="2712"/>
      <c r="P6" s="3750"/>
      <c r="Q6" s="3751"/>
      <c r="R6" s="3754"/>
      <c r="S6" s="3755"/>
      <c r="T6" s="3756"/>
      <c r="U6" s="3757"/>
      <c r="V6" s="3758"/>
      <c r="W6" s="3758"/>
      <c r="X6" s="1351"/>
      <c r="Y6" s="3756"/>
      <c r="Z6" s="3757"/>
      <c r="AA6" s="3741"/>
      <c r="AB6" s="3741"/>
      <c r="AC6" s="3741"/>
    </row>
    <row r="7" spans="1:29" s="108" customFormat="1" ht="15.75" thickBot="1">
      <c r="A7" s="362" t="s">
        <v>1679</v>
      </c>
      <c r="B7" s="363"/>
      <c r="C7" s="364">
        <f>'数据-取费表'!B2</f>
        <v>45417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63" t="s">
        <v>1680</v>
      </c>
      <c r="Q7" s="3765"/>
      <c r="R7" s="701" t="s">
        <v>20</v>
      </c>
      <c r="S7" s="702">
        <f t="shared" ref="S7:S15" si="0">F7</f>
        <v>0</v>
      </c>
      <c r="T7" s="701" t="s">
        <v>20</v>
      </c>
      <c r="U7" s="702">
        <f t="shared" ref="U7:U15" si="1">H7</f>
        <v>0</v>
      </c>
      <c r="V7" s="701" t="s">
        <v>20</v>
      </c>
      <c r="W7" s="702">
        <f t="shared" ref="W7:W15" si="2">J7</f>
        <v>0</v>
      </c>
      <c r="X7" s="703"/>
      <c r="Y7" s="3763" t="s">
        <v>1680</v>
      </c>
      <c r="Z7" s="3764"/>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63" t="s">
        <v>1683</v>
      </c>
      <c r="Q8" s="3764"/>
      <c r="R8" s="701" t="s">
        <v>20</v>
      </c>
      <c r="S8" s="702">
        <f t="shared" si="0"/>
        <v>100</v>
      </c>
      <c r="T8" s="701" t="s">
        <v>20</v>
      </c>
      <c r="U8" s="702">
        <f t="shared" si="1"/>
        <v>100</v>
      </c>
      <c r="V8" s="701" t="s">
        <v>20</v>
      </c>
      <c r="W8" s="702">
        <f t="shared" si="2"/>
        <v>100</v>
      </c>
      <c r="X8" s="703"/>
      <c r="Y8" s="3763" t="s">
        <v>1683</v>
      </c>
      <c r="Z8" s="37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38" t="s">
        <v>1686</v>
      </c>
      <c r="Q9" s="1339"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38"/>
      <c r="Q10" s="1339"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38"/>
      <c r="Q11" s="1339" t="str">
        <f t="shared" si="6"/>
        <v>容积率</v>
      </c>
      <c r="R11" s="701" t="s">
        <v>18</v>
      </c>
      <c r="S11" s="702" t="e">
        <f t="shared" si="0"/>
        <v>#N/A</v>
      </c>
      <c r="T11" s="701" t="s">
        <v>18</v>
      </c>
      <c r="U11" s="702" t="e">
        <f t="shared" si="1"/>
        <v>#N/A</v>
      </c>
      <c r="V11" s="701" t="s">
        <v>18</v>
      </c>
      <c r="W11" s="702" t="e">
        <f t="shared" si="2"/>
        <v>#N/A</v>
      </c>
      <c r="X11" s="703"/>
      <c r="Y11" s="3583"/>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38"/>
      <c r="Q12" s="1339">
        <f t="shared" si="6"/>
        <v>111</v>
      </c>
      <c r="R12" s="701" t="s">
        <v>18</v>
      </c>
      <c r="S12" s="702">
        <f t="shared" si="0"/>
        <v>100</v>
      </c>
      <c r="T12" s="701" t="s">
        <v>18</v>
      </c>
      <c r="U12" s="702">
        <f t="shared" si="1"/>
        <v>100</v>
      </c>
      <c r="V12" s="701" t="s">
        <v>18</v>
      </c>
      <c r="W12" s="702">
        <f t="shared" si="2"/>
        <v>100</v>
      </c>
      <c r="X12" s="703"/>
      <c r="Y12" s="358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38"/>
      <c r="Q13" s="1339">
        <f t="shared" si="6"/>
        <v>111</v>
      </c>
      <c r="R13" s="701" t="s">
        <v>18</v>
      </c>
      <c r="S13" s="702">
        <f t="shared" si="0"/>
        <v>100</v>
      </c>
      <c r="T13" s="701" t="s">
        <v>18</v>
      </c>
      <c r="U13" s="702">
        <f t="shared" si="1"/>
        <v>100</v>
      </c>
      <c r="V13" s="701" t="s">
        <v>18</v>
      </c>
      <c r="W13" s="702">
        <f t="shared" si="2"/>
        <v>100</v>
      </c>
      <c r="X13" s="703"/>
      <c r="Y13" s="3583"/>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38"/>
      <c r="Q14" s="1339">
        <f t="shared" si="6"/>
        <v>111</v>
      </c>
      <c r="R14" s="701" t="s">
        <v>18</v>
      </c>
      <c r="S14" s="702">
        <f t="shared" si="0"/>
        <v>100</v>
      </c>
      <c r="T14" s="701" t="s">
        <v>18</v>
      </c>
      <c r="U14" s="702">
        <f t="shared" si="1"/>
        <v>100</v>
      </c>
      <c r="V14" s="701" t="s">
        <v>18</v>
      </c>
      <c r="W14" s="702">
        <f t="shared" si="2"/>
        <v>100</v>
      </c>
      <c r="X14" s="703"/>
      <c r="Y14" s="3583"/>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36" t="s">
        <v>1691</v>
      </c>
      <c r="Q15" s="1348" t="str">
        <f t="shared" si="6"/>
        <v>居住社区成熟度</v>
      </c>
      <c r="R15" s="705" t="s">
        <v>18</v>
      </c>
      <c r="S15" s="706">
        <f t="shared" si="0"/>
        <v>100</v>
      </c>
      <c r="T15" s="705" t="s">
        <v>18</v>
      </c>
      <c r="U15" s="706">
        <f t="shared" si="1"/>
        <v>100</v>
      </c>
      <c r="V15" s="705" t="s">
        <v>18</v>
      </c>
      <c r="W15" s="706">
        <f t="shared" si="2"/>
        <v>100</v>
      </c>
      <c r="X15" s="1351"/>
      <c r="Y15" s="3729"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37"/>
      <c r="Q16" s="1348"/>
      <c r="R16" s="705"/>
      <c r="S16" s="706"/>
      <c r="T16" s="705"/>
      <c r="U16" s="706"/>
      <c r="V16" s="705"/>
      <c r="W16" s="706"/>
      <c r="X16" s="1351"/>
      <c r="Y16" s="3730"/>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37"/>
      <c r="Q17" s="1348" t="str">
        <f>B17</f>
        <v>交通便捷度</v>
      </c>
      <c r="R17" s="705" t="s">
        <v>18</v>
      </c>
      <c r="S17" s="706">
        <f>F17</f>
        <v>100</v>
      </c>
      <c r="T17" s="705" t="s">
        <v>18</v>
      </c>
      <c r="U17" s="706">
        <f>H17</f>
        <v>100</v>
      </c>
      <c r="V17" s="705" t="s">
        <v>18</v>
      </c>
      <c r="W17" s="706">
        <f>J17</f>
        <v>100</v>
      </c>
      <c r="X17" s="1351"/>
      <c r="Y17" s="373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37"/>
      <c r="Q18" s="1348"/>
      <c r="R18" s="705"/>
      <c r="S18" s="706"/>
      <c r="T18" s="705"/>
      <c r="U18" s="706"/>
      <c r="V18" s="705"/>
      <c r="W18" s="706"/>
      <c r="X18" s="1351"/>
      <c r="Y18" s="3730"/>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37"/>
      <c r="Q19" s="1348" t="str">
        <f>B19</f>
        <v>公共配套设施</v>
      </c>
      <c r="R19" s="705" t="s">
        <v>18</v>
      </c>
      <c r="S19" s="706">
        <f>F19</f>
        <v>100</v>
      </c>
      <c r="T19" s="705" t="s">
        <v>18</v>
      </c>
      <c r="U19" s="706">
        <f>H19</f>
        <v>100</v>
      </c>
      <c r="V19" s="705" t="s">
        <v>18</v>
      </c>
      <c r="W19" s="706">
        <f>J19</f>
        <v>100</v>
      </c>
      <c r="X19" s="1351"/>
      <c r="Y19" s="373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37"/>
      <c r="Q20" s="1348"/>
      <c r="R20" s="705"/>
      <c r="S20" s="706"/>
      <c r="T20" s="705"/>
      <c r="U20" s="706"/>
      <c r="V20" s="705"/>
      <c r="W20" s="706"/>
      <c r="X20" s="1351"/>
      <c r="Y20" s="3730"/>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37"/>
      <c r="Q21" s="1348" t="str">
        <f>B21</f>
        <v>基础设施水平</v>
      </c>
      <c r="R21" s="705" t="s">
        <v>14</v>
      </c>
      <c r="S21" s="706">
        <f>F21</f>
        <v>100</v>
      </c>
      <c r="T21" s="705" t="s">
        <v>14</v>
      </c>
      <c r="U21" s="706">
        <f>H21</f>
        <v>100</v>
      </c>
      <c r="V21" s="705" t="s">
        <v>14</v>
      </c>
      <c r="W21" s="706">
        <f>J21</f>
        <v>100</v>
      </c>
      <c r="X21" s="1351"/>
      <c r="Y21" s="373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37"/>
      <c r="Q22" s="1348"/>
      <c r="R22" s="705"/>
      <c r="S22" s="706"/>
      <c r="T22" s="705"/>
      <c r="U22" s="706"/>
      <c r="V22" s="705"/>
      <c r="W22" s="706"/>
      <c r="X22" s="1351"/>
      <c r="Y22" s="3730"/>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37"/>
      <c r="Q23" s="1348" t="str">
        <f>B23</f>
        <v>自然及人文环境</v>
      </c>
      <c r="R23" s="705" t="s">
        <v>18</v>
      </c>
      <c r="S23" s="706">
        <f>F23</f>
        <v>100</v>
      </c>
      <c r="T23" s="705" t="s">
        <v>18</v>
      </c>
      <c r="U23" s="706">
        <f>H23</f>
        <v>100</v>
      </c>
      <c r="V23" s="705" t="s">
        <v>18</v>
      </c>
      <c r="W23" s="706">
        <f>J23</f>
        <v>100</v>
      </c>
      <c r="X23" s="1351"/>
      <c r="Y23" s="373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37"/>
      <c r="Q24" s="1348"/>
      <c r="R24" s="705"/>
      <c r="S24" s="706"/>
      <c r="T24" s="705"/>
      <c r="U24" s="706"/>
      <c r="V24" s="705"/>
      <c r="W24" s="706"/>
      <c r="X24" s="1351"/>
      <c r="Y24" s="373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37"/>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30"/>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37"/>
      <c r="Q26" s="1348" t="str">
        <f t="shared" si="11"/>
        <v>朝向</v>
      </c>
      <c r="R26" s="705" t="s">
        <v>18</v>
      </c>
      <c r="S26" s="706">
        <f t="shared" si="12"/>
        <v>100</v>
      </c>
      <c r="T26" s="705" t="s">
        <v>18</v>
      </c>
      <c r="U26" s="706">
        <f t="shared" si="13"/>
        <v>100</v>
      </c>
      <c r="V26" s="705" t="s">
        <v>18</v>
      </c>
      <c r="W26" s="706">
        <f t="shared" si="14"/>
        <v>100</v>
      </c>
      <c r="X26" s="1351"/>
      <c r="Y26" s="373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37"/>
      <c r="Q27" s="1339">
        <f t="shared" si="11"/>
        <v>111</v>
      </c>
      <c r="R27" s="701" t="s">
        <v>18</v>
      </c>
      <c r="S27" s="702">
        <f t="shared" si="12"/>
        <v>100</v>
      </c>
      <c r="T27" s="701" t="s">
        <v>18</v>
      </c>
      <c r="U27" s="702">
        <f t="shared" si="13"/>
        <v>100</v>
      </c>
      <c r="V27" s="701" t="s">
        <v>18</v>
      </c>
      <c r="W27" s="702">
        <f t="shared" si="14"/>
        <v>100</v>
      </c>
      <c r="X27" s="703"/>
      <c r="Y27" s="373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37"/>
      <c r="Q28" s="1348">
        <f t="shared" si="11"/>
        <v>111</v>
      </c>
      <c r="R28" s="705" t="s">
        <v>18</v>
      </c>
      <c r="S28" s="706">
        <f t="shared" si="12"/>
        <v>100</v>
      </c>
      <c r="T28" s="705" t="s">
        <v>18</v>
      </c>
      <c r="U28" s="706">
        <f t="shared" si="13"/>
        <v>100</v>
      </c>
      <c r="V28" s="705" t="s">
        <v>18</v>
      </c>
      <c r="W28" s="706">
        <f t="shared" si="14"/>
        <v>100</v>
      </c>
      <c r="X28" s="1351"/>
      <c r="Y28" s="373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37"/>
      <c r="Q29" s="1348">
        <f t="shared" si="11"/>
        <v>111</v>
      </c>
      <c r="R29" s="705" t="s">
        <v>18</v>
      </c>
      <c r="S29" s="706">
        <f t="shared" si="12"/>
        <v>100</v>
      </c>
      <c r="T29" s="705" t="s">
        <v>18</v>
      </c>
      <c r="U29" s="706">
        <f t="shared" si="13"/>
        <v>100</v>
      </c>
      <c r="V29" s="705" t="s">
        <v>18</v>
      </c>
      <c r="W29" s="706">
        <f t="shared" si="14"/>
        <v>100</v>
      </c>
      <c r="X29" s="1351"/>
      <c r="Y29" s="373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37"/>
      <c r="Q30" s="1348">
        <f t="shared" si="11"/>
        <v>111</v>
      </c>
      <c r="R30" s="705" t="s">
        <v>18</v>
      </c>
      <c r="S30" s="706">
        <f t="shared" si="12"/>
        <v>100</v>
      </c>
      <c r="T30" s="705" t="s">
        <v>18</v>
      </c>
      <c r="U30" s="706">
        <f t="shared" si="13"/>
        <v>100</v>
      </c>
      <c r="V30" s="705" t="s">
        <v>18</v>
      </c>
      <c r="W30" s="706">
        <f t="shared" si="14"/>
        <v>100</v>
      </c>
      <c r="X30" s="1351"/>
      <c r="Y30" s="373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37"/>
      <c r="Q31" s="1348">
        <f t="shared" si="11"/>
        <v>111</v>
      </c>
      <c r="R31" s="705" t="s">
        <v>18</v>
      </c>
      <c r="S31" s="706">
        <f t="shared" si="12"/>
        <v>100</v>
      </c>
      <c r="T31" s="705" t="s">
        <v>18</v>
      </c>
      <c r="U31" s="706">
        <f t="shared" si="13"/>
        <v>100</v>
      </c>
      <c r="V31" s="705" t="s">
        <v>18</v>
      </c>
      <c r="W31" s="706">
        <f t="shared" si="14"/>
        <v>100</v>
      </c>
      <c r="X31" s="1351"/>
      <c r="Y31" s="373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31" t="s">
        <v>1696</v>
      </c>
      <c r="Q32" s="1348" t="str">
        <f t="shared" si="11"/>
        <v>建筑类型</v>
      </c>
      <c r="R32" s="705" t="s">
        <v>18</v>
      </c>
      <c r="S32" s="706">
        <f t="shared" si="12"/>
        <v>100</v>
      </c>
      <c r="T32" s="705" t="s">
        <v>18</v>
      </c>
      <c r="U32" s="706">
        <f t="shared" si="13"/>
        <v>100</v>
      </c>
      <c r="V32" s="705" t="s">
        <v>18</v>
      </c>
      <c r="W32" s="706">
        <f t="shared" si="14"/>
        <v>100</v>
      </c>
      <c r="X32" s="1351"/>
      <c r="Y32" s="373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32"/>
      <c r="Q34" s="1348" t="str">
        <f t="shared" si="11"/>
        <v>建筑结构</v>
      </c>
      <c r="R34" s="705" t="s">
        <v>18</v>
      </c>
      <c r="S34" s="706">
        <f t="shared" si="12"/>
        <v>100</v>
      </c>
      <c r="T34" s="705" t="s">
        <v>18</v>
      </c>
      <c r="U34" s="706">
        <f t="shared" si="13"/>
        <v>100</v>
      </c>
      <c r="V34" s="705" t="s">
        <v>18</v>
      </c>
      <c r="W34" s="706">
        <f t="shared" si="14"/>
        <v>100</v>
      </c>
      <c r="X34" s="1351"/>
      <c r="Y34" s="3734"/>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32"/>
      <c r="Q35" s="1348" t="str">
        <f t="shared" si="11"/>
        <v>建筑品质</v>
      </c>
      <c r="R35" s="705" t="s">
        <v>18</v>
      </c>
      <c r="S35" s="706">
        <f t="shared" si="12"/>
        <v>100</v>
      </c>
      <c r="T35" s="705" t="s">
        <v>18</v>
      </c>
      <c r="U35" s="706">
        <f t="shared" si="13"/>
        <v>100</v>
      </c>
      <c r="V35" s="705" t="s">
        <v>18</v>
      </c>
      <c r="W35" s="706">
        <f t="shared" si="14"/>
        <v>100</v>
      </c>
      <c r="X35" s="1351"/>
      <c r="Y35" s="3734"/>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32"/>
      <c r="Q36" s="1348" t="str">
        <f t="shared" si="11"/>
        <v>公共部分装修</v>
      </c>
      <c r="R36" s="705" t="s">
        <v>18</v>
      </c>
      <c r="S36" s="706">
        <f t="shared" si="12"/>
        <v>100</v>
      </c>
      <c r="T36" s="705" t="s">
        <v>18</v>
      </c>
      <c r="U36" s="706">
        <f t="shared" si="13"/>
        <v>100</v>
      </c>
      <c r="V36" s="705" t="s">
        <v>18</v>
      </c>
      <c r="W36" s="706">
        <f t="shared" si="14"/>
        <v>100</v>
      </c>
      <c r="X36" s="1351"/>
      <c r="Y36" s="373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32"/>
      <c r="Q37" s="1339"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32" t="s">
        <v>1696</v>
      </c>
      <c r="Q38" s="1348" t="str">
        <f t="shared" si="11"/>
        <v>物业管理</v>
      </c>
      <c r="R38" s="705" t="s">
        <v>18</v>
      </c>
      <c r="S38" s="706">
        <f t="shared" si="12"/>
        <v>100</v>
      </c>
      <c r="T38" s="705" t="s">
        <v>18</v>
      </c>
      <c r="U38" s="706">
        <f t="shared" si="13"/>
        <v>100</v>
      </c>
      <c r="V38" s="705" t="s">
        <v>18</v>
      </c>
      <c r="W38" s="706">
        <f t="shared" si="14"/>
        <v>100</v>
      </c>
      <c r="X38" s="1351"/>
      <c r="Y38" s="3734"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32"/>
      <c r="Q39" s="1348" t="str">
        <f t="shared" si="11"/>
        <v>市政基础设施</v>
      </c>
      <c r="R39" s="705" t="s">
        <v>18</v>
      </c>
      <c r="S39" s="706">
        <f t="shared" si="12"/>
        <v>100</v>
      </c>
      <c r="T39" s="705" t="s">
        <v>18</v>
      </c>
      <c r="U39" s="706">
        <f t="shared" si="13"/>
        <v>100</v>
      </c>
      <c r="V39" s="705" t="s">
        <v>18</v>
      </c>
      <c r="W39" s="706">
        <f t="shared" si="14"/>
        <v>100</v>
      </c>
      <c r="X39" s="1351"/>
      <c r="Y39" s="3734"/>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32"/>
      <c r="Q40" s="1348" t="str">
        <f t="shared" si="11"/>
        <v>房型</v>
      </c>
      <c r="R40" s="705" t="s">
        <v>18</v>
      </c>
      <c r="S40" s="706">
        <f t="shared" si="12"/>
        <v>100</v>
      </c>
      <c r="T40" s="705" t="s">
        <v>18</v>
      </c>
      <c r="U40" s="706">
        <f t="shared" si="13"/>
        <v>100</v>
      </c>
      <c r="V40" s="705" t="s">
        <v>18</v>
      </c>
      <c r="W40" s="706">
        <f t="shared" si="14"/>
        <v>100</v>
      </c>
      <c r="X40" s="1351"/>
      <c r="Y40" s="3734"/>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32"/>
      <c r="Q42" s="1348" t="str">
        <f t="shared" si="11"/>
        <v>内部装修</v>
      </c>
      <c r="R42" s="705" t="s">
        <v>18</v>
      </c>
      <c r="S42" s="706">
        <f t="shared" si="12"/>
        <v>100</v>
      </c>
      <c r="T42" s="705" t="s">
        <v>18</v>
      </c>
      <c r="U42" s="706">
        <f t="shared" si="13"/>
        <v>100</v>
      </c>
      <c r="V42" s="705" t="s">
        <v>18</v>
      </c>
      <c r="W42" s="706">
        <f t="shared" si="14"/>
        <v>100</v>
      </c>
      <c r="X42" s="1351"/>
      <c r="Y42" s="3734"/>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32"/>
      <c r="Q43" s="1348" t="str">
        <f t="shared" si="11"/>
        <v>内部装修维护情况</v>
      </c>
      <c r="R43" s="705" t="s">
        <v>18</v>
      </c>
      <c r="S43" s="706">
        <f t="shared" si="12"/>
        <v>100</v>
      </c>
      <c r="T43" s="705" t="s">
        <v>18</v>
      </c>
      <c r="U43" s="706">
        <f t="shared" si="13"/>
        <v>100</v>
      </c>
      <c r="V43" s="705" t="s">
        <v>18</v>
      </c>
      <c r="W43" s="706">
        <f t="shared" si="14"/>
        <v>100</v>
      </c>
      <c r="X43" s="1351"/>
      <c r="Y43" s="373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32"/>
      <c r="Q44" s="1339">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32"/>
      <c r="Q45" s="1348">
        <f t="shared" si="11"/>
        <v>111</v>
      </c>
      <c r="R45" s="705" t="s">
        <v>18</v>
      </c>
      <c r="S45" s="706">
        <f t="shared" si="12"/>
        <v>100</v>
      </c>
      <c r="T45" s="705" t="s">
        <v>18</v>
      </c>
      <c r="U45" s="706">
        <f t="shared" si="13"/>
        <v>100</v>
      </c>
      <c r="V45" s="705" t="s">
        <v>18</v>
      </c>
      <c r="W45" s="706">
        <f t="shared" si="14"/>
        <v>100</v>
      </c>
      <c r="X45" s="1351"/>
      <c r="Y45" s="373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33"/>
      <c r="Q46" s="1348">
        <f t="shared" si="11"/>
        <v>111</v>
      </c>
      <c r="R46" s="705" t="s">
        <v>17</v>
      </c>
      <c r="S46" s="706">
        <f t="shared" si="12"/>
        <v>100</v>
      </c>
      <c r="T46" s="705" t="s">
        <v>17</v>
      </c>
      <c r="U46" s="706">
        <f t="shared" si="13"/>
        <v>100</v>
      </c>
      <c r="V46" s="705" t="s">
        <v>17</v>
      </c>
      <c r="W46" s="706">
        <f t="shared" si="14"/>
        <v>100</v>
      </c>
      <c r="X46" s="1351"/>
      <c r="Y46" s="3735"/>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20"/>
      <c r="M47" s="2721"/>
      <c r="N47" s="2712"/>
      <c r="O47" s="2721"/>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1"/>
      <c r="L49" s="2720"/>
      <c r="M49" s="2721"/>
      <c r="N49" s="2721"/>
      <c r="O49" s="2721"/>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7"/>
      <c r="L57" s="938"/>
      <c r="M57" s="936"/>
      <c r="N57" s="936"/>
      <c r="O57" s="936"/>
      <c r="P57" s="1914"/>
      <c r="Q57" s="453"/>
    </row>
    <row r="58" spans="1:29" s="457" customFormat="1" ht="15">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2447.34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52" t="s">
        <v>1771</v>
      </c>
      <c r="S4" s="3753"/>
      <c r="T4" s="3752" t="s">
        <v>1772</v>
      </c>
      <c r="U4" s="3753"/>
      <c r="V4" s="3758" t="s">
        <v>1773</v>
      </c>
      <c r="W4" s="3758"/>
      <c r="X4" s="1351"/>
      <c r="Y4" s="3752" t="s">
        <v>1775</v>
      </c>
      <c r="Z4" s="3753"/>
      <c r="AA4" s="3739" t="s">
        <v>1771</v>
      </c>
      <c r="AB4" s="3758" t="s">
        <v>1772</v>
      </c>
      <c r="AC4" s="3739" t="s">
        <v>1773</v>
      </c>
    </row>
    <row r="5" spans="1:29" ht="15">
      <c r="A5" s="358"/>
      <c r="B5" s="359"/>
      <c r="C5" s="3761" t="s">
        <v>1673</v>
      </c>
      <c r="D5" s="3762"/>
      <c r="E5" s="3768" t="s">
        <v>1674</v>
      </c>
      <c r="F5" s="3769"/>
      <c r="G5" s="3761" t="s">
        <v>1675</v>
      </c>
      <c r="H5" s="3762"/>
      <c r="I5" s="3761" t="s">
        <v>1676</v>
      </c>
      <c r="J5" s="3762"/>
      <c r="K5" s="559"/>
      <c r="L5" s="2711"/>
      <c r="M5" s="2712"/>
      <c r="N5" s="2712"/>
      <c r="O5" s="2712"/>
      <c r="P5" s="3748"/>
      <c r="Q5" s="3749"/>
      <c r="R5" s="3754"/>
      <c r="S5" s="3755"/>
      <c r="T5" s="3754"/>
      <c r="U5" s="3755"/>
      <c r="V5" s="3758"/>
      <c r="W5" s="3758"/>
      <c r="X5" s="1351"/>
      <c r="Y5" s="3754"/>
      <c r="Z5" s="3755"/>
      <c r="AA5" s="3740"/>
      <c r="AB5" s="3758"/>
      <c r="AC5" s="3740"/>
    </row>
    <row r="6" spans="1:29" ht="15.75" thickBot="1">
      <c r="A6" s="360"/>
      <c r="B6" s="361"/>
      <c r="C6" s="3759" t="s">
        <v>1677</v>
      </c>
      <c r="D6" s="3760"/>
      <c r="E6" s="3766" t="s">
        <v>1677</v>
      </c>
      <c r="F6" s="3767"/>
      <c r="G6" s="3759" t="s">
        <v>1677</v>
      </c>
      <c r="H6" s="3760"/>
      <c r="I6" s="3759" t="s">
        <v>1677</v>
      </c>
      <c r="J6" s="3760"/>
      <c r="K6" s="559" t="s">
        <v>1678</v>
      </c>
      <c r="L6" s="2711"/>
      <c r="M6" s="2712"/>
      <c r="N6" s="2712"/>
      <c r="O6" s="2712"/>
      <c r="P6" s="3750"/>
      <c r="Q6" s="3751"/>
      <c r="R6" s="3754"/>
      <c r="S6" s="3755"/>
      <c r="T6" s="3756"/>
      <c r="U6" s="3757"/>
      <c r="V6" s="3758"/>
      <c r="W6" s="3758"/>
      <c r="X6" s="1351"/>
      <c r="Y6" s="3756"/>
      <c r="Z6" s="3757"/>
      <c r="AA6" s="3741"/>
      <c r="AB6" s="3758"/>
      <c r="AC6" s="3741"/>
    </row>
    <row r="7" spans="1:29" s="108" customFormat="1" ht="15.75" thickBot="1">
      <c r="A7" s="362" t="s">
        <v>1679</v>
      </c>
      <c r="B7" s="363"/>
      <c r="C7" s="364">
        <f>'数据-取费表'!B2</f>
        <v>45417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63" t="s">
        <v>1680</v>
      </c>
      <c r="Q7" s="3765"/>
      <c r="R7" s="701" t="s">
        <v>14</v>
      </c>
      <c r="S7" s="702">
        <f t="shared" ref="S7:S15" si="0">F7</f>
        <v>0</v>
      </c>
      <c r="T7" s="701" t="s">
        <v>14</v>
      </c>
      <c r="U7" s="702">
        <f t="shared" ref="U7:U15" si="1">H7</f>
        <v>0</v>
      </c>
      <c r="V7" s="701" t="s">
        <v>14</v>
      </c>
      <c r="W7" s="702">
        <f t="shared" ref="W7:W15" si="2">J7</f>
        <v>0</v>
      </c>
      <c r="X7" s="703"/>
      <c r="Y7" s="3763" t="s">
        <v>1680</v>
      </c>
      <c r="Z7" s="37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63" t="s">
        <v>1683</v>
      </c>
      <c r="Q8" s="3764"/>
      <c r="R8" s="701" t="s">
        <v>14</v>
      </c>
      <c r="S8" s="702">
        <f t="shared" si="0"/>
        <v>100</v>
      </c>
      <c r="T8" s="701" t="s">
        <v>14</v>
      </c>
      <c r="U8" s="702">
        <f t="shared" si="1"/>
        <v>100</v>
      </c>
      <c r="V8" s="701" t="s">
        <v>14</v>
      </c>
      <c r="W8" s="702">
        <f t="shared" si="2"/>
        <v>100</v>
      </c>
      <c r="X8" s="703"/>
      <c r="Y8" s="3763" t="s">
        <v>1683</v>
      </c>
      <c r="Z8" s="37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38" t="s">
        <v>1686</v>
      </c>
      <c r="Q9" s="1339"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38"/>
      <c r="Q10" s="1339"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38"/>
      <c r="Q11" s="1339" t="str">
        <f t="shared" si="6"/>
        <v>容积率</v>
      </c>
      <c r="R11" s="701" t="s">
        <v>14</v>
      </c>
      <c r="S11" s="702" t="e">
        <f t="shared" si="0"/>
        <v>#N/A</v>
      </c>
      <c r="T11" s="701" t="s">
        <v>14</v>
      </c>
      <c r="U11" s="702" t="e">
        <f t="shared" si="1"/>
        <v>#N/A</v>
      </c>
      <c r="V11" s="701" t="s">
        <v>14</v>
      </c>
      <c r="W11" s="702" t="e">
        <f t="shared" si="2"/>
        <v>#N/A</v>
      </c>
      <c r="X11" s="703"/>
      <c r="Y11" s="3583"/>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8"/>
      <c r="Q12" s="1339">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8"/>
      <c r="Q13" s="1339">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8"/>
      <c r="Q14" s="1339">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36" t="s">
        <v>1691</v>
      </c>
      <c r="Q15" s="1348" t="str">
        <f t="shared" si="6"/>
        <v>商业繁华度</v>
      </c>
      <c r="R15" s="705" t="s">
        <v>14</v>
      </c>
      <c r="S15" s="706">
        <f t="shared" si="0"/>
        <v>100</v>
      </c>
      <c r="T15" s="705" t="s">
        <v>14</v>
      </c>
      <c r="U15" s="706">
        <f t="shared" si="1"/>
        <v>100</v>
      </c>
      <c r="V15" s="705" t="s">
        <v>14</v>
      </c>
      <c r="W15" s="706">
        <f t="shared" si="2"/>
        <v>100</v>
      </c>
      <c r="X15" s="1351"/>
      <c r="Y15" s="372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37"/>
      <c r="Q16" s="1348"/>
      <c r="R16" s="705"/>
      <c r="S16" s="706"/>
      <c r="T16" s="705"/>
      <c r="U16" s="706"/>
      <c r="V16" s="705"/>
      <c r="W16" s="706"/>
      <c r="X16" s="1351"/>
      <c r="Y16" s="3730"/>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37"/>
      <c r="Q17" s="1348" t="str">
        <f>B17</f>
        <v>交通便捷度</v>
      </c>
      <c r="R17" s="705" t="s">
        <v>14</v>
      </c>
      <c r="S17" s="706">
        <f>F17</f>
        <v>100</v>
      </c>
      <c r="T17" s="705" t="s">
        <v>14</v>
      </c>
      <c r="U17" s="706">
        <f>H17</f>
        <v>100</v>
      </c>
      <c r="V17" s="705" t="s">
        <v>14</v>
      </c>
      <c r="W17" s="706">
        <f>J17</f>
        <v>100</v>
      </c>
      <c r="X17" s="1351"/>
      <c r="Y17" s="373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37"/>
      <c r="Q18" s="1348"/>
      <c r="R18" s="705"/>
      <c r="S18" s="706"/>
      <c r="T18" s="705"/>
      <c r="U18" s="706"/>
      <c r="V18" s="705"/>
      <c r="W18" s="706"/>
      <c r="X18" s="1351"/>
      <c r="Y18" s="3730"/>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37"/>
      <c r="Q19" s="1348" t="str">
        <f>B19</f>
        <v>公共配套设施</v>
      </c>
      <c r="R19" s="705" t="s">
        <v>14</v>
      </c>
      <c r="S19" s="706">
        <f>F19</f>
        <v>100</v>
      </c>
      <c r="T19" s="705" t="s">
        <v>14</v>
      </c>
      <c r="U19" s="706">
        <f>H19</f>
        <v>100</v>
      </c>
      <c r="V19" s="705" t="s">
        <v>14</v>
      </c>
      <c r="W19" s="706">
        <f>J19</f>
        <v>100</v>
      </c>
      <c r="X19" s="1351"/>
      <c r="Y19" s="373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37"/>
      <c r="Q20" s="1348"/>
      <c r="R20" s="705"/>
      <c r="S20" s="706"/>
      <c r="T20" s="705"/>
      <c r="U20" s="706"/>
      <c r="V20" s="705"/>
      <c r="W20" s="706"/>
      <c r="X20" s="1351"/>
      <c r="Y20" s="3730"/>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37"/>
      <c r="Q21" s="1348" t="str">
        <f>B21</f>
        <v>基础设施水平</v>
      </c>
      <c r="R21" s="705" t="s">
        <v>14</v>
      </c>
      <c r="S21" s="706">
        <f>F21</f>
        <v>100</v>
      </c>
      <c r="T21" s="705" t="s">
        <v>14</v>
      </c>
      <c r="U21" s="706">
        <f>H21</f>
        <v>100</v>
      </c>
      <c r="V21" s="705" t="s">
        <v>14</v>
      </c>
      <c r="W21" s="706">
        <f>J21</f>
        <v>100</v>
      </c>
      <c r="X21" s="1351"/>
      <c r="Y21" s="373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37"/>
      <c r="Q22" s="1348"/>
      <c r="R22" s="705"/>
      <c r="S22" s="706"/>
      <c r="T22" s="705"/>
      <c r="U22" s="706"/>
      <c r="V22" s="705"/>
      <c r="W22" s="706"/>
      <c r="X22" s="1351"/>
      <c r="Y22" s="3730"/>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37"/>
      <c r="Q23" s="1348" t="str">
        <f>B23</f>
        <v>自然及人文环境</v>
      </c>
      <c r="R23" s="705" t="s">
        <v>14</v>
      </c>
      <c r="S23" s="706">
        <f>F23</f>
        <v>100</v>
      </c>
      <c r="T23" s="705" t="s">
        <v>14</v>
      </c>
      <c r="U23" s="706">
        <f>H23</f>
        <v>100</v>
      </c>
      <c r="V23" s="705" t="s">
        <v>14</v>
      </c>
      <c r="W23" s="706">
        <f>J23</f>
        <v>100</v>
      </c>
      <c r="X23" s="1351"/>
      <c r="Y23" s="373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37"/>
      <c r="Q24" s="1348"/>
      <c r="R24" s="705"/>
      <c r="S24" s="706"/>
      <c r="T24" s="705"/>
      <c r="U24" s="706"/>
      <c r="V24" s="705"/>
      <c r="W24" s="706"/>
      <c r="X24" s="1351"/>
      <c r="Y24" s="3730"/>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37"/>
      <c r="Q25" s="1348" t="str">
        <f t="shared" ref="Q25:Q46" si="11">B25</f>
        <v>临街状况</v>
      </c>
      <c r="R25" s="705" t="s">
        <v>14</v>
      </c>
      <c r="S25" s="706">
        <f>F25</f>
        <v>100</v>
      </c>
      <c r="T25" s="705" t="s">
        <v>14</v>
      </c>
      <c r="U25" s="706">
        <f>H25</f>
        <v>100</v>
      </c>
      <c r="V25" s="705" t="s">
        <v>14</v>
      </c>
      <c r="W25" s="706">
        <f>J25</f>
        <v>100</v>
      </c>
      <c r="X25" s="1351"/>
      <c r="Y25" s="3730"/>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37"/>
      <c r="Q26" s="1348" t="str">
        <f t="shared" si="11"/>
        <v>平面位置/可视性</v>
      </c>
      <c r="R26" s="705" t="s">
        <v>14</v>
      </c>
      <c r="S26" s="706">
        <f>F26</f>
        <v>100</v>
      </c>
      <c r="T26" s="705" t="s">
        <v>14</v>
      </c>
      <c r="U26" s="706">
        <f>H26</f>
        <v>100</v>
      </c>
      <c r="V26" s="705" t="s">
        <v>14</v>
      </c>
      <c r="W26" s="706">
        <f>J26</f>
        <v>100</v>
      </c>
      <c r="X26" s="1351"/>
      <c r="Y26" s="3730"/>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37"/>
      <c r="Q27" s="1339" t="str">
        <f t="shared" si="11"/>
        <v>人流量</v>
      </c>
      <c r="R27" s="701" t="s">
        <v>14</v>
      </c>
      <c r="S27" s="702">
        <f>F27</f>
        <v>100</v>
      </c>
      <c r="T27" s="701" t="s">
        <v>14</v>
      </c>
      <c r="U27" s="702">
        <f>H27</f>
        <v>100</v>
      </c>
      <c r="V27" s="701" t="s">
        <v>14</v>
      </c>
      <c r="W27" s="702">
        <f>J27</f>
        <v>100</v>
      </c>
      <c r="X27" s="703"/>
      <c r="Y27" s="3730"/>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37"/>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3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37"/>
      <c r="Q29" s="1348">
        <f t="shared" si="11"/>
        <v>111</v>
      </c>
      <c r="R29" s="705" t="s">
        <v>14</v>
      </c>
      <c r="S29" s="706">
        <f t="shared" si="12"/>
        <v>100</v>
      </c>
      <c r="T29" s="705" t="s">
        <v>14</v>
      </c>
      <c r="U29" s="706">
        <f t="shared" si="13"/>
        <v>100</v>
      </c>
      <c r="V29" s="705" t="s">
        <v>14</v>
      </c>
      <c r="W29" s="706">
        <f t="shared" si="14"/>
        <v>100</v>
      </c>
      <c r="X29" s="1351"/>
      <c r="Y29" s="373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37"/>
      <c r="Q30" s="1348">
        <f t="shared" si="11"/>
        <v>111</v>
      </c>
      <c r="R30" s="705" t="s">
        <v>14</v>
      </c>
      <c r="S30" s="706">
        <f t="shared" si="12"/>
        <v>100</v>
      </c>
      <c r="T30" s="705" t="s">
        <v>14</v>
      </c>
      <c r="U30" s="706">
        <f t="shared" si="13"/>
        <v>100</v>
      </c>
      <c r="V30" s="705" t="s">
        <v>14</v>
      </c>
      <c r="W30" s="706">
        <f t="shared" si="14"/>
        <v>100</v>
      </c>
      <c r="X30" s="1351"/>
      <c r="Y30" s="373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37"/>
      <c r="Q31" s="1348">
        <f t="shared" si="11"/>
        <v>111</v>
      </c>
      <c r="R31" s="705" t="s">
        <v>14</v>
      </c>
      <c r="S31" s="706">
        <f t="shared" si="12"/>
        <v>100</v>
      </c>
      <c r="T31" s="705" t="s">
        <v>14</v>
      </c>
      <c r="U31" s="706">
        <f t="shared" si="13"/>
        <v>100</v>
      </c>
      <c r="V31" s="705" t="s">
        <v>14</v>
      </c>
      <c r="W31" s="706">
        <f t="shared" si="14"/>
        <v>100</v>
      </c>
      <c r="X31" s="1351"/>
      <c r="Y31" s="373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31" t="s">
        <v>1696</v>
      </c>
      <c r="Q32" s="1348" t="str">
        <f t="shared" si="11"/>
        <v>商业类型</v>
      </c>
      <c r="R32" s="705" t="s">
        <v>14</v>
      </c>
      <c r="S32" s="706">
        <f t="shared" si="12"/>
        <v>100</v>
      </c>
      <c r="T32" s="705" t="s">
        <v>14</v>
      </c>
      <c r="U32" s="706">
        <f t="shared" si="13"/>
        <v>100</v>
      </c>
      <c r="V32" s="705" t="s">
        <v>14</v>
      </c>
      <c r="W32" s="706">
        <f t="shared" si="14"/>
        <v>100</v>
      </c>
      <c r="X32" s="1351"/>
      <c r="Y32" s="373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32"/>
      <c r="Q34" s="1348" t="str">
        <f t="shared" si="11"/>
        <v>建筑结构</v>
      </c>
      <c r="R34" s="705" t="s">
        <v>14</v>
      </c>
      <c r="S34" s="706">
        <f t="shared" si="12"/>
        <v>100</v>
      </c>
      <c r="T34" s="705" t="s">
        <v>14</v>
      </c>
      <c r="U34" s="706">
        <f t="shared" si="13"/>
        <v>100</v>
      </c>
      <c r="V34" s="705" t="s">
        <v>14</v>
      </c>
      <c r="W34" s="706">
        <f t="shared" si="14"/>
        <v>100</v>
      </c>
      <c r="X34" s="1351"/>
      <c r="Y34" s="3734"/>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32"/>
      <c r="Q35" s="1348" t="str">
        <f t="shared" si="11"/>
        <v>公共部分装修</v>
      </c>
      <c r="R35" s="705" t="s">
        <v>14</v>
      </c>
      <c r="S35" s="706">
        <f t="shared" si="12"/>
        <v>100</v>
      </c>
      <c r="T35" s="705" t="s">
        <v>14</v>
      </c>
      <c r="U35" s="706">
        <f t="shared" si="13"/>
        <v>100</v>
      </c>
      <c r="V35" s="705" t="s">
        <v>14</v>
      </c>
      <c r="W35" s="706">
        <f t="shared" si="14"/>
        <v>100</v>
      </c>
      <c r="X35" s="1351"/>
      <c r="Y35" s="373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32"/>
      <c r="Q36" s="1348" t="str">
        <f t="shared" si="11"/>
        <v>成新度</v>
      </c>
      <c r="R36" s="705" t="s">
        <v>14</v>
      </c>
      <c r="S36" s="706" t="e">
        <f t="shared" si="12"/>
        <v>#N/A</v>
      </c>
      <c r="T36" s="705" t="s">
        <v>14</v>
      </c>
      <c r="U36" s="706" t="e">
        <f t="shared" si="13"/>
        <v>#N/A</v>
      </c>
      <c r="V36" s="705" t="s">
        <v>14</v>
      </c>
      <c r="W36" s="706" t="e">
        <f t="shared" si="14"/>
        <v>#N/A</v>
      </c>
      <c r="X36" s="1351"/>
      <c r="Y36" s="373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32"/>
      <c r="Q37" s="1339"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32" t="s">
        <v>1696</v>
      </c>
      <c r="Q38" s="1348" t="str">
        <f t="shared" si="11"/>
        <v>业态</v>
      </c>
      <c r="R38" s="705" t="s">
        <v>14</v>
      </c>
      <c r="S38" s="706">
        <f t="shared" si="12"/>
        <v>100</v>
      </c>
      <c r="T38" s="705" t="s">
        <v>14</v>
      </c>
      <c r="U38" s="706">
        <f t="shared" si="13"/>
        <v>100</v>
      </c>
      <c r="V38" s="705" t="s">
        <v>14</v>
      </c>
      <c r="W38" s="706">
        <f t="shared" si="14"/>
        <v>100</v>
      </c>
      <c r="X38" s="1351"/>
      <c r="Y38" s="373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32"/>
      <c r="Q39" s="1348" t="str">
        <f t="shared" si="11"/>
        <v>层高</v>
      </c>
      <c r="R39" s="705" t="s">
        <v>14</v>
      </c>
      <c r="S39" s="706">
        <f t="shared" si="12"/>
        <v>100</v>
      </c>
      <c r="T39" s="705" t="s">
        <v>14</v>
      </c>
      <c r="U39" s="706">
        <f t="shared" si="13"/>
        <v>100</v>
      </c>
      <c r="V39" s="705" t="s">
        <v>14</v>
      </c>
      <c r="W39" s="706">
        <f t="shared" si="14"/>
        <v>100</v>
      </c>
      <c r="X39" s="1351"/>
      <c r="Y39" s="3734"/>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32"/>
      <c r="Q40" s="1348" t="str">
        <f t="shared" si="11"/>
        <v>单套建筑面积</v>
      </c>
      <c r="R40" s="705" t="s">
        <v>14</v>
      </c>
      <c r="S40" s="706">
        <f t="shared" si="12"/>
        <v>100</v>
      </c>
      <c r="T40" s="705" t="s">
        <v>14</v>
      </c>
      <c r="U40" s="706">
        <f t="shared" si="13"/>
        <v>100</v>
      </c>
      <c r="V40" s="705" t="s">
        <v>14</v>
      </c>
      <c r="W40" s="706">
        <f t="shared" si="14"/>
        <v>100</v>
      </c>
      <c r="X40" s="1351"/>
      <c r="Y40" s="3734"/>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32"/>
      <c r="Q42" s="1348" t="str">
        <f t="shared" si="11"/>
        <v>内部装修</v>
      </c>
      <c r="R42" s="705" t="s">
        <v>14</v>
      </c>
      <c r="S42" s="706">
        <f t="shared" si="12"/>
        <v>100</v>
      </c>
      <c r="T42" s="705" t="s">
        <v>14</v>
      </c>
      <c r="U42" s="706">
        <f t="shared" si="13"/>
        <v>100</v>
      </c>
      <c r="V42" s="705" t="s">
        <v>14</v>
      </c>
      <c r="W42" s="706">
        <f t="shared" si="14"/>
        <v>100</v>
      </c>
      <c r="X42" s="1351"/>
      <c r="Y42" s="3734"/>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32"/>
      <c r="Q43" s="1348" t="str">
        <f t="shared" si="11"/>
        <v>内部装修维护情况</v>
      </c>
      <c r="R43" s="705" t="s">
        <v>14</v>
      </c>
      <c r="S43" s="706">
        <f t="shared" si="12"/>
        <v>100</v>
      </c>
      <c r="T43" s="705" t="s">
        <v>14</v>
      </c>
      <c r="U43" s="706">
        <f t="shared" si="13"/>
        <v>100</v>
      </c>
      <c r="V43" s="705" t="s">
        <v>14</v>
      </c>
      <c r="W43" s="706">
        <f t="shared" si="14"/>
        <v>100</v>
      </c>
      <c r="X43" s="1351"/>
      <c r="Y43" s="373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32"/>
      <c r="Q44" s="1339">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32"/>
      <c r="Q45" s="1348">
        <f t="shared" si="11"/>
        <v>111</v>
      </c>
      <c r="R45" s="705" t="s">
        <v>14</v>
      </c>
      <c r="S45" s="706">
        <f t="shared" si="12"/>
        <v>100</v>
      </c>
      <c r="T45" s="705" t="s">
        <v>14</v>
      </c>
      <c r="U45" s="706">
        <f t="shared" si="13"/>
        <v>100</v>
      </c>
      <c r="V45" s="705" t="s">
        <v>14</v>
      </c>
      <c r="W45" s="706">
        <f t="shared" si="14"/>
        <v>100</v>
      </c>
      <c r="X45" s="1351"/>
      <c r="Y45" s="373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33"/>
      <c r="Q46" s="1348">
        <f t="shared" si="11"/>
        <v>111</v>
      </c>
      <c r="R46" s="705" t="s">
        <v>14</v>
      </c>
      <c r="S46" s="706">
        <f t="shared" si="12"/>
        <v>100</v>
      </c>
      <c r="T46" s="705" t="s">
        <v>14</v>
      </c>
      <c r="U46" s="706">
        <f t="shared" si="13"/>
        <v>100</v>
      </c>
      <c r="V46" s="705" t="s">
        <v>14</v>
      </c>
      <c r="W46" s="706">
        <f t="shared" si="14"/>
        <v>100</v>
      </c>
      <c r="X46" s="1351"/>
      <c r="Y46" s="3735"/>
      <c r="Z46" s="1352">
        <f t="shared" si="15"/>
        <v>111</v>
      </c>
      <c r="AA46" s="1349">
        <f t="shared" si="3"/>
        <v>1</v>
      </c>
      <c r="AB46" s="1349">
        <f t="shared" si="4"/>
        <v>1</v>
      </c>
      <c r="AC46" s="1349">
        <f t="shared" si="5"/>
        <v>1</v>
      </c>
    </row>
    <row r="47" spans="1:29" ht="15">
      <c r="A47" s="430" t="s">
        <v>1708</v>
      </c>
      <c r="B47" s="431"/>
      <c r="C47" s="1150" t="s">
        <v>0</v>
      </c>
      <c r="D47" s="1151"/>
      <c r="E47" s="1152"/>
      <c r="F47" s="1153"/>
      <c r="G47" s="1154"/>
      <c r="H47" s="1155"/>
      <c r="I47" s="1152"/>
      <c r="J47" s="1155"/>
      <c r="K47" s="714"/>
      <c r="L47" s="2720"/>
      <c r="M47" s="2721"/>
      <c r="N47" s="2712"/>
      <c r="O47" s="2721"/>
      <c r="P47" s="3727" t="str">
        <f>A47</f>
        <v>成交单价（元/平方米）</v>
      </c>
      <c r="Q47" s="3727"/>
      <c r="R47" s="3758">
        <f>E47</f>
        <v>0</v>
      </c>
      <c r="S47" s="3758"/>
      <c r="T47" s="3758">
        <f>G47</f>
        <v>0</v>
      </c>
      <c r="U47" s="3758"/>
      <c r="V47" s="3758">
        <f>I47</f>
        <v>0</v>
      </c>
      <c r="W47" s="3758"/>
      <c r="X47" s="690"/>
      <c r="Y47" s="712"/>
      <c r="Z47" s="690"/>
      <c r="AA47" s="690"/>
      <c r="AB47" s="690"/>
      <c r="AC47" s="690"/>
    </row>
    <row r="48" spans="1:29" ht="15.7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20"/>
      <c r="M49" s="2721"/>
      <c r="N49" s="2712"/>
      <c r="O49" s="2721"/>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 怀柔区开放东路21号3幢1层、4幢1层、5幢1层、6幢1层、7-2幢1层全部房地产抵押价值进行了预评估。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 怀柔区开放东路21号3幢1层、4幢1层、5幢1层、6幢1层、7-2幢1层全部房地产，为所有。根据《国有土地使用证》[]，估价对象（分摊）出让国有建设用地使用权面积为5389.47平方米，建筑面积为2447.34平方米。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2024年5月5日（评估专业人员实地查勘之日）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5日，估价对象规划用途为厂房，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76" t="s">
        <v>1775</v>
      </c>
      <c r="Q4" s="3777"/>
      <c r="R4" s="3780" t="s">
        <v>1771</v>
      </c>
      <c r="S4" s="3781"/>
      <c r="T4" s="3780" t="s">
        <v>1772</v>
      </c>
      <c r="U4" s="3781"/>
      <c r="V4" s="3782" t="s">
        <v>1773</v>
      </c>
      <c r="W4" s="3782"/>
      <c r="X4" s="1954"/>
      <c r="Y4" s="3780" t="s">
        <v>1775</v>
      </c>
      <c r="Z4" s="3781"/>
      <c r="AA4" s="3784" t="s">
        <v>1771</v>
      </c>
      <c r="AB4" s="3784" t="s">
        <v>1772</v>
      </c>
      <c r="AC4" s="3773" t="s">
        <v>1773</v>
      </c>
    </row>
    <row r="5" spans="1:29" ht="15">
      <c r="A5" s="358"/>
      <c r="B5" s="359"/>
      <c r="C5" s="3761" t="s">
        <v>1673</v>
      </c>
      <c r="D5" s="3762"/>
      <c r="E5" s="3768" t="s">
        <v>1674</v>
      </c>
      <c r="F5" s="3769"/>
      <c r="G5" s="3761" t="s">
        <v>1675</v>
      </c>
      <c r="H5" s="3762"/>
      <c r="I5" s="3761" t="s">
        <v>1676</v>
      </c>
      <c r="J5" s="3762"/>
      <c r="K5" s="559"/>
      <c r="L5" s="2711"/>
      <c r="M5" s="2712"/>
      <c r="N5" s="2712"/>
      <c r="O5" s="2712"/>
      <c r="P5" s="3778"/>
      <c r="Q5" s="3749"/>
      <c r="R5" s="3754"/>
      <c r="S5" s="3755"/>
      <c r="T5" s="3754"/>
      <c r="U5" s="3755"/>
      <c r="V5" s="3758"/>
      <c r="W5" s="3758"/>
      <c r="X5" s="1351"/>
      <c r="Y5" s="3754"/>
      <c r="Z5" s="3755"/>
      <c r="AA5" s="3740"/>
      <c r="AB5" s="3740"/>
      <c r="AC5" s="3774"/>
    </row>
    <row r="6" spans="1:29" ht="15.75" thickBot="1">
      <c r="A6" s="360"/>
      <c r="B6" s="361"/>
      <c r="C6" s="3759" t="s">
        <v>1677</v>
      </c>
      <c r="D6" s="3760"/>
      <c r="E6" s="3766" t="s">
        <v>1677</v>
      </c>
      <c r="F6" s="3767"/>
      <c r="G6" s="3759" t="s">
        <v>1677</v>
      </c>
      <c r="H6" s="3760"/>
      <c r="I6" s="3759" t="s">
        <v>1677</v>
      </c>
      <c r="J6" s="3760"/>
      <c r="K6" s="559" t="s">
        <v>1678</v>
      </c>
      <c r="L6" s="2711"/>
      <c r="M6" s="2712"/>
      <c r="N6" s="2712"/>
      <c r="O6" s="2712"/>
      <c r="P6" s="3779"/>
      <c r="Q6" s="3751"/>
      <c r="R6" s="3754"/>
      <c r="S6" s="3755"/>
      <c r="T6" s="3756"/>
      <c r="U6" s="3757"/>
      <c r="V6" s="3758"/>
      <c r="W6" s="3758"/>
      <c r="X6" s="1351"/>
      <c r="Y6" s="3756"/>
      <c r="Z6" s="3757"/>
      <c r="AA6" s="3741"/>
      <c r="AB6" s="3741"/>
      <c r="AC6" s="3775"/>
    </row>
    <row r="7" spans="1:29" s="108" customFormat="1" ht="15.75" thickBot="1">
      <c r="A7" s="362" t="s">
        <v>1679</v>
      </c>
      <c r="B7" s="363"/>
      <c r="C7" s="364">
        <f>'数据-取费表'!B2</f>
        <v>45417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3" t="s">
        <v>1680</v>
      </c>
      <c r="Q7" s="3765"/>
      <c r="R7" s="701" t="s">
        <v>14</v>
      </c>
      <c r="S7" s="702">
        <f t="shared" ref="S7:S15" si="0">F7</f>
        <v>0</v>
      </c>
      <c r="T7" s="701" t="s">
        <v>14</v>
      </c>
      <c r="U7" s="702">
        <f t="shared" ref="U7:U15" si="1">H7</f>
        <v>0</v>
      </c>
      <c r="V7" s="701" t="s">
        <v>14</v>
      </c>
      <c r="W7" s="702">
        <f t="shared" ref="W7:W15" si="2">J7</f>
        <v>0</v>
      </c>
      <c r="X7" s="703"/>
      <c r="Y7" s="3763" t="s">
        <v>1680</v>
      </c>
      <c r="Z7" s="3764"/>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3" t="s">
        <v>1683</v>
      </c>
      <c r="Q8" s="3764"/>
      <c r="R8" s="701" t="s">
        <v>14</v>
      </c>
      <c r="S8" s="702">
        <f t="shared" si="0"/>
        <v>100</v>
      </c>
      <c r="T8" s="701" t="s">
        <v>14</v>
      </c>
      <c r="U8" s="702">
        <f t="shared" si="1"/>
        <v>100</v>
      </c>
      <c r="V8" s="701" t="s">
        <v>14</v>
      </c>
      <c r="W8" s="702">
        <f t="shared" si="2"/>
        <v>100</v>
      </c>
      <c r="X8" s="703"/>
      <c r="Y8" s="3763" t="s">
        <v>1683</v>
      </c>
      <c r="Z8" s="3764"/>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38" t="s">
        <v>1686</v>
      </c>
      <c r="Q9" s="1339"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38"/>
      <c r="Q10" s="1339"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8"/>
      <c r="Q11" s="1339" t="str">
        <f t="shared" si="6"/>
        <v>容积率</v>
      </c>
      <c r="R11" s="701" t="s">
        <v>14</v>
      </c>
      <c r="S11" s="702">
        <f t="shared" si="0"/>
        <v>100</v>
      </c>
      <c r="T11" s="701" t="s">
        <v>14</v>
      </c>
      <c r="U11" s="702">
        <f t="shared" si="1"/>
        <v>100</v>
      </c>
      <c r="V11" s="701" t="s">
        <v>14</v>
      </c>
      <c r="W11" s="702">
        <f t="shared" si="2"/>
        <v>100</v>
      </c>
      <c r="X11" s="703"/>
      <c r="Y11" s="3583"/>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38"/>
      <c r="Q12" s="1339">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38"/>
      <c r="Q13" s="1339">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38"/>
      <c r="Q14" s="1339">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36" t="s">
        <v>1691</v>
      </c>
      <c r="Q15" s="1348" t="str">
        <f t="shared" si="6"/>
        <v>办公集聚程度</v>
      </c>
      <c r="R15" s="705" t="s">
        <v>14</v>
      </c>
      <c r="S15" s="706">
        <f t="shared" si="0"/>
        <v>100</v>
      </c>
      <c r="T15" s="705" t="s">
        <v>14</v>
      </c>
      <c r="U15" s="706">
        <f t="shared" si="1"/>
        <v>100</v>
      </c>
      <c r="V15" s="705" t="s">
        <v>14</v>
      </c>
      <c r="W15" s="706">
        <f t="shared" si="2"/>
        <v>100</v>
      </c>
      <c r="X15" s="1351"/>
      <c r="Y15" s="3729"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37"/>
      <c r="Q16" s="1348"/>
      <c r="R16" s="705"/>
      <c r="S16" s="706"/>
      <c r="T16" s="705"/>
      <c r="U16" s="706"/>
      <c r="V16" s="705"/>
      <c r="W16" s="706"/>
      <c r="X16" s="1351"/>
      <c r="Y16" s="3730"/>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37"/>
      <c r="Q17" s="1348" t="str">
        <f>B17</f>
        <v>交通便捷度</v>
      </c>
      <c r="R17" s="705" t="s">
        <v>14</v>
      </c>
      <c r="S17" s="706">
        <f>F17</f>
        <v>100</v>
      </c>
      <c r="T17" s="705" t="s">
        <v>14</v>
      </c>
      <c r="U17" s="706">
        <f>H17</f>
        <v>100</v>
      </c>
      <c r="V17" s="705" t="s">
        <v>14</v>
      </c>
      <c r="W17" s="706">
        <f>J17</f>
        <v>100</v>
      </c>
      <c r="X17" s="1351"/>
      <c r="Y17" s="3730"/>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37"/>
      <c r="Q18" s="1348"/>
      <c r="R18" s="705"/>
      <c r="S18" s="706"/>
      <c r="T18" s="705"/>
      <c r="U18" s="706"/>
      <c r="V18" s="705"/>
      <c r="W18" s="706"/>
      <c r="X18" s="1351"/>
      <c r="Y18" s="3730"/>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37"/>
      <c r="Q19" s="1348" t="str">
        <f>B19</f>
        <v>公共配套设施</v>
      </c>
      <c r="R19" s="705" t="s">
        <v>14</v>
      </c>
      <c r="S19" s="706">
        <f>F19</f>
        <v>100</v>
      </c>
      <c r="T19" s="705" t="s">
        <v>14</v>
      </c>
      <c r="U19" s="706">
        <f>H19</f>
        <v>100</v>
      </c>
      <c r="V19" s="705" t="s">
        <v>14</v>
      </c>
      <c r="W19" s="706">
        <f>J19</f>
        <v>100</v>
      </c>
      <c r="X19" s="1351"/>
      <c r="Y19" s="3730"/>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37"/>
      <c r="Q20" s="1348"/>
      <c r="R20" s="705"/>
      <c r="S20" s="706"/>
      <c r="T20" s="705"/>
      <c r="U20" s="706"/>
      <c r="V20" s="705"/>
      <c r="W20" s="706"/>
      <c r="X20" s="1351"/>
      <c r="Y20" s="3730"/>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37"/>
      <c r="Q21" s="1348" t="str">
        <f>B21</f>
        <v>基础设施水平</v>
      </c>
      <c r="R21" s="705" t="s">
        <v>14</v>
      </c>
      <c r="S21" s="706">
        <f>F21</f>
        <v>100</v>
      </c>
      <c r="T21" s="705" t="s">
        <v>14</v>
      </c>
      <c r="U21" s="706">
        <f>H21</f>
        <v>100</v>
      </c>
      <c r="V21" s="705" t="s">
        <v>14</v>
      </c>
      <c r="W21" s="706">
        <f>J21</f>
        <v>100</v>
      </c>
      <c r="X21" s="1351"/>
      <c r="Y21" s="3730"/>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37"/>
      <c r="Q22" s="1348"/>
      <c r="R22" s="705"/>
      <c r="S22" s="706"/>
      <c r="T22" s="705"/>
      <c r="U22" s="706"/>
      <c r="V22" s="705"/>
      <c r="W22" s="706"/>
      <c r="X22" s="1351"/>
      <c r="Y22" s="3730"/>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37"/>
      <c r="Q23" s="1348" t="str">
        <f>B23</f>
        <v>环境质量</v>
      </c>
      <c r="R23" s="705" t="s">
        <v>14</v>
      </c>
      <c r="S23" s="706">
        <f>F23</f>
        <v>100</v>
      </c>
      <c r="T23" s="705" t="s">
        <v>14</v>
      </c>
      <c r="U23" s="706">
        <f>H23</f>
        <v>100</v>
      </c>
      <c r="V23" s="705" t="s">
        <v>14</v>
      </c>
      <c r="W23" s="706">
        <f>J23</f>
        <v>100</v>
      </c>
      <c r="X23" s="1351"/>
      <c r="Y23" s="3730"/>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37"/>
      <c r="Q24" s="1348"/>
      <c r="R24" s="705"/>
      <c r="S24" s="706"/>
      <c r="T24" s="705"/>
      <c r="U24" s="706"/>
      <c r="V24" s="705"/>
      <c r="W24" s="706"/>
      <c r="X24" s="1351"/>
      <c r="Y24" s="3730"/>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37"/>
      <c r="Q25" s="1348" t="str">
        <f>B25</f>
        <v>毗邻道路的类型与等级</v>
      </c>
      <c r="R25" s="705" t="s">
        <v>14</v>
      </c>
      <c r="S25" s="706">
        <f>F25</f>
        <v>100</v>
      </c>
      <c r="T25" s="705" t="s">
        <v>14</v>
      </c>
      <c r="U25" s="706">
        <f>H25</f>
        <v>100</v>
      </c>
      <c r="V25" s="705" t="s">
        <v>14</v>
      </c>
      <c r="W25" s="706">
        <f>J25</f>
        <v>100</v>
      </c>
      <c r="X25" s="1351"/>
      <c r="Y25" s="373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37"/>
      <c r="Q26" s="1348"/>
      <c r="R26" s="705"/>
      <c r="S26" s="706"/>
      <c r="T26" s="705"/>
      <c r="U26" s="706"/>
      <c r="V26" s="705"/>
      <c r="W26" s="706"/>
      <c r="X26" s="1351"/>
      <c r="Y26" s="3730"/>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37"/>
      <c r="Q27" s="1348" t="str">
        <f t="shared" ref="Q27:Q47" si="11">B27</f>
        <v>楼层</v>
      </c>
      <c r="R27" s="705" t="s">
        <v>14</v>
      </c>
      <c r="S27" s="706">
        <f>F27</f>
        <v>100</v>
      </c>
      <c r="T27" s="705" t="s">
        <v>14</v>
      </c>
      <c r="U27" s="706">
        <f>H27</f>
        <v>100</v>
      </c>
      <c r="V27" s="705" t="s">
        <v>14</v>
      </c>
      <c r="W27" s="706">
        <f>J27</f>
        <v>100</v>
      </c>
      <c r="X27" s="1351"/>
      <c r="Y27" s="3730"/>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37"/>
      <c r="Q28" s="1339" t="str">
        <f t="shared" si="11"/>
        <v>朝向</v>
      </c>
      <c r="R28" s="701" t="s">
        <v>14</v>
      </c>
      <c r="S28" s="702">
        <f>F28</f>
        <v>100</v>
      </c>
      <c r="T28" s="701" t="s">
        <v>14</v>
      </c>
      <c r="U28" s="702">
        <f>H28</f>
        <v>100</v>
      </c>
      <c r="V28" s="701" t="s">
        <v>14</v>
      </c>
      <c r="W28" s="702">
        <f>J28</f>
        <v>100</v>
      </c>
      <c r="X28" s="703"/>
      <c r="Y28" s="3730"/>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37"/>
      <c r="Q29" s="1348">
        <f t="shared" si="11"/>
        <v>111</v>
      </c>
      <c r="R29" s="705" t="s">
        <v>14</v>
      </c>
      <c r="S29" s="706">
        <f t="shared" ref="S29:S47" si="12">F29</f>
        <v>100</v>
      </c>
      <c r="T29" s="705" t="s">
        <v>14</v>
      </c>
      <c r="U29" s="706">
        <f t="shared" ref="U29:U47" si="13">H29</f>
        <v>100</v>
      </c>
      <c r="V29" s="705" t="s">
        <v>14</v>
      </c>
      <c r="W29" s="706">
        <f t="shared" ref="W29:W47" si="14">J29</f>
        <v>100</v>
      </c>
      <c r="X29" s="1351"/>
      <c r="Y29" s="3730"/>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37"/>
      <c r="Q30" s="1348">
        <f t="shared" si="11"/>
        <v>111</v>
      </c>
      <c r="R30" s="705" t="s">
        <v>14</v>
      </c>
      <c r="S30" s="706">
        <f t="shared" si="12"/>
        <v>100</v>
      </c>
      <c r="T30" s="705" t="s">
        <v>14</v>
      </c>
      <c r="U30" s="706">
        <f t="shared" si="13"/>
        <v>100</v>
      </c>
      <c r="V30" s="705" t="s">
        <v>14</v>
      </c>
      <c r="W30" s="706">
        <f t="shared" si="14"/>
        <v>100</v>
      </c>
      <c r="X30" s="1351"/>
      <c r="Y30" s="3730"/>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37"/>
      <c r="Q31" s="1348">
        <f t="shared" si="11"/>
        <v>111</v>
      </c>
      <c r="R31" s="705" t="s">
        <v>14</v>
      </c>
      <c r="S31" s="706">
        <f t="shared" si="12"/>
        <v>100</v>
      </c>
      <c r="T31" s="705" t="s">
        <v>14</v>
      </c>
      <c r="U31" s="706">
        <f t="shared" si="13"/>
        <v>100</v>
      </c>
      <c r="V31" s="705" t="s">
        <v>14</v>
      </c>
      <c r="W31" s="706">
        <f t="shared" si="14"/>
        <v>100</v>
      </c>
      <c r="X31" s="1351"/>
      <c r="Y31" s="3730"/>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37"/>
      <c r="Q32" s="1348">
        <f t="shared" si="11"/>
        <v>111</v>
      </c>
      <c r="R32" s="705" t="s">
        <v>14</v>
      </c>
      <c r="S32" s="706">
        <f t="shared" si="12"/>
        <v>100</v>
      </c>
      <c r="T32" s="705" t="s">
        <v>14</v>
      </c>
      <c r="U32" s="706">
        <f t="shared" si="13"/>
        <v>100</v>
      </c>
      <c r="V32" s="705" t="s">
        <v>14</v>
      </c>
      <c r="W32" s="706">
        <f t="shared" si="14"/>
        <v>100</v>
      </c>
      <c r="X32" s="1351"/>
      <c r="Y32" s="3730"/>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31" t="s">
        <v>1696</v>
      </c>
      <c r="Q33" s="1348" t="str">
        <f t="shared" si="11"/>
        <v>建筑类型</v>
      </c>
      <c r="R33" s="705" t="s">
        <v>14</v>
      </c>
      <c r="S33" s="706">
        <f t="shared" si="12"/>
        <v>100</v>
      </c>
      <c r="T33" s="705" t="s">
        <v>14</v>
      </c>
      <c r="U33" s="706">
        <f t="shared" si="13"/>
        <v>100</v>
      </c>
      <c r="V33" s="705" t="s">
        <v>14</v>
      </c>
      <c r="W33" s="706">
        <f t="shared" si="14"/>
        <v>100</v>
      </c>
      <c r="X33" s="1351"/>
      <c r="Y33" s="3734"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32"/>
      <c r="Q35" s="1348" t="str">
        <f t="shared" si="11"/>
        <v>建筑结构</v>
      </c>
      <c r="R35" s="705" t="s">
        <v>14</v>
      </c>
      <c r="S35" s="706">
        <f t="shared" si="12"/>
        <v>100</v>
      </c>
      <c r="T35" s="705" t="s">
        <v>14</v>
      </c>
      <c r="U35" s="706">
        <f t="shared" si="13"/>
        <v>100</v>
      </c>
      <c r="V35" s="705" t="s">
        <v>14</v>
      </c>
      <c r="W35" s="706">
        <f t="shared" si="14"/>
        <v>100</v>
      </c>
      <c r="X35" s="1351"/>
      <c r="Y35" s="3734"/>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32"/>
      <c r="Q36" s="1348" t="str">
        <f t="shared" si="11"/>
        <v>公共部分装修</v>
      </c>
      <c r="R36" s="705" t="s">
        <v>14</v>
      </c>
      <c r="S36" s="706">
        <f t="shared" si="12"/>
        <v>100</v>
      </c>
      <c r="T36" s="705" t="s">
        <v>14</v>
      </c>
      <c r="U36" s="706">
        <f t="shared" si="13"/>
        <v>100</v>
      </c>
      <c r="V36" s="705" t="s">
        <v>14</v>
      </c>
      <c r="W36" s="706">
        <f t="shared" si="14"/>
        <v>100</v>
      </c>
      <c r="X36" s="1351"/>
      <c r="Y36" s="3734"/>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32"/>
      <c r="Q37" s="1348" t="str">
        <f t="shared" si="11"/>
        <v>成新度</v>
      </c>
      <c r="R37" s="705" t="s">
        <v>14</v>
      </c>
      <c r="S37" s="706" t="e">
        <f t="shared" si="12"/>
        <v>#N/A</v>
      </c>
      <c r="T37" s="705" t="s">
        <v>14</v>
      </c>
      <c r="U37" s="706" t="e">
        <f t="shared" si="13"/>
        <v>#N/A</v>
      </c>
      <c r="V37" s="705" t="s">
        <v>14</v>
      </c>
      <c r="W37" s="706" t="e">
        <f t="shared" si="14"/>
        <v>#N/A</v>
      </c>
      <c r="X37" s="1351"/>
      <c r="Y37" s="3734"/>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32"/>
      <c r="Q38" s="1339"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32" t="s">
        <v>1696</v>
      </c>
      <c r="Q39" s="1348" t="str">
        <f t="shared" si="11"/>
        <v>物业管理</v>
      </c>
      <c r="R39" s="705" t="s">
        <v>14</v>
      </c>
      <c r="S39" s="706">
        <f t="shared" si="12"/>
        <v>100</v>
      </c>
      <c r="T39" s="705" t="s">
        <v>14</v>
      </c>
      <c r="U39" s="706">
        <f t="shared" si="13"/>
        <v>100</v>
      </c>
      <c r="V39" s="705" t="s">
        <v>14</v>
      </c>
      <c r="W39" s="706">
        <f t="shared" si="14"/>
        <v>100</v>
      </c>
      <c r="X39" s="1351"/>
      <c r="Y39" s="3734"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32"/>
      <c r="Q40" s="1348" t="str">
        <f t="shared" si="11"/>
        <v>市政基础设施</v>
      </c>
      <c r="R40" s="705" t="s">
        <v>14</v>
      </c>
      <c r="S40" s="706">
        <f t="shared" si="12"/>
        <v>100</v>
      </c>
      <c r="T40" s="705" t="s">
        <v>14</v>
      </c>
      <c r="U40" s="706">
        <f t="shared" si="13"/>
        <v>100</v>
      </c>
      <c r="V40" s="705" t="s">
        <v>14</v>
      </c>
      <c r="W40" s="706">
        <f t="shared" si="14"/>
        <v>100</v>
      </c>
      <c r="X40" s="1351"/>
      <c r="Y40" s="3734"/>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32"/>
      <c r="Q41" s="1348" t="str">
        <f t="shared" si="11"/>
        <v>层高</v>
      </c>
      <c r="R41" s="705" t="s">
        <v>14</v>
      </c>
      <c r="S41" s="706">
        <f t="shared" si="12"/>
        <v>100</v>
      </c>
      <c r="T41" s="705" t="s">
        <v>14</v>
      </c>
      <c r="U41" s="706">
        <f t="shared" si="13"/>
        <v>100</v>
      </c>
      <c r="V41" s="705" t="s">
        <v>14</v>
      </c>
      <c r="W41" s="706">
        <f t="shared" si="14"/>
        <v>100</v>
      </c>
      <c r="X41" s="1351"/>
      <c r="Y41" s="3734"/>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32"/>
      <c r="Q43" s="1348" t="str">
        <f t="shared" si="11"/>
        <v>内部装修</v>
      </c>
      <c r="R43" s="705" t="s">
        <v>14</v>
      </c>
      <c r="S43" s="706">
        <f t="shared" si="12"/>
        <v>100</v>
      </c>
      <c r="T43" s="705" t="s">
        <v>14</v>
      </c>
      <c r="U43" s="706">
        <f t="shared" si="13"/>
        <v>100</v>
      </c>
      <c r="V43" s="705" t="s">
        <v>14</v>
      </c>
      <c r="W43" s="706">
        <f t="shared" si="14"/>
        <v>100</v>
      </c>
      <c r="X43" s="1351"/>
      <c r="Y43" s="3734"/>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32"/>
      <c r="Q44" s="1348" t="str">
        <f t="shared" si="11"/>
        <v>内部装修维护情况</v>
      </c>
      <c r="R44" s="705" t="s">
        <v>14</v>
      </c>
      <c r="S44" s="706">
        <f t="shared" si="12"/>
        <v>100</v>
      </c>
      <c r="T44" s="705" t="s">
        <v>14</v>
      </c>
      <c r="U44" s="706">
        <f t="shared" si="13"/>
        <v>100</v>
      </c>
      <c r="V44" s="705" t="s">
        <v>14</v>
      </c>
      <c r="W44" s="706">
        <f t="shared" si="14"/>
        <v>100</v>
      </c>
      <c r="X44" s="1351"/>
      <c r="Y44" s="3734"/>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32"/>
      <c r="Q45" s="1339">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32"/>
      <c r="Q46" s="1348">
        <f t="shared" si="11"/>
        <v>111</v>
      </c>
      <c r="R46" s="705" t="s">
        <v>14</v>
      </c>
      <c r="S46" s="706">
        <f t="shared" si="12"/>
        <v>100</v>
      </c>
      <c r="T46" s="705" t="s">
        <v>14</v>
      </c>
      <c r="U46" s="706">
        <f t="shared" si="13"/>
        <v>100</v>
      </c>
      <c r="V46" s="705" t="s">
        <v>14</v>
      </c>
      <c r="W46" s="706">
        <f t="shared" si="14"/>
        <v>100</v>
      </c>
      <c r="X46" s="1351"/>
      <c r="Y46" s="3734"/>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33"/>
      <c r="Q47" s="1348">
        <f t="shared" si="11"/>
        <v>111</v>
      </c>
      <c r="R47" s="705" t="s">
        <v>14</v>
      </c>
      <c r="S47" s="706">
        <f t="shared" si="12"/>
        <v>100</v>
      </c>
      <c r="T47" s="705" t="s">
        <v>14</v>
      </c>
      <c r="U47" s="706">
        <f t="shared" si="13"/>
        <v>100</v>
      </c>
      <c r="V47" s="705" t="s">
        <v>14</v>
      </c>
      <c r="W47" s="706">
        <f t="shared" si="14"/>
        <v>100</v>
      </c>
      <c r="X47" s="1351"/>
      <c r="Y47" s="3735"/>
      <c r="Z47" s="1352">
        <f t="shared" si="15"/>
        <v>111</v>
      </c>
      <c r="AA47" s="1349">
        <f t="shared" si="3"/>
        <v>1</v>
      </c>
      <c r="AB47" s="1349">
        <f t="shared" si="4"/>
        <v>1</v>
      </c>
      <c r="AC47" s="1958">
        <f t="shared" si="5"/>
        <v>1</v>
      </c>
    </row>
    <row r="48" spans="1:29" ht="15">
      <c r="A48" s="430" t="s">
        <v>1708</v>
      </c>
      <c r="B48" s="431"/>
      <c r="C48" s="1150" t="s">
        <v>0</v>
      </c>
      <c r="D48" s="1151"/>
      <c r="E48" s="1152"/>
      <c r="F48" s="1153"/>
      <c r="G48" s="1154"/>
      <c r="H48" s="1155"/>
      <c r="I48" s="1152"/>
      <c r="J48" s="436"/>
      <c r="K48" s="714"/>
      <c r="L48" s="2720"/>
      <c r="M48" s="2712"/>
      <c r="N48" s="2712"/>
      <c r="O48" s="2712"/>
      <c r="P48" s="3738"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38"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20"/>
      <c r="M50" s="2712"/>
      <c r="N50" s="2712"/>
      <c r="O50" s="2712"/>
      <c r="P50" s="3770" t="str">
        <f>A50</f>
        <v>估价对象XX用房的比较价值（楼面单价，元/平方米）</v>
      </c>
      <c r="Q50" s="3771"/>
      <c r="R50" s="3772" t="e">
        <f>IF(F1="售价",ROUND(IF(D49="简单平均",AVERAGE(R49:V49),R49*F49+T49*H49+V49*J49),0),ROUND(IF(D49="简单平均",AVERAGE(R49:V49),R49*F49+T49*H49+V49*J49),1))</f>
        <v>#DIV/0!</v>
      </c>
      <c r="S50" s="3772"/>
      <c r="T50" s="3772"/>
      <c r="U50" s="3772"/>
      <c r="V50" s="3772"/>
      <c r="W50" s="3772"/>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8"/>
  <sheetViews>
    <sheetView workbookViewId="0">
      <selection activeCell="J4" sqref="J4"/>
    </sheetView>
  </sheetViews>
  <sheetFormatPr defaultRowHeight="13.5"/>
  <cols>
    <col min="2" max="2" width="12.375" customWidth="1"/>
    <col min="5" max="5" width="16.875" customWidth="1"/>
  </cols>
  <sheetData>
    <row r="1" spans="1:8">
      <c r="A1" s="3467" t="s">
        <v>3452</v>
      </c>
      <c r="B1" s="2667"/>
      <c r="C1" s="3467" t="s">
        <v>3448</v>
      </c>
      <c r="D1" s="3467" t="s">
        <v>3449</v>
      </c>
      <c r="E1" s="3467" t="s">
        <v>3450</v>
      </c>
      <c r="F1" s="3467" t="s">
        <v>3451</v>
      </c>
      <c r="H1" s="3467" t="s">
        <v>3497</v>
      </c>
    </row>
    <row r="2" spans="1:8">
      <c r="A2" s="2667"/>
      <c r="B2" s="3468">
        <v>44151</v>
      </c>
      <c r="C2" s="3468">
        <v>49618</v>
      </c>
      <c r="D2" s="2667"/>
      <c r="E2" s="2667"/>
      <c r="F2" s="2667"/>
    </row>
    <row r="3" spans="1:8">
      <c r="A3" s="2667">
        <v>1</v>
      </c>
      <c r="B3" s="3468">
        <v>44141</v>
      </c>
      <c r="C3" s="3468">
        <v>44505</v>
      </c>
      <c r="D3" s="2667">
        <v>365</v>
      </c>
      <c r="E3" s="2667">
        <v>1000000</v>
      </c>
      <c r="F3" s="2667">
        <f>ROUND(E3/D3/'数据-汇总表'!$E$3,2)</f>
        <v>1.1200000000000001</v>
      </c>
      <c r="H3" s="3486">
        <f>E4/E3-1</f>
        <v>0.10000000000000009</v>
      </c>
    </row>
    <row r="4" spans="1:8">
      <c r="A4" s="2667">
        <v>2</v>
      </c>
      <c r="B4" s="3468">
        <v>44506</v>
      </c>
      <c r="C4" s="3468">
        <v>44870</v>
      </c>
      <c r="D4" s="2667">
        <v>365</v>
      </c>
      <c r="E4" s="2667">
        <f>E3*1.1</f>
        <v>1100000</v>
      </c>
      <c r="F4" s="2667">
        <f>ROUND(E4/D4/'数据-汇总表'!$E$3,2)</f>
        <v>1.23</v>
      </c>
      <c r="H4" s="3486">
        <f t="shared" ref="H4:H16" si="0">E5/E4-1</f>
        <v>0.10000000000000009</v>
      </c>
    </row>
    <row r="5" spans="1:8">
      <c r="A5" s="2667">
        <v>3</v>
      </c>
      <c r="B5" s="3468">
        <f t="shared" ref="B5:B17" si="1">C4+1</f>
        <v>44871</v>
      </c>
      <c r="C5" s="3468">
        <v>45235</v>
      </c>
      <c r="D5" s="2667">
        <v>365</v>
      </c>
      <c r="E5" s="2667">
        <f>E4*1.1</f>
        <v>1210000</v>
      </c>
      <c r="F5" s="2667">
        <f>ROUND(E5/D5/'数据-汇总表'!$E$3,2)</f>
        <v>1.35</v>
      </c>
      <c r="H5" s="3486">
        <f t="shared" si="0"/>
        <v>0.10000000000000009</v>
      </c>
    </row>
    <row r="6" spans="1:8">
      <c r="A6" s="2667">
        <v>4</v>
      </c>
      <c r="B6" s="3468">
        <f t="shared" si="1"/>
        <v>45236</v>
      </c>
      <c r="C6" s="3468">
        <v>45601</v>
      </c>
      <c r="D6" s="2667">
        <v>365</v>
      </c>
      <c r="E6" s="2667">
        <f>E5*1.1</f>
        <v>1331000</v>
      </c>
      <c r="F6" s="2667">
        <f>ROUND(E6/D6/'数据-汇总表'!$E$3,2)</f>
        <v>1.49</v>
      </c>
      <c r="H6" s="3486">
        <f t="shared" si="0"/>
        <v>0.10000000000000009</v>
      </c>
    </row>
    <row r="7" spans="1:8">
      <c r="A7" s="2667">
        <v>5</v>
      </c>
      <c r="B7" s="3468">
        <f t="shared" si="1"/>
        <v>45602</v>
      </c>
      <c r="C7" s="3468">
        <v>45966</v>
      </c>
      <c r="D7" s="2667">
        <v>365</v>
      </c>
      <c r="E7" s="2667">
        <f>E6*1.1</f>
        <v>1464100.0000000002</v>
      </c>
      <c r="F7" s="2667">
        <f>ROUND(E7/D7/'数据-汇总表'!$E$3,2)</f>
        <v>1.64</v>
      </c>
      <c r="H7" s="3486">
        <f t="shared" si="0"/>
        <v>5.1840721262208733E-2</v>
      </c>
    </row>
    <row r="8" spans="1:8">
      <c r="A8" s="2667">
        <v>6</v>
      </c>
      <c r="B8" s="3468">
        <f t="shared" si="1"/>
        <v>45967</v>
      </c>
      <c r="C8" s="3468">
        <v>46331</v>
      </c>
      <c r="D8" s="2667">
        <v>365</v>
      </c>
      <c r="E8" s="2667">
        <v>1540000</v>
      </c>
      <c r="F8" s="2667">
        <f>ROUND(E8/D8/'数据-汇总表'!$E$3,2)</f>
        <v>1.72</v>
      </c>
      <c r="H8" s="3486">
        <f t="shared" si="0"/>
        <v>9.0909090909090828E-2</v>
      </c>
    </row>
    <row r="9" spans="1:8">
      <c r="A9" s="2667">
        <v>7</v>
      </c>
      <c r="B9" s="3468">
        <f t="shared" si="1"/>
        <v>46332</v>
      </c>
      <c r="C9" s="3468">
        <v>46696</v>
      </c>
      <c r="D9" s="2667">
        <v>365</v>
      </c>
      <c r="E9" s="2667">
        <v>1680000</v>
      </c>
      <c r="F9" s="2667">
        <f>ROUND(E9/D9/'数据-汇总表'!$E$3,2)</f>
        <v>1.88</v>
      </c>
      <c r="H9" s="3486">
        <f t="shared" si="0"/>
        <v>8.3333333333333259E-2</v>
      </c>
    </row>
    <row r="10" spans="1:8">
      <c r="A10" s="2667">
        <v>8</v>
      </c>
      <c r="B10" s="3468">
        <f t="shared" si="1"/>
        <v>46697</v>
      </c>
      <c r="C10" s="3468">
        <v>47062</v>
      </c>
      <c r="D10" s="2667">
        <v>365</v>
      </c>
      <c r="E10" s="2667">
        <v>1820000</v>
      </c>
      <c r="F10" s="2667">
        <f>ROUND(E10/D10/'数据-汇总表'!$E$3,2)</f>
        <v>2.04</v>
      </c>
      <c r="H10" s="3486">
        <f t="shared" si="0"/>
        <v>7.6923076923076872E-2</v>
      </c>
    </row>
    <row r="11" spans="1:8">
      <c r="A11" s="2667">
        <v>9</v>
      </c>
      <c r="B11" s="3468">
        <f t="shared" si="1"/>
        <v>47063</v>
      </c>
      <c r="C11" s="3468">
        <v>47427</v>
      </c>
      <c r="D11" s="2667">
        <v>365</v>
      </c>
      <c r="E11" s="2667">
        <v>1960000</v>
      </c>
      <c r="F11" s="2667">
        <f>ROUND(E11/D11/'数据-汇总表'!$E$3,2)</f>
        <v>2.19</v>
      </c>
      <c r="H11" s="3486">
        <f t="shared" si="0"/>
        <v>7.1428571428571397E-2</v>
      </c>
    </row>
    <row r="12" spans="1:8">
      <c r="A12" s="2667">
        <v>10</v>
      </c>
      <c r="B12" s="3468">
        <f t="shared" si="1"/>
        <v>47428</v>
      </c>
      <c r="C12" s="3468">
        <v>47792</v>
      </c>
      <c r="D12" s="2667">
        <v>365</v>
      </c>
      <c r="E12" s="2667">
        <v>2100000</v>
      </c>
      <c r="F12" s="2667">
        <f>ROUND(E12/D12/'数据-汇总表'!$E$3,2)</f>
        <v>2.35</v>
      </c>
      <c r="H12" s="3486">
        <f t="shared" si="0"/>
        <v>0.10000000000000009</v>
      </c>
    </row>
    <row r="13" spans="1:8">
      <c r="A13" s="2667">
        <v>11</v>
      </c>
      <c r="B13" s="3468">
        <f t="shared" si="1"/>
        <v>47793</v>
      </c>
      <c r="C13" s="3468">
        <v>48157</v>
      </c>
      <c r="D13" s="2667">
        <v>365</v>
      </c>
      <c r="E13" s="2667">
        <v>2310000</v>
      </c>
      <c r="F13" s="2667">
        <f>ROUND(E13/D13/'数据-汇总表'!$E$3,2)</f>
        <v>2.59</v>
      </c>
      <c r="H13" s="3486">
        <f t="shared" si="0"/>
        <v>9.0909090909090828E-2</v>
      </c>
    </row>
    <row r="14" spans="1:8">
      <c r="A14" s="2667">
        <v>12</v>
      </c>
      <c r="B14" s="3468">
        <f t="shared" si="1"/>
        <v>48158</v>
      </c>
      <c r="C14" s="3468">
        <v>48523</v>
      </c>
      <c r="D14" s="2667">
        <v>365</v>
      </c>
      <c r="E14" s="2667">
        <v>2520000</v>
      </c>
      <c r="F14" s="2667">
        <f>ROUND(E14/D14/'数据-汇总表'!$E$3,2)</f>
        <v>2.82</v>
      </c>
      <c r="H14" s="3486">
        <f t="shared" si="0"/>
        <v>8.3333333333333259E-2</v>
      </c>
    </row>
    <row r="15" spans="1:8">
      <c r="A15" s="2667">
        <v>13</v>
      </c>
      <c r="B15" s="3468">
        <f t="shared" si="1"/>
        <v>48524</v>
      </c>
      <c r="C15" s="3468">
        <v>48888</v>
      </c>
      <c r="D15" s="2667">
        <v>365</v>
      </c>
      <c r="E15" s="2667">
        <v>2730000</v>
      </c>
      <c r="F15" s="2667">
        <f>ROUND(E15/D15/'数据-汇总表'!$E$3,2)</f>
        <v>3.06</v>
      </c>
      <c r="H15" s="3486">
        <f t="shared" si="0"/>
        <v>7.6923076923076872E-2</v>
      </c>
    </row>
    <row r="16" spans="1:8">
      <c r="A16" s="2667">
        <v>14</v>
      </c>
      <c r="B16" s="3468">
        <f t="shared" si="1"/>
        <v>48889</v>
      </c>
      <c r="C16" s="3468">
        <v>49253</v>
      </c>
      <c r="D16" s="2667">
        <v>365</v>
      </c>
      <c r="E16" s="2667">
        <v>2940000</v>
      </c>
      <c r="F16" s="2667">
        <f>ROUND(E16/D16/'数据-汇总表'!$E$3,2)</f>
        <v>3.29</v>
      </c>
      <c r="H16" s="3486">
        <f t="shared" si="0"/>
        <v>7.1428571428571397E-2</v>
      </c>
    </row>
    <row r="17" spans="1:9">
      <c r="A17" s="2667">
        <v>15</v>
      </c>
      <c r="B17" s="3468">
        <f t="shared" si="1"/>
        <v>49254</v>
      </c>
      <c r="C17" s="3468">
        <v>49618</v>
      </c>
      <c r="D17" s="2667">
        <v>365</v>
      </c>
      <c r="E17" s="2667">
        <v>3150000</v>
      </c>
      <c r="F17" s="2667">
        <f>ROUND(E17/D17/'数据-汇总表'!$E$3,2)</f>
        <v>3.53</v>
      </c>
      <c r="H17" s="3486"/>
    </row>
    <row r="18" spans="1:9">
      <c r="A18" s="2667"/>
      <c r="B18" s="2667"/>
      <c r="C18" s="3468"/>
      <c r="D18" s="2667"/>
      <c r="E18" s="3467" t="s">
        <v>3457</v>
      </c>
      <c r="F18" s="2667">
        <f>ROUND(AVERAGE(F3:F17),2)</f>
        <v>2.15</v>
      </c>
      <c r="I18" s="3456" t="s">
        <v>3467</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workbookViewId="0">
      <selection activeCell="M16" sqref="M16"/>
    </sheetView>
  </sheetViews>
  <sheetFormatPr defaultRowHeight="13.5"/>
  <sheetData>
    <row r="1" spans="1:1">
      <c r="A1" s="3456"/>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3" sqref="E3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t="s">
        <v>3</v>
      </c>
      <c r="E1" s="3429"/>
      <c r="F1" s="1875" t="s">
        <v>3430</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t="s">
        <v>43</v>
      </c>
      <c r="D2" s="903">
        <f ca="1">IF(E1="项目模式",SUMIF(INDIRECT("'"&amp;F2&amp;"'"&amp;"!A:A"),"承租人权益价值",INDIRECT("'"&amp;F2&amp;"'"&amp;"!c:c")),SUMIF(INDIRECT("'"&amp;F2&amp;"'"&amp;"!A:A"),"承租人权益价值（单套）",INDIRECT("'"&amp;F2&amp;"'"&amp;"!c:c")))</f>
        <v>-723.01049999999998</v>
      </c>
      <c r="E2" s="1878" t="s">
        <v>1463</v>
      </c>
      <c r="F2" s="1879" t="s">
        <v>3406</v>
      </c>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0.9</v>
      </c>
      <c r="C3" s="354" t="s">
        <v>1768</v>
      </c>
      <c r="D3" s="353">
        <f>IF(D1="",'数据-汇总表'!E3,SUMIF('数据-汇总表'!$C19:$C33,D1,'数据-汇总表'!$E19:$E33))</f>
        <v>2447.34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909"/>
      <c r="M4" s="910"/>
      <c r="N4" s="910"/>
      <c r="O4" s="910"/>
      <c r="P4" s="3746" t="s">
        <v>1775</v>
      </c>
      <c r="Q4" s="3747"/>
      <c r="R4" s="3752" t="s">
        <v>1771</v>
      </c>
      <c r="S4" s="3753"/>
      <c r="T4" s="3752" t="s">
        <v>1772</v>
      </c>
      <c r="U4" s="3753"/>
      <c r="V4" s="3758" t="s">
        <v>1773</v>
      </c>
      <c r="W4" s="3758"/>
      <c r="X4" s="1351"/>
      <c r="Y4" s="3752" t="s">
        <v>1775</v>
      </c>
      <c r="Z4" s="3753"/>
      <c r="AA4" s="3739" t="s">
        <v>1771</v>
      </c>
      <c r="AB4" s="3740" t="s">
        <v>1772</v>
      </c>
      <c r="AC4" s="3739" t="s">
        <v>1773</v>
      </c>
    </row>
    <row r="5" spans="1:29" ht="15">
      <c r="A5" s="358"/>
      <c r="B5" s="359"/>
      <c r="C5" s="3761" t="s">
        <v>1673</v>
      </c>
      <c r="D5" s="3762"/>
      <c r="E5" s="3768" t="s">
        <v>1674</v>
      </c>
      <c r="F5" s="3769"/>
      <c r="G5" s="3761" t="s">
        <v>1675</v>
      </c>
      <c r="H5" s="3762"/>
      <c r="I5" s="3761" t="s">
        <v>1676</v>
      </c>
      <c r="J5" s="3762"/>
      <c r="K5" s="559"/>
      <c r="L5" s="909"/>
      <c r="M5" s="910"/>
      <c r="N5" s="910"/>
      <c r="O5" s="910"/>
      <c r="P5" s="3748"/>
      <c r="Q5" s="3749"/>
      <c r="R5" s="3754"/>
      <c r="S5" s="3755"/>
      <c r="T5" s="3754"/>
      <c r="U5" s="3755"/>
      <c r="V5" s="3758"/>
      <c r="W5" s="3758"/>
      <c r="X5" s="1351"/>
      <c r="Y5" s="3754"/>
      <c r="Z5" s="3755"/>
      <c r="AA5" s="3740"/>
      <c r="AB5" s="3740"/>
      <c r="AC5" s="3740"/>
    </row>
    <row r="6" spans="1:29" ht="15.75" thickBot="1">
      <c r="A6" s="360"/>
      <c r="B6" s="361"/>
      <c r="C6" s="3759" t="s">
        <v>1677</v>
      </c>
      <c r="D6" s="3760"/>
      <c r="E6" s="3766" t="s">
        <v>1677</v>
      </c>
      <c r="F6" s="3767"/>
      <c r="G6" s="3759" t="s">
        <v>1677</v>
      </c>
      <c r="H6" s="3760"/>
      <c r="I6" s="3759" t="s">
        <v>1677</v>
      </c>
      <c r="J6" s="3760"/>
      <c r="K6" s="559" t="s">
        <v>1678</v>
      </c>
      <c r="L6" s="909"/>
      <c r="M6" s="910"/>
      <c r="N6" s="910"/>
      <c r="O6" s="910"/>
      <c r="P6" s="3750"/>
      <c r="Q6" s="3751"/>
      <c r="R6" s="3754"/>
      <c r="S6" s="3755"/>
      <c r="T6" s="3756"/>
      <c r="U6" s="3757"/>
      <c r="V6" s="3758"/>
      <c r="W6" s="3758"/>
      <c r="X6" s="1351"/>
      <c r="Y6" s="3756"/>
      <c r="Z6" s="3757"/>
      <c r="AA6" s="3741"/>
      <c r="AB6" s="3741"/>
      <c r="AC6" s="3741"/>
    </row>
    <row r="7" spans="1:29" s="108" customFormat="1" ht="15.75" thickBot="1">
      <c r="A7" s="362" t="s">
        <v>1679</v>
      </c>
      <c r="B7" s="363"/>
      <c r="C7" s="364">
        <f>'数据-取费表'!B2</f>
        <v>45417</v>
      </c>
      <c r="D7" s="365">
        <v>100</v>
      </c>
      <c r="E7" s="366">
        <v>45406</v>
      </c>
      <c r="F7" s="367">
        <f>SUMIF(52:52,YEAR(E7)&amp;"-"&amp;MONTH(E7),53:53)</f>
        <v>100</v>
      </c>
      <c r="G7" s="366">
        <v>45375</v>
      </c>
      <c r="H7" s="365">
        <f>SUMIF(52:52,YEAR(G7)&amp;"-"&amp;MONTH(G7),53:53)</f>
        <v>100</v>
      </c>
      <c r="I7" s="366">
        <v>45436</v>
      </c>
      <c r="J7" s="365">
        <f>SUMIF(52:52,YEAR(I7)&amp;"-"&amp;MONTH(I7),53:53)</f>
        <v>100</v>
      </c>
      <c r="K7" s="560"/>
      <c r="L7" s="911"/>
      <c r="M7" s="912"/>
      <c r="N7" s="912"/>
      <c r="O7" s="912"/>
      <c r="P7" s="3763" t="s">
        <v>1680</v>
      </c>
      <c r="Q7" s="3765"/>
      <c r="R7" s="701" t="s">
        <v>14</v>
      </c>
      <c r="S7" s="702">
        <f t="shared" ref="S7:S15" si="0">F7</f>
        <v>100</v>
      </c>
      <c r="T7" s="701" t="s">
        <v>14</v>
      </c>
      <c r="U7" s="702">
        <f t="shared" ref="U7:U15" si="1">H7</f>
        <v>100</v>
      </c>
      <c r="V7" s="701" t="s">
        <v>14</v>
      </c>
      <c r="W7" s="702">
        <f t="shared" ref="W7:W15" si="2">J7</f>
        <v>100</v>
      </c>
      <c r="X7" s="703"/>
      <c r="Y7" s="3763" t="s">
        <v>1680</v>
      </c>
      <c r="Z7" s="3764"/>
      <c r="AA7" s="704">
        <f>D7/F7</f>
        <v>1</v>
      </c>
      <c r="AB7" s="704">
        <f>D7/H7</f>
        <v>1</v>
      </c>
      <c r="AC7" s="704">
        <f>D7/J7</f>
        <v>1</v>
      </c>
    </row>
    <row r="8" spans="1:29" s="108" customFormat="1" ht="15.75" thickBot="1">
      <c r="A8" s="362" t="s">
        <v>1681</v>
      </c>
      <c r="B8" s="363"/>
      <c r="C8" s="368" t="s">
        <v>3431</v>
      </c>
      <c r="D8" s="365">
        <v>100</v>
      </c>
      <c r="E8" s="368" t="s">
        <v>3432</v>
      </c>
      <c r="F8" s="367">
        <f>SUMIF(55:55,E8,56:56)-SUMIF(55:55,C8,56:56)+100</f>
        <v>101</v>
      </c>
      <c r="G8" s="368" t="s">
        <v>3432</v>
      </c>
      <c r="H8" s="365">
        <f>SUMIF(55:55,G8,56:56)-SUMIF(55:55,C8,56:56)+100</f>
        <v>101</v>
      </c>
      <c r="I8" s="368" t="s">
        <v>3432</v>
      </c>
      <c r="J8" s="365">
        <f>SUMIF(55:55,I8,56:56)-SUMIF(55:55,C8,56:56)+100</f>
        <v>101</v>
      </c>
      <c r="K8" s="560"/>
      <c r="L8" s="911"/>
      <c r="M8" s="912"/>
      <c r="N8" s="912"/>
      <c r="O8" s="912"/>
      <c r="P8" s="3763" t="s">
        <v>1683</v>
      </c>
      <c r="Q8" s="3764"/>
      <c r="R8" s="701" t="s">
        <v>14</v>
      </c>
      <c r="S8" s="702">
        <f t="shared" si="0"/>
        <v>101</v>
      </c>
      <c r="T8" s="701" t="s">
        <v>14</v>
      </c>
      <c r="U8" s="702">
        <f t="shared" si="1"/>
        <v>101</v>
      </c>
      <c r="V8" s="701" t="s">
        <v>14</v>
      </c>
      <c r="W8" s="702">
        <f t="shared" si="2"/>
        <v>101</v>
      </c>
      <c r="X8" s="703"/>
      <c r="Y8" s="3763" t="s">
        <v>1683</v>
      </c>
      <c r="Z8" s="3764"/>
      <c r="AA8" s="704">
        <f t="shared" ref="AA8:AA40" si="3">D8/F8</f>
        <v>0.99009900990099009</v>
      </c>
      <c r="AB8" s="704">
        <f t="shared" ref="AB8:AB40" si="4">D8/H8</f>
        <v>0.99009900990099009</v>
      </c>
      <c r="AC8" s="704">
        <f t="shared" ref="AC8:AC40" si="5">D8/J8</f>
        <v>0.99009900990099009</v>
      </c>
    </row>
    <row r="9" spans="1:29" s="108" customFormat="1">
      <c r="A9" s="369" t="s">
        <v>1684</v>
      </c>
      <c r="B9" s="63" t="s">
        <v>1685</v>
      </c>
      <c r="C9" s="3459" t="s">
        <v>3434</v>
      </c>
      <c r="D9" s="126">
        <v>100</v>
      </c>
      <c r="E9" s="373" t="s">
        <v>3388</v>
      </c>
      <c r="F9" s="126">
        <f>SUMIF(57:57,E9,58:58)-SUMIF(57:57,C9,58:58)+100</f>
        <v>100</v>
      </c>
      <c r="G9" s="371" t="s">
        <v>3388</v>
      </c>
      <c r="H9" s="126">
        <f>SUMIF(57:57,G9,58:58)-SUMIF(57:57,C9,58:58)+100</f>
        <v>100</v>
      </c>
      <c r="I9" s="371" t="s">
        <v>3388</v>
      </c>
      <c r="J9" s="126">
        <f>SUMIF(57:57,I9,58:58)-SUMIF(57:57,C9,58:58)+100</f>
        <v>100</v>
      </c>
      <c r="K9" s="560"/>
      <c r="L9" s="911"/>
      <c r="M9" s="912"/>
      <c r="N9" s="912"/>
      <c r="O9" s="913"/>
      <c r="P9" s="3727" t="s">
        <v>1686</v>
      </c>
      <c r="Q9" s="1339"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27"/>
      <c r="Q10" s="1339"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7"/>
      <c r="Q11" s="1339" t="str">
        <f t="shared" si="6"/>
        <v>容积率</v>
      </c>
      <c r="R11" s="701" t="s">
        <v>14</v>
      </c>
      <c r="S11" s="702">
        <f t="shared" si="0"/>
        <v>100</v>
      </c>
      <c r="T11" s="701" t="s">
        <v>14</v>
      </c>
      <c r="U11" s="702">
        <f t="shared" si="1"/>
        <v>100</v>
      </c>
      <c r="V11" s="701" t="s">
        <v>14</v>
      </c>
      <c r="W11" s="702">
        <f t="shared" si="2"/>
        <v>100</v>
      </c>
      <c r="X11" s="703"/>
      <c r="Y11" s="3583"/>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7"/>
      <c r="Q12" s="1339">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7"/>
      <c r="Q13" s="1339">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7"/>
      <c r="Q14" s="1339">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19"/>
      <c r="M15" s="910"/>
      <c r="N15" s="910"/>
      <c r="O15" s="918"/>
      <c r="P15" s="3729" t="s">
        <v>1691</v>
      </c>
      <c r="Q15" s="1348" t="str">
        <f t="shared" si="6"/>
        <v>产业集聚程度</v>
      </c>
      <c r="R15" s="705" t="s">
        <v>14</v>
      </c>
      <c r="S15" s="706">
        <f t="shared" si="0"/>
        <v>100</v>
      </c>
      <c r="T15" s="705" t="s">
        <v>14</v>
      </c>
      <c r="U15" s="706">
        <f t="shared" si="1"/>
        <v>100</v>
      </c>
      <c r="V15" s="705" t="s">
        <v>14</v>
      </c>
      <c r="W15" s="706">
        <f t="shared" si="2"/>
        <v>100</v>
      </c>
      <c r="X15" s="1351"/>
      <c r="Y15" s="3729" t="s">
        <v>1691</v>
      </c>
      <c r="Z15" s="1352" t="str">
        <f t="shared" si="7"/>
        <v>产业集聚程度</v>
      </c>
      <c r="AA15" s="1349">
        <f t="shared" si="3"/>
        <v>1</v>
      </c>
      <c r="AB15" s="1349">
        <f t="shared" si="4"/>
        <v>1</v>
      </c>
      <c r="AC15" s="1349">
        <f t="shared" si="5"/>
        <v>1</v>
      </c>
    </row>
    <row r="16" spans="1:29" ht="15">
      <c r="A16" s="379"/>
      <c r="B16" s="397"/>
      <c r="C16" s="398" t="s">
        <v>3415</v>
      </c>
      <c r="D16" s="399"/>
      <c r="E16" s="398" t="str">
        <f>C16</f>
        <v>一般</v>
      </c>
      <c r="F16" s="400"/>
      <c r="G16" s="398" t="s">
        <v>3415</v>
      </c>
      <c r="H16" s="401"/>
      <c r="I16" s="398" t="s">
        <v>3415</v>
      </c>
      <c r="J16" s="399"/>
      <c r="K16" s="564"/>
      <c r="L16" s="919"/>
      <c r="M16" s="910"/>
      <c r="N16" s="910"/>
      <c r="O16" s="918"/>
      <c r="P16" s="3730"/>
      <c r="Q16" s="1348"/>
      <c r="R16" s="705"/>
      <c r="S16" s="706"/>
      <c r="T16" s="705"/>
      <c r="U16" s="706"/>
      <c r="V16" s="705"/>
      <c r="W16" s="706"/>
      <c r="X16" s="1351"/>
      <c r="Y16" s="3730"/>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19"/>
      <c r="M17" s="910"/>
      <c r="N17" s="910"/>
      <c r="O17" s="918"/>
      <c r="P17" s="3730"/>
      <c r="Q17" s="1348" t="str">
        <f>B17</f>
        <v>交通便捷度</v>
      </c>
      <c r="R17" s="705" t="s">
        <v>14</v>
      </c>
      <c r="S17" s="706">
        <f>F17</f>
        <v>100</v>
      </c>
      <c r="T17" s="705" t="s">
        <v>14</v>
      </c>
      <c r="U17" s="706">
        <f>H17</f>
        <v>100</v>
      </c>
      <c r="V17" s="705" t="s">
        <v>14</v>
      </c>
      <c r="W17" s="706">
        <f>J17</f>
        <v>100</v>
      </c>
      <c r="X17" s="1351"/>
      <c r="Y17" s="3730"/>
      <c r="Z17" s="1352" t="str">
        <f>Q17</f>
        <v>交通便捷度</v>
      </c>
      <c r="AA17" s="1349">
        <f t="shared" si="3"/>
        <v>1</v>
      </c>
      <c r="AB17" s="1349">
        <f t="shared" si="4"/>
        <v>1</v>
      </c>
      <c r="AC17" s="1349">
        <f t="shared" si="5"/>
        <v>1</v>
      </c>
    </row>
    <row r="18" spans="1:29" ht="15">
      <c r="A18" s="379"/>
      <c r="B18" s="407"/>
      <c r="C18" s="1897" t="s">
        <v>3415</v>
      </c>
      <c r="D18" s="401"/>
      <c r="E18" s="1899" t="s">
        <v>3415</v>
      </c>
      <c r="F18" s="404"/>
      <c r="G18" s="1898" t="s">
        <v>3415</v>
      </c>
      <c r="H18" s="399"/>
      <c r="I18" s="1899" t="s">
        <v>3415</v>
      </c>
      <c r="J18" s="399"/>
      <c r="K18" s="564"/>
      <c r="L18" s="919"/>
      <c r="M18" s="910"/>
      <c r="N18" s="910"/>
      <c r="O18" s="918"/>
      <c r="P18" s="3730"/>
      <c r="Q18" s="1348"/>
      <c r="R18" s="705"/>
      <c r="S18" s="706"/>
      <c r="T18" s="705"/>
      <c r="U18" s="706"/>
      <c r="V18" s="705"/>
      <c r="W18" s="706"/>
      <c r="X18" s="1351"/>
      <c r="Y18" s="3730"/>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19"/>
      <c r="M19" s="910"/>
      <c r="N19" s="910"/>
      <c r="O19" s="918"/>
      <c r="P19" s="3730"/>
      <c r="Q19" s="1348" t="str">
        <f>B19</f>
        <v>公共配套设施</v>
      </c>
      <c r="R19" s="705" t="s">
        <v>14</v>
      </c>
      <c r="S19" s="706">
        <f>F19</f>
        <v>100</v>
      </c>
      <c r="T19" s="705" t="s">
        <v>14</v>
      </c>
      <c r="U19" s="706">
        <f>H19</f>
        <v>100</v>
      </c>
      <c r="V19" s="705" t="s">
        <v>14</v>
      </c>
      <c r="W19" s="706">
        <f>J19</f>
        <v>100</v>
      </c>
      <c r="X19" s="1351"/>
      <c r="Y19" s="3730"/>
      <c r="Z19" s="1352" t="str">
        <f>Q19</f>
        <v>公共配套设施</v>
      </c>
      <c r="AA19" s="1349">
        <f t="shared" si="3"/>
        <v>1</v>
      </c>
      <c r="AB19" s="1349">
        <f t="shared" si="4"/>
        <v>1</v>
      </c>
      <c r="AC19" s="1349">
        <f t="shared" si="5"/>
        <v>1</v>
      </c>
    </row>
    <row r="20" spans="1:29" ht="15">
      <c r="A20" s="379"/>
      <c r="B20" s="407"/>
      <c r="C20" s="398" t="s">
        <v>3415</v>
      </c>
      <c r="D20" s="399"/>
      <c r="E20" s="1894" t="s">
        <v>3415</v>
      </c>
      <c r="F20" s="400"/>
      <c r="G20" s="1893" t="s">
        <v>3415</v>
      </c>
      <c r="H20" s="399"/>
      <c r="I20" s="1894" t="s">
        <v>3415</v>
      </c>
      <c r="J20" s="399"/>
      <c r="K20" s="564"/>
      <c r="L20" s="919"/>
      <c r="M20" s="910"/>
      <c r="N20" s="910"/>
      <c r="O20" s="918"/>
      <c r="P20" s="3730"/>
      <c r="Q20" s="1348"/>
      <c r="R20" s="705"/>
      <c r="S20" s="706"/>
      <c r="T20" s="705"/>
      <c r="U20" s="706"/>
      <c r="V20" s="705"/>
      <c r="W20" s="706"/>
      <c r="X20" s="1351"/>
      <c r="Y20" s="3730"/>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19"/>
      <c r="M21" s="910"/>
      <c r="N21" s="910"/>
      <c r="O21" s="918"/>
      <c r="P21" s="3730"/>
      <c r="Q21" s="1348" t="str">
        <f>B21</f>
        <v>基础设施水平</v>
      </c>
      <c r="R21" s="705" t="s">
        <v>14</v>
      </c>
      <c r="S21" s="706">
        <f>F21</f>
        <v>100</v>
      </c>
      <c r="T21" s="705" t="s">
        <v>14</v>
      </c>
      <c r="U21" s="706">
        <f>H21</f>
        <v>100</v>
      </c>
      <c r="V21" s="705" t="s">
        <v>14</v>
      </c>
      <c r="W21" s="706">
        <f>J21</f>
        <v>100</v>
      </c>
      <c r="X21" s="1351"/>
      <c r="Y21" s="3730"/>
      <c r="Z21" s="1352" t="str">
        <f>Q21</f>
        <v>基础设施水平</v>
      </c>
      <c r="AA21" s="1349">
        <f t="shared" ref="AA21" si="8">D21/F21</f>
        <v>1</v>
      </c>
      <c r="AB21" s="1349">
        <f t="shared" ref="AB21" si="9">D21/H21</f>
        <v>1</v>
      </c>
      <c r="AC21" s="1349">
        <f t="shared" ref="AC21" si="10">D21/J21</f>
        <v>1</v>
      </c>
    </row>
    <row r="22" spans="1:29" ht="15">
      <c r="A22" s="379"/>
      <c r="B22" s="1127"/>
      <c r="C22" s="1897" t="s">
        <v>3435</v>
      </c>
      <c r="D22" s="399"/>
      <c r="E22" s="398" t="s">
        <v>3435</v>
      </c>
      <c r="F22" s="400"/>
      <c r="G22" s="398" t="s">
        <v>3435</v>
      </c>
      <c r="H22" s="399"/>
      <c r="I22" s="398" t="s">
        <v>3435</v>
      </c>
      <c r="J22" s="399"/>
      <c r="K22" s="1126"/>
      <c r="L22" s="919"/>
      <c r="M22" s="910"/>
      <c r="N22" s="910"/>
      <c r="O22" s="918"/>
      <c r="P22" s="3730"/>
      <c r="Q22" s="1348"/>
      <c r="R22" s="705"/>
      <c r="S22" s="706"/>
      <c r="T22" s="705"/>
      <c r="U22" s="706"/>
      <c r="V22" s="705"/>
      <c r="W22" s="706"/>
      <c r="X22" s="1351"/>
      <c r="Y22" s="3730"/>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19"/>
      <c r="M23" s="910"/>
      <c r="N23" s="910"/>
      <c r="O23" s="918"/>
      <c r="P23" s="3730"/>
      <c r="Q23" s="1348" t="str">
        <f>B23</f>
        <v>环境质量</v>
      </c>
      <c r="R23" s="705" t="s">
        <v>14</v>
      </c>
      <c r="S23" s="706">
        <f>F23</f>
        <v>100</v>
      </c>
      <c r="T23" s="705" t="s">
        <v>14</v>
      </c>
      <c r="U23" s="706">
        <f>H23</f>
        <v>100</v>
      </c>
      <c r="V23" s="705" t="s">
        <v>14</v>
      </c>
      <c r="W23" s="706">
        <f>J23</f>
        <v>100</v>
      </c>
      <c r="X23" s="1351"/>
      <c r="Y23" s="3730"/>
      <c r="Z23" s="1352" t="str">
        <f>Q23</f>
        <v>环境质量</v>
      </c>
      <c r="AA23" s="1349">
        <f t="shared" si="3"/>
        <v>1</v>
      </c>
      <c r="AB23" s="1349">
        <f t="shared" si="4"/>
        <v>1</v>
      </c>
      <c r="AC23" s="1349">
        <f t="shared" si="5"/>
        <v>1</v>
      </c>
    </row>
    <row r="24" spans="1:29" ht="15">
      <c r="A24" s="379"/>
      <c r="B24" s="1127"/>
      <c r="C24" s="398" t="s">
        <v>3415</v>
      </c>
      <c r="D24" s="399"/>
      <c r="E24" s="1894" t="s">
        <v>3415</v>
      </c>
      <c r="F24" s="400"/>
      <c r="G24" s="1893" t="s">
        <v>3415</v>
      </c>
      <c r="H24" s="399"/>
      <c r="I24" s="1894" t="s">
        <v>3415</v>
      </c>
      <c r="J24" s="399"/>
      <c r="K24" s="564"/>
      <c r="L24" s="919"/>
      <c r="M24" s="910"/>
      <c r="N24" s="910"/>
      <c r="O24" s="918"/>
      <c r="P24" s="3730"/>
      <c r="Q24" s="1348"/>
      <c r="R24" s="705"/>
      <c r="S24" s="706"/>
      <c r="T24" s="705"/>
      <c r="U24" s="706"/>
      <c r="V24" s="705"/>
      <c r="W24" s="706"/>
      <c r="X24" s="1351"/>
      <c r="Y24" s="373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30"/>
      <c r="Q25" s="1348">
        <f>B25</f>
        <v>111</v>
      </c>
      <c r="R25" s="705" t="s">
        <v>14</v>
      </c>
      <c r="S25" s="706">
        <f>F25</f>
        <v>100</v>
      </c>
      <c r="T25" s="705" t="s">
        <v>14</v>
      </c>
      <c r="U25" s="706">
        <f>H25</f>
        <v>100</v>
      </c>
      <c r="V25" s="705" t="s">
        <v>14</v>
      </c>
      <c r="W25" s="706">
        <f>J25</f>
        <v>100</v>
      </c>
      <c r="X25" s="1351"/>
      <c r="Y25" s="373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30"/>
      <c r="Q26" s="1348">
        <f t="shared" ref="Q26:Q40" si="11">B26</f>
        <v>111</v>
      </c>
      <c r="R26" s="705" t="s">
        <v>14</v>
      </c>
      <c r="S26" s="706">
        <f>F26</f>
        <v>100</v>
      </c>
      <c r="T26" s="705" t="s">
        <v>14</v>
      </c>
      <c r="U26" s="706">
        <f>H26</f>
        <v>100</v>
      </c>
      <c r="V26" s="705" t="s">
        <v>14</v>
      </c>
      <c r="W26" s="706">
        <f>J26</f>
        <v>100</v>
      </c>
      <c r="X26" s="1351"/>
      <c r="Y26" s="373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30"/>
      <c r="Q27" s="1339">
        <f t="shared" si="11"/>
        <v>111</v>
      </c>
      <c r="R27" s="701" t="s">
        <v>14</v>
      </c>
      <c r="S27" s="702">
        <f>F27</f>
        <v>100</v>
      </c>
      <c r="T27" s="701" t="s">
        <v>14</v>
      </c>
      <c r="U27" s="702">
        <f>H27</f>
        <v>100</v>
      </c>
      <c r="V27" s="701" t="s">
        <v>14</v>
      </c>
      <c r="W27" s="702">
        <f>J27</f>
        <v>100</v>
      </c>
      <c r="X27" s="703"/>
      <c r="Y27" s="373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30"/>
      <c r="Q28" s="1348">
        <f t="shared" si="11"/>
        <v>111</v>
      </c>
      <c r="R28" s="705" t="s">
        <v>14</v>
      </c>
      <c r="S28" s="706">
        <f t="shared" ref="S28:S40" si="12">F28</f>
        <v>100</v>
      </c>
      <c r="T28" s="705" t="s">
        <v>14</v>
      </c>
      <c r="U28" s="706">
        <f t="shared" ref="U28:U40" si="13">H28</f>
        <v>100</v>
      </c>
      <c r="V28" s="705" t="s">
        <v>14</v>
      </c>
      <c r="W28" s="706">
        <f t="shared" ref="W28:W40" si="14">J28</f>
        <v>100</v>
      </c>
      <c r="X28" s="1351"/>
      <c r="Y28" s="3730"/>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5" t="s">
        <v>1696</v>
      </c>
      <c r="Q29" s="1348" t="str">
        <f t="shared" si="11"/>
        <v>建筑类型</v>
      </c>
      <c r="R29" s="705" t="s">
        <v>14</v>
      </c>
      <c r="S29" s="706">
        <f t="shared" si="12"/>
        <v>100</v>
      </c>
      <c r="T29" s="705" t="s">
        <v>14</v>
      </c>
      <c r="U29" s="706">
        <f t="shared" si="13"/>
        <v>100</v>
      </c>
      <c r="V29" s="705" t="s">
        <v>14</v>
      </c>
      <c r="W29" s="706">
        <f t="shared" si="14"/>
        <v>100</v>
      </c>
      <c r="X29" s="1351"/>
      <c r="Y29" s="3734" t="s">
        <v>1696</v>
      </c>
      <c r="Z29" s="1352" t="str">
        <f t="shared" si="15"/>
        <v>建筑类型</v>
      </c>
      <c r="AA29" s="1349">
        <f t="shared" si="3"/>
        <v>1</v>
      </c>
      <c r="AB29" s="1349">
        <f t="shared" si="4"/>
        <v>1</v>
      </c>
      <c r="AC29" s="1349">
        <f t="shared" si="5"/>
        <v>1</v>
      </c>
    </row>
    <row r="30" spans="1:29" s="422" customFormat="1" ht="15">
      <c r="A30" s="419"/>
      <c r="B30" s="375" t="s">
        <v>1697</v>
      </c>
      <c r="C30" s="420">
        <f>'数据-汇总表'!F19</f>
        <v>2447.34</v>
      </c>
      <c r="D30" s="127">
        <v>100</v>
      </c>
      <c r="E30" s="381">
        <v>6000</v>
      </c>
      <c r="F30" s="376">
        <f>LOOKUP(E30,91:91,92:92)-LOOKUP(C30,91:91,92:92)+100</f>
        <v>96</v>
      </c>
      <c r="G30" s="380">
        <v>750</v>
      </c>
      <c r="H30" s="127">
        <f>LOOKUP(G30,91:91,92:92)-LOOKUP(C30,91:91,92:92)+100</f>
        <v>96</v>
      </c>
      <c r="I30" s="380">
        <v>330</v>
      </c>
      <c r="J30" s="127">
        <f>LOOKUP(I30,91:91,92:92)-LOOKUP(C30,91:91,92:92)+100</f>
        <v>94</v>
      </c>
      <c r="K30" s="562"/>
      <c r="L30" s="917"/>
      <c r="M30" s="920"/>
      <c r="N30" s="920"/>
      <c r="O30" s="921"/>
      <c r="P30" s="3734"/>
      <c r="Q30" s="707" t="str">
        <f t="shared" si="11"/>
        <v>项目建筑规模</v>
      </c>
      <c r="R30" s="708" t="s">
        <v>14</v>
      </c>
      <c r="S30" s="709">
        <f t="shared" si="12"/>
        <v>96</v>
      </c>
      <c r="T30" s="708" t="s">
        <v>14</v>
      </c>
      <c r="U30" s="709">
        <f t="shared" si="13"/>
        <v>96</v>
      </c>
      <c r="V30" s="708" t="s">
        <v>14</v>
      </c>
      <c r="W30" s="709">
        <f t="shared" si="14"/>
        <v>94</v>
      </c>
      <c r="X30" s="710"/>
      <c r="Y30" s="3734"/>
      <c r="Z30" s="711" t="str">
        <f t="shared" si="15"/>
        <v>项目建筑规模</v>
      </c>
      <c r="AA30" s="1349">
        <f t="shared" si="3"/>
        <v>1.0416666666666667</v>
      </c>
      <c r="AB30" s="1349">
        <f t="shared" si="4"/>
        <v>1.0416666666666667</v>
      </c>
      <c r="AC30" s="1349">
        <f t="shared" si="5"/>
        <v>1.0638297872340425</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19"/>
      <c r="M31" s="910"/>
      <c r="N31" s="910"/>
      <c r="O31" s="918"/>
      <c r="P31" s="3734"/>
      <c r="Q31" s="1348" t="str">
        <f t="shared" si="11"/>
        <v>建筑结构</v>
      </c>
      <c r="R31" s="705" t="s">
        <v>14</v>
      </c>
      <c r="S31" s="706">
        <f t="shared" si="12"/>
        <v>100</v>
      </c>
      <c r="T31" s="705" t="s">
        <v>14</v>
      </c>
      <c r="U31" s="706">
        <f t="shared" si="13"/>
        <v>100</v>
      </c>
      <c r="V31" s="705" t="s">
        <v>14</v>
      </c>
      <c r="W31" s="706">
        <f t="shared" si="14"/>
        <v>100</v>
      </c>
      <c r="X31" s="1351"/>
      <c r="Y31" s="3734"/>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3465"/>
      <c r="H32" s="386">
        <f>SUMIF(95:95,G32,96:96)-SUMIF(95:95,C32,96:96)+100</f>
        <v>100</v>
      </c>
      <c r="I32" s="411"/>
      <c r="J32" s="386">
        <f>SUMIF(95:95,I32,96:96)-SUMIF(95:95,C32,96:96)+100</f>
        <v>100</v>
      </c>
      <c r="K32" s="561">
        <v>2</v>
      </c>
      <c r="L32" s="919"/>
      <c r="M32" s="910"/>
      <c r="N32" s="910"/>
      <c r="O32" s="918"/>
      <c r="P32" s="3734"/>
      <c r="Q32" s="1348" t="str">
        <f t="shared" si="11"/>
        <v>公共部分装修</v>
      </c>
      <c r="R32" s="705" t="s">
        <v>14</v>
      </c>
      <c r="S32" s="706">
        <f t="shared" si="12"/>
        <v>100</v>
      </c>
      <c r="T32" s="705" t="s">
        <v>14</v>
      </c>
      <c r="U32" s="706">
        <f t="shared" si="13"/>
        <v>100</v>
      </c>
      <c r="V32" s="705" t="s">
        <v>14</v>
      </c>
      <c r="W32" s="706">
        <f t="shared" si="14"/>
        <v>100</v>
      </c>
      <c r="X32" s="1351"/>
      <c r="Y32" s="3734"/>
      <c r="Z32" s="1352" t="str">
        <f t="shared" si="15"/>
        <v>公共部分装修</v>
      </c>
      <c r="AA32" s="1349">
        <f t="shared" si="3"/>
        <v>1</v>
      </c>
      <c r="AB32" s="1349">
        <f t="shared" si="4"/>
        <v>1</v>
      </c>
      <c r="AC32" s="1349">
        <f t="shared" si="5"/>
        <v>1</v>
      </c>
    </row>
    <row r="33" spans="1:29" ht="15">
      <c r="A33" s="423"/>
      <c r="B33" s="375" t="s">
        <v>1786</v>
      </c>
      <c r="C33" s="3464">
        <f>'数据-取费表'!N6</f>
        <v>0.7</v>
      </c>
      <c r="D33" s="386">
        <v>100</v>
      </c>
      <c r="E33" s="425">
        <f>C33</f>
        <v>0.7</v>
      </c>
      <c r="F33" s="412">
        <f>LOOKUP(E33,98:98,99:99)-LOOKUP(C33,98:98,99:99)+100</f>
        <v>100</v>
      </c>
      <c r="G33" s="425">
        <f>C33</f>
        <v>0.7</v>
      </c>
      <c r="H33" s="412">
        <f>LOOKUP(G33,98:98,99:99)-LOOKUP(C33,98:98,99:99)+100</f>
        <v>100</v>
      </c>
      <c r="I33" s="425">
        <f>C33</f>
        <v>0.7</v>
      </c>
      <c r="J33" s="386">
        <f>LOOKUP(I33,98:98,99:99)-LOOKUP(C33,98:98,99:99)+100</f>
        <v>100</v>
      </c>
      <c r="K33" s="561">
        <v>1</v>
      </c>
      <c r="L33" s="919"/>
      <c r="M33" s="910"/>
      <c r="N33" s="910"/>
      <c r="O33" s="918"/>
      <c r="P33" s="3734"/>
      <c r="Q33" s="1348" t="str">
        <f t="shared" si="11"/>
        <v>成新度</v>
      </c>
      <c r="R33" s="705" t="s">
        <v>14</v>
      </c>
      <c r="S33" s="706">
        <f t="shared" si="12"/>
        <v>100</v>
      </c>
      <c r="T33" s="705" t="s">
        <v>14</v>
      </c>
      <c r="U33" s="706">
        <f t="shared" si="13"/>
        <v>100</v>
      </c>
      <c r="V33" s="705" t="s">
        <v>14</v>
      </c>
      <c r="W33" s="706">
        <f t="shared" si="14"/>
        <v>100</v>
      </c>
      <c r="X33" s="1351"/>
      <c r="Y33" s="3734"/>
      <c r="Z33" s="1352" t="str">
        <f t="shared" si="15"/>
        <v>成新度</v>
      </c>
      <c r="AA33" s="1349">
        <f t="shared" si="3"/>
        <v>1</v>
      </c>
      <c r="AB33" s="1349">
        <f t="shared" si="4"/>
        <v>1</v>
      </c>
      <c r="AC33" s="1349">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1"/>
      <c r="M34" s="912"/>
      <c r="N34" s="912"/>
      <c r="O34" s="913"/>
      <c r="P34" s="3734"/>
      <c r="Q34" s="1339"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t="s">
        <v>3435</v>
      </c>
      <c r="D35" s="386">
        <v>100</v>
      </c>
      <c r="E35" s="411" t="s">
        <v>3435</v>
      </c>
      <c r="F35" s="412">
        <f>SUMIF(102:102,E35,103:103)-SUMIF(102:102,C35,103:103)+100</f>
        <v>100</v>
      </c>
      <c r="G35" s="411" t="s">
        <v>3435</v>
      </c>
      <c r="H35" s="386">
        <f>SUMIF(102:102,G35,103:103)-SUMIF(102:102,C35,103:103)+100</f>
        <v>100</v>
      </c>
      <c r="I35" s="411" t="s">
        <v>3435</v>
      </c>
      <c r="J35" s="386">
        <f>SUMIF(102:102,I35,103:103)-SUMIF(102:102,C35,103:103)+100</f>
        <v>100</v>
      </c>
      <c r="K35" s="561">
        <v>1</v>
      </c>
      <c r="L35" s="919"/>
      <c r="M35" s="910"/>
      <c r="N35" s="910"/>
      <c r="O35" s="918"/>
      <c r="P35" s="3734" t="s">
        <v>1696</v>
      </c>
      <c r="Q35" s="1348" t="str">
        <f t="shared" si="11"/>
        <v>市政基础设施</v>
      </c>
      <c r="R35" s="705" t="s">
        <v>14</v>
      </c>
      <c r="S35" s="706">
        <f t="shared" si="12"/>
        <v>100</v>
      </c>
      <c r="T35" s="705" t="s">
        <v>14</v>
      </c>
      <c r="U35" s="706">
        <f t="shared" si="13"/>
        <v>100</v>
      </c>
      <c r="V35" s="705" t="s">
        <v>14</v>
      </c>
      <c r="W35" s="706">
        <f t="shared" si="14"/>
        <v>100</v>
      </c>
      <c r="X35" s="1351"/>
      <c r="Y35" s="3734" t="s">
        <v>1696</v>
      </c>
      <c r="Z35" s="1352" t="str">
        <f t="shared" si="15"/>
        <v>市政基础设施</v>
      </c>
      <c r="AA35" s="1349">
        <f t="shared" si="3"/>
        <v>1</v>
      </c>
      <c r="AB35" s="1349">
        <f t="shared" si="4"/>
        <v>1</v>
      </c>
      <c r="AC35" s="1349">
        <f t="shared" si="5"/>
        <v>1</v>
      </c>
    </row>
    <row r="36" spans="1:29" ht="15">
      <c r="A36" s="423"/>
      <c r="B36" s="375" t="s">
        <v>1792</v>
      </c>
      <c r="C36" s="411" t="s">
        <v>3444</v>
      </c>
      <c r="D36" s="386">
        <v>100</v>
      </c>
      <c r="E36" s="411" t="s">
        <v>3444</v>
      </c>
      <c r="F36" s="412">
        <f>SUMIF(104:104,E36,105:105)-SUMIF(104:104,C36,105:105)+100</f>
        <v>100</v>
      </c>
      <c r="G36" s="411" t="s">
        <v>3444</v>
      </c>
      <c r="H36" s="386">
        <f>SUMIF(104:104,G36,105:105)-SUMIF(104:104,C36,105:105)+100</f>
        <v>100</v>
      </c>
      <c r="I36" s="411" t="s">
        <v>3444</v>
      </c>
      <c r="J36" s="386">
        <f>SUMIF(104:104,I36,105:105)-SUMIF(104:104,C36,105:105)+100</f>
        <v>100</v>
      </c>
      <c r="K36" s="561">
        <v>5</v>
      </c>
      <c r="L36" s="919"/>
      <c r="M36" s="910"/>
      <c r="N36" s="910"/>
      <c r="O36" s="918"/>
      <c r="P36" s="3734"/>
      <c r="Q36" s="1348" t="str">
        <f t="shared" si="11"/>
        <v>内部装修</v>
      </c>
      <c r="R36" s="705" t="s">
        <v>14</v>
      </c>
      <c r="S36" s="706">
        <f t="shared" si="12"/>
        <v>100</v>
      </c>
      <c r="T36" s="705" t="s">
        <v>14</v>
      </c>
      <c r="U36" s="706">
        <f t="shared" si="13"/>
        <v>100</v>
      </c>
      <c r="V36" s="705" t="s">
        <v>14</v>
      </c>
      <c r="W36" s="706">
        <f t="shared" si="14"/>
        <v>100</v>
      </c>
      <c r="X36" s="1351"/>
      <c r="Y36" s="3734"/>
      <c r="Z36" s="1352" t="str">
        <f t="shared" si="15"/>
        <v>内部装修</v>
      </c>
      <c r="AA36" s="1349">
        <f t="shared" si="3"/>
        <v>1</v>
      </c>
      <c r="AB36" s="1349">
        <f t="shared" si="4"/>
        <v>1</v>
      </c>
      <c r="AC36" s="1349">
        <f t="shared" si="5"/>
        <v>1</v>
      </c>
    </row>
    <row r="37" spans="1:29" ht="15">
      <c r="A37" s="423"/>
      <c r="B37" s="375" t="s">
        <v>1828</v>
      </c>
      <c r="C37" s="565" t="s">
        <v>3416</v>
      </c>
      <c r="D37" s="386">
        <v>100</v>
      </c>
      <c r="E37" s="565" t="s">
        <v>3415</v>
      </c>
      <c r="F37" s="412">
        <f>SUMIF(106:106,E37,107:107)-SUMIF(106:106,C37,107:107)+100</f>
        <v>95</v>
      </c>
      <c r="G37" s="565" t="s">
        <v>3415</v>
      </c>
      <c r="H37" s="386">
        <f>SUMIF(106:106,G37,107:107)-SUMIF(106:106,C37,107:107)+100</f>
        <v>95</v>
      </c>
      <c r="I37" s="565" t="s">
        <v>3415</v>
      </c>
      <c r="J37" s="386">
        <f>SUMIF(106:106,I37,107:107)-SUMIF(106:106,C37,107:107)+100</f>
        <v>95</v>
      </c>
      <c r="K37" s="561">
        <v>5</v>
      </c>
      <c r="L37" s="919"/>
      <c r="M37" s="910"/>
      <c r="N37" s="910"/>
      <c r="O37" s="918"/>
      <c r="P37" s="3734"/>
      <c r="Q37" s="1348" t="str">
        <f t="shared" si="11"/>
        <v>内部装修状况</v>
      </c>
      <c r="R37" s="705" t="s">
        <v>14</v>
      </c>
      <c r="S37" s="706">
        <f t="shared" si="12"/>
        <v>95</v>
      </c>
      <c r="T37" s="705" t="s">
        <v>14</v>
      </c>
      <c r="U37" s="706">
        <f t="shared" si="13"/>
        <v>95</v>
      </c>
      <c r="V37" s="705" t="s">
        <v>14</v>
      </c>
      <c r="W37" s="706">
        <f t="shared" si="14"/>
        <v>95</v>
      </c>
      <c r="X37" s="1351"/>
      <c r="Y37" s="3734"/>
      <c r="Z37" s="1352" t="str">
        <f t="shared" si="15"/>
        <v>内部装修状况</v>
      </c>
      <c r="AA37" s="1349">
        <f t="shared" si="3"/>
        <v>1.0526315789473684</v>
      </c>
      <c r="AB37" s="1349">
        <f t="shared" si="4"/>
        <v>1.0526315789473684</v>
      </c>
      <c r="AC37" s="1349">
        <f t="shared" si="5"/>
        <v>1.0526315789473684</v>
      </c>
    </row>
    <row r="38" spans="1:29" s="422" customFormat="1" ht="15">
      <c r="A38" s="419"/>
      <c r="B38" s="3461" t="s">
        <v>3438</v>
      </c>
      <c r="C38" s="3462" t="s">
        <v>3439</v>
      </c>
      <c r="D38" s="386">
        <v>100</v>
      </c>
      <c r="E38" s="3463" t="s">
        <v>3434</v>
      </c>
      <c r="F38" s="412">
        <f>SUMIF(108:108,E38,109:109)-SUMIF(108:108,C38,109:109)+100</f>
        <v>90</v>
      </c>
      <c r="G38" s="3462" t="s">
        <v>3434</v>
      </c>
      <c r="H38" s="386">
        <f>SUMIF(108:108,G38,109:109)-SUMIF(108:108,C38,109:109)+100</f>
        <v>90</v>
      </c>
      <c r="I38" s="3462" t="s">
        <v>3447</v>
      </c>
      <c r="J38" s="386">
        <f>SUMIF(108:108,I38,109:1038)-SUMIF(108:108,C38,109:109)+100</f>
        <v>95</v>
      </c>
      <c r="K38" s="562"/>
      <c r="L38" s="917"/>
      <c r="M38" s="920"/>
      <c r="N38" s="920"/>
      <c r="O38" s="921"/>
      <c r="P38" s="3734"/>
      <c r="Q38" s="707" t="str">
        <f t="shared" si="11"/>
        <v>现状利用</v>
      </c>
      <c r="R38" s="708" t="s">
        <v>14</v>
      </c>
      <c r="S38" s="709">
        <f t="shared" si="12"/>
        <v>90</v>
      </c>
      <c r="T38" s="708" t="s">
        <v>14</v>
      </c>
      <c r="U38" s="709">
        <f t="shared" si="13"/>
        <v>90</v>
      </c>
      <c r="V38" s="708" t="s">
        <v>14</v>
      </c>
      <c r="W38" s="709">
        <f t="shared" si="14"/>
        <v>95</v>
      </c>
      <c r="X38" s="710"/>
      <c r="Y38" s="3734"/>
      <c r="Z38" s="711" t="str">
        <f t="shared" si="15"/>
        <v>现状利用</v>
      </c>
      <c r="AA38" s="1349">
        <f t="shared" si="3"/>
        <v>1.1111111111111112</v>
      </c>
      <c r="AB38" s="1349">
        <f t="shared" si="4"/>
        <v>1.1111111111111112</v>
      </c>
      <c r="AC38" s="1349">
        <f t="shared" si="5"/>
        <v>1.0526315789473684</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34"/>
      <c r="Q39" s="1348">
        <f t="shared" si="11"/>
        <v>111</v>
      </c>
      <c r="R39" s="705" t="s">
        <v>14</v>
      </c>
      <c r="S39" s="706">
        <f t="shared" si="12"/>
        <v>100</v>
      </c>
      <c r="T39" s="705" t="s">
        <v>14</v>
      </c>
      <c r="U39" s="706">
        <f t="shared" si="13"/>
        <v>100</v>
      </c>
      <c r="V39" s="705" t="s">
        <v>14</v>
      </c>
      <c r="W39" s="706">
        <f t="shared" si="14"/>
        <v>100</v>
      </c>
      <c r="X39" s="1351"/>
      <c r="Y39" s="373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35"/>
      <c r="Q40" s="1348">
        <f t="shared" si="11"/>
        <v>111</v>
      </c>
      <c r="R40" s="705" t="s">
        <v>14</v>
      </c>
      <c r="S40" s="706">
        <f t="shared" si="12"/>
        <v>100</v>
      </c>
      <c r="T40" s="705" t="s">
        <v>14</v>
      </c>
      <c r="U40" s="706">
        <f t="shared" si="13"/>
        <v>100</v>
      </c>
      <c r="V40" s="705" t="s">
        <v>14</v>
      </c>
      <c r="W40" s="706">
        <f t="shared" si="14"/>
        <v>100</v>
      </c>
      <c r="X40" s="1351"/>
      <c r="Y40" s="3735"/>
      <c r="Z40" s="1352">
        <f t="shared" si="15"/>
        <v>111</v>
      </c>
      <c r="AA40" s="1349">
        <f t="shared" si="3"/>
        <v>1</v>
      </c>
      <c r="AB40" s="1349">
        <f t="shared" si="4"/>
        <v>1</v>
      </c>
      <c r="AC40" s="1349">
        <f t="shared" si="5"/>
        <v>1</v>
      </c>
    </row>
    <row r="41" spans="1:29" ht="15">
      <c r="A41" s="430" t="s">
        <v>1708</v>
      </c>
      <c r="B41" s="431"/>
      <c r="C41" s="1150" t="s">
        <v>0</v>
      </c>
      <c r="D41" s="1151"/>
      <c r="E41" s="1152">
        <v>0.7</v>
      </c>
      <c r="F41" s="1153"/>
      <c r="G41" s="1154">
        <v>0.98</v>
      </c>
      <c r="H41" s="1155"/>
      <c r="I41" s="1152">
        <v>0.7</v>
      </c>
      <c r="J41" s="1155"/>
      <c r="K41" s="714"/>
      <c r="L41" s="922"/>
      <c r="M41" s="923"/>
      <c r="N41" s="910"/>
      <c r="O41" s="923"/>
      <c r="P41" s="3727" t="str">
        <f>A41</f>
        <v>成交单价（元/平方米）</v>
      </c>
      <c r="Q41" s="3727"/>
      <c r="R41" s="3728">
        <f>E41</f>
        <v>0.7</v>
      </c>
      <c r="S41" s="3728"/>
      <c r="T41" s="3728">
        <f>G41</f>
        <v>0.98</v>
      </c>
      <c r="U41" s="3728"/>
      <c r="V41" s="3728">
        <f>I41</f>
        <v>0.7</v>
      </c>
      <c r="W41" s="3728"/>
      <c r="X41" s="690"/>
      <c r="Y41" s="712"/>
      <c r="Z41" s="690"/>
      <c r="AA41" s="690"/>
      <c r="AB41" s="690"/>
      <c r="AC41" s="690"/>
    </row>
    <row r="42" spans="1:29" ht="15.75" thickBot="1">
      <c r="A42" s="437" t="s">
        <v>1793</v>
      </c>
      <c r="B42" s="438"/>
      <c r="C42" s="1156">
        <f>R43</f>
        <v>0.9</v>
      </c>
      <c r="D42" s="2313" t="s">
        <v>2138</v>
      </c>
      <c r="E42" s="1157">
        <f>R42</f>
        <v>0.8</v>
      </c>
      <c r="F42" s="2314"/>
      <c r="G42" s="1156">
        <f>T42</f>
        <v>1.2</v>
      </c>
      <c r="H42" s="2314"/>
      <c r="I42" s="1157">
        <f>V42</f>
        <v>0.8</v>
      </c>
      <c r="J42" s="2314"/>
      <c r="K42" s="2316">
        <f>F42+H42+J42</f>
        <v>0</v>
      </c>
      <c r="L42" s="922"/>
      <c r="M42" s="923"/>
      <c r="N42" s="910"/>
      <c r="O42" s="923"/>
      <c r="P42" s="3727" t="str">
        <f>A42</f>
        <v>比较价值（元/平方米）</v>
      </c>
      <c r="Q42" s="3727"/>
      <c r="R42" s="3728">
        <f>IF(F1="售价",ROUND(PRODUCT(R41,AA7:AA40),0),ROUND(PRODUCT(R41,AA7:AA40),1))</f>
        <v>0.8</v>
      </c>
      <c r="S42" s="3728"/>
      <c r="T42" s="3728">
        <f>IF(F1="售价",ROUND(PRODUCT(T41,AB7:AB40),0),ROUND(PRODUCT(T41,AB7:AB40),1))</f>
        <v>1.2</v>
      </c>
      <c r="U42" s="3728"/>
      <c r="V42" s="3728">
        <f>IF(F1="售价",ROUND(PRODUCT(V41,AC7:AC40),0),ROUND(PRODUCT(V41,AC7:AC40),1))</f>
        <v>0.8</v>
      </c>
      <c r="W42" s="3728"/>
      <c r="X42" s="690"/>
      <c r="Y42" s="690"/>
      <c r="Z42" s="690"/>
      <c r="AA42" s="690"/>
      <c r="AB42" s="690"/>
      <c r="AC42" s="690"/>
    </row>
    <row r="43" spans="1:29" ht="15.75" thickBot="1">
      <c r="A43" s="441" t="s">
        <v>1794</v>
      </c>
      <c r="B43" s="442"/>
      <c r="C43" s="1159">
        <f>R43</f>
        <v>0.9</v>
      </c>
      <c r="D43" s="1159"/>
      <c r="E43" s="1159"/>
      <c r="F43" s="1159"/>
      <c r="G43" s="1159"/>
      <c r="H43" s="1159"/>
      <c r="I43" s="1159"/>
      <c r="J43" s="1159"/>
      <c r="K43" s="715"/>
      <c r="L43" s="922"/>
      <c r="M43" s="923"/>
      <c r="N43" s="923"/>
      <c r="O43" s="923"/>
      <c r="P43" s="3724" t="str">
        <f>A43</f>
        <v>估价对象XX用房的比较价值（楼面单价，元/平方米）</v>
      </c>
      <c r="Q43" s="3725"/>
      <c r="R43" s="3726">
        <f>IF(F1="售价",ROUND(IF(D42="简单平均",AVERAGE(R42:V42),R42*F42+T42*H42+V42*J42),0),ROUND(IF(D42="简单平均",AVERAGE(R42:V42),R42*F42+T42*H42+V42*J42),1))</f>
        <v>0.9</v>
      </c>
      <c r="S43" s="3726"/>
      <c r="T43" s="3726"/>
      <c r="U43" s="3726"/>
      <c r="V43" s="3726"/>
      <c r="W43" s="3726"/>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f>IF(E41&lt;E42,E42/E41-1,E41/E42-1)</f>
        <v>0.14285714285714302</v>
      </c>
      <c r="F46" s="449" t="str">
        <f>IF(OR(E46&gt;=0.3,E46&lt;=-0.3),"超过30%","")</f>
        <v/>
      </c>
      <c r="G46" s="448">
        <f>IF(G41&lt;G42,G42/G41-1,G41/G42-1)</f>
        <v>0.22448979591836737</v>
      </c>
      <c r="H46" s="449" t="str">
        <f>IF(OR(G46&gt;=0.3,G46&lt;=-0.3),"超过30%","")</f>
        <v/>
      </c>
      <c r="I46" s="448">
        <f>IF(I41&lt;I42,I42/I41-1,I41/I42-1)</f>
        <v>0.14285714285714302</v>
      </c>
      <c r="J46" s="449" t="str">
        <f>IF(OR(I46&gt;=0.3,I46&lt;=-0.3),"超过30%","")</f>
        <v/>
      </c>
      <c r="K46" s="2726"/>
      <c r="L46" s="885"/>
      <c r="M46" s="923"/>
      <c r="N46" s="923"/>
      <c r="O46" s="923"/>
    </row>
    <row r="47" spans="1:29" ht="13.5" customHeight="1">
      <c r="A47" s="2721"/>
      <c r="B47" s="2721"/>
      <c r="C47" s="446" t="s">
        <v>1796</v>
      </c>
      <c r="D47" s="450"/>
      <c r="E47" s="448">
        <f>IF(E42&lt;G42,G42/E42-1,E42/G42-1)</f>
        <v>0.49999999999999978</v>
      </c>
      <c r="F47" s="449" t="str">
        <f>IF(OR(E47&gt;=0.2,E47&lt;=-0.2),"超过20%","")</f>
        <v>超过20%</v>
      </c>
      <c r="G47" s="448">
        <f>IF(G42&lt;I42,I42/G42-1,G42/I42-1)</f>
        <v>0.49999999999999978</v>
      </c>
      <c r="H47" s="449" t="str">
        <f>IF(OR(G47&gt;=0.2,G47&lt;=-0.2),"超过20%","")</f>
        <v>超过20%</v>
      </c>
      <c r="I47" s="448">
        <f>IF(I42&lt;E42,E42/I42-1,I42/E42-1)</f>
        <v>0</v>
      </c>
      <c r="J47" s="449" t="str">
        <f>IF(OR(I47&gt;=0.2,I47&lt;=-0.2),"超过20%","")</f>
        <v/>
      </c>
      <c r="K47" s="2726"/>
      <c r="L47" s="885"/>
      <c r="M47" s="923"/>
      <c r="N47" s="923"/>
      <c r="O47" s="923"/>
    </row>
    <row r="48" spans="1:29" s="451" customFormat="1" ht="13.5" customHeight="1">
      <c r="A48" s="2724"/>
      <c r="B48" s="2724"/>
      <c r="C48" s="446" t="s">
        <v>1797</v>
      </c>
      <c r="D48" s="450"/>
      <c r="E48" s="448">
        <f>IF(E41&lt;G41,G41/E41-1,E41/G41-1)</f>
        <v>0.40000000000000013</v>
      </c>
      <c r="F48" s="449" t="str">
        <f>IF(OR(E48&gt;=0.3,E48&lt;=-0.3),"超过30%","")</f>
        <v>超过30%</v>
      </c>
      <c r="G48" s="448">
        <f>IF(G41&lt;I41,I41/G41-1,G41/I41-1)</f>
        <v>0.40000000000000013</v>
      </c>
      <c r="H48" s="449" t="str">
        <f>IF(OR(G48&gt;=0.3,G48&lt;=-0.3),"超过30%","")</f>
        <v>超过30%</v>
      </c>
      <c r="I48" s="448">
        <f>IF(I41&lt;E41,E41/I41-1,I41/E41-1)</f>
        <v>0</v>
      </c>
      <c r="J48" s="449" t="str">
        <f>IF(OR(I48&gt;=0.3,I48&lt;=-0.3),"超过30%","")</f>
        <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ht="15">
      <c r="A53" s="458"/>
      <c r="B53" s="459"/>
      <c r="C53" s="1179">
        <v>100</v>
      </c>
      <c r="D53" s="461">
        <v>100</v>
      </c>
      <c r="E53" s="461">
        <v>100</v>
      </c>
      <c r="F53" s="461">
        <v>100</v>
      </c>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3458" t="s">
        <v>3433</v>
      </c>
      <c r="E55" s="472"/>
      <c r="F55" s="472"/>
      <c r="G55" s="472"/>
      <c r="H55" s="472"/>
      <c r="I55" s="472"/>
      <c r="J55" s="472"/>
      <c r="K55" s="472"/>
      <c r="L55" s="473"/>
      <c r="M55" s="474"/>
      <c r="N55" s="928"/>
      <c r="O55" s="928"/>
      <c r="P55" s="475"/>
      <c r="Q55" s="453"/>
    </row>
    <row r="56" spans="1:17" s="108" customFormat="1" ht="15.75" thickBot="1">
      <c r="A56" s="470"/>
      <c r="B56" s="459"/>
      <c r="C56" s="587">
        <v>100</v>
      </c>
      <c r="D56" s="461">
        <v>101</v>
      </c>
      <c r="E56" s="461"/>
      <c r="F56" s="461"/>
      <c r="G56" s="461"/>
      <c r="H56" s="461"/>
      <c r="I56" s="461"/>
      <c r="J56" s="461"/>
      <c r="K56" s="461"/>
      <c r="L56" s="461"/>
      <c r="M56" s="463"/>
      <c r="N56" s="928"/>
      <c r="O56" s="928"/>
      <c r="P56" s="453"/>
      <c r="Q56" s="453"/>
    </row>
    <row r="57" spans="1:17">
      <c r="A57" s="476" t="s">
        <v>1719</v>
      </c>
      <c r="B57" s="477" t="s">
        <v>1685</v>
      </c>
      <c r="C57" s="478" t="str">
        <f>C9</f>
        <v>厂房</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3466" t="s">
        <v>3434</v>
      </c>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29.25" thickTop="1">
      <c r="A90" s="483"/>
      <c r="B90" s="487" t="s">
        <v>1737</v>
      </c>
      <c r="C90" s="527" t="str">
        <f>C91&amp;"(含)"&amp;"-"&amp;D91</f>
        <v>300(含)-500</v>
      </c>
      <c r="D90" s="527" t="str">
        <f t="shared" ref="D90:L90" si="20">D91&amp;"(含)"&amp;"-"&amp;E91</f>
        <v>500(含)-1000</v>
      </c>
      <c r="E90" s="527" t="str">
        <f t="shared" si="20"/>
        <v>1000(含)-1500</v>
      </c>
      <c r="F90" s="527" t="str">
        <f t="shared" si="20"/>
        <v>1500(含)-3000</v>
      </c>
      <c r="G90" s="527" t="str">
        <f t="shared" si="20"/>
        <v>3000(含)-5000</v>
      </c>
      <c r="H90" s="527" t="str">
        <f t="shared" si="20"/>
        <v>5000(含)-7500</v>
      </c>
      <c r="I90" s="527" t="str">
        <f t="shared" si="20"/>
        <v>7500(含)-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v>300</v>
      </c>
      <c r="D91" s="544">
        <v>500</v>
      </c>
      <c r="E91" s="544">
        <v>1000</v>
      </c>
      <c r="F91" s="544">
        <v>1500</v>
      </c>
      <c r="G91" s="544">
        <v>3000</v>
      </c>
      <c r="H91" s="544">
        <v>5000</v>
      </c>
      <c r="I91" s="544">
        <v>7500</v>
      </c>
      <c r="J91" s="545"/>
      <c r="K91" s="545"/>
      <c r="L91" s="546"/>
      <c r="M91" s="547"/>
      <c r="N91" s="931"/>
      <c r="O91" s="931"/>
      <c r="P91" s="507"/>
      <c r="Q91" s="508"/>
    </row>
    <row r="92" spans="1:17" s="422" customFormat="1" ht="15.75" thickBot="1">
      <c r="A92" s="502"/>
      <c r="B92" s="492"/>
      <c r="C92" s="509">
        <v>94</v>
      </c>
      <c r="D92" s="485">
        <v>96</v>
      </c>
      <c r="E92" s="485">
        <v>98</v>
      </c>
      <c r="F92" s="485">
        <v>100</v>
      </c>
      <c r="G92" s="485">
        <v>98</v>
      </c>
      <c r="H92" s="485">
        <v>96</v>
      </c>
      <c r="I92" s="485">
        <v>94</v>
      </c>
      <c r="J92" s="485"/>
      <c r="K92" s="485"/>
      <c r="L92" s="485"/>
      <c r="M92" s="486"/>
      <c r="N92" s="930"/>
      <c r="O92" s="930"/>
      <c r="P92" s="507"/>
      <c r="Q92" s="508"/>
    </row>
    <row r="93" spans="1:17" ht="15" thickTop="1">
      <c r="A93" s="548"/>
      <c r="B93" s="487" t="s">
        <v>1738</v>
      </c>
      <c r="C93" s="3460" t="s">
        <v>3437</v>
      </c>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1"/>
      <c r="O101" s="931"/>
      <c r="P101" s="507"/>
      <c r="Q101" s="508"/>
    </row>
    <row r="102" spans="1:17" ht="15" thickTop="1">
      <c r="A102" s="548"/>
      <c r="B102" s="487" t="s">
        <v>1742</v>
      </c>
      <c r="C102" s="3460" t="s">
        <v>3441</v>
      </c>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0"/>
      <c r="O103" s="930"/>
      <c r="P103" s="42"/>
      <c r="Q103" s="453"/>
    </row>
    <row r="104" spans="1:17" ht="15" thickTop="1">
      <c r="A104" s="548"/>
      <c r="B104" s="487" t="s">
        <v>1744</v>
      </c>
      <c r="C104" s="3460" t="s">
        <v>3442</v>
      </c>
      <c r="D104" s="3460" t="s">
        <v>3443</v>
      </c>
      <c r="E104" s="3460" t="s">
        <v>3445</v>
      </c>
      <c r="F104" s="3460" t="s">
        <v>3446</v>
      </c>
      <c r="G104" s="503"/>
      <c r="H104" s="532"/>
      <c r="I104" s="532"/>
      <c r="J104" s="532"/>
      <c r="K104" s="533"/>
      <c r="L104" s="534"/>
      <c r="M104" s="535"/>
      <c r="N104" s="929"/>
      <c r="O104" s="929"/>
      <c r="P104" s="42"/>
      <c r="Q104" s="453"/>
    </row>
    <row r="105" spans="1:17" ht="15.75" thickBot="1">
      <c r="A105" s="483"/>
      <c r="B105" s="492"/>
      <c r="C105" s="493">
        <v>100</v>
      </c>
      <c r="D105" s="493">
        <f>C105-$K36</f>
        <v>95</v>
      </c>
      <c r="E105" s="493">
        <f>D105-$K36</f>
        <v>90</v>
      </c>
      <c r="F105" s="493">
        <f>E105-$K36</f>
        <v>85</v>
      </c>
      <c r="G105" s="493">
        <f>F105-$K36</f>
        <v>80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95</v>
      </c>
      <c r="E107" s="493">
        <f t="shared" si="26"/>
        <v>90</v>
      </c>
      <c r="F107" s="493">
        <f t="shared" si="26"/>
        <v>85</v>
      </c>
      <c r="G107" s="493">
        <f t="shared" si="26"/>
        <v>80</v>
      </c>
      <c r="H107" s="493">
        <f t="shared" si="26"/>
        <v>75</v>
      </c>
      <c r="I107" s="493">
        <f t="shared" si="26"/>
        <v>70</v>
      </c>
      <c r="J107" s="493">
        <f t="shared" si="26"/>
        <v>65</v>
      </c>
      <c r="K107" s="493">
        <f t="shared" si="26"/>
        <v>60</v>
      </c>
      <c r="L107" s="493">
        <f t="shared" si="26"/>
        <v>55</v>
      </c>
      <c r="M107" s="493">
        <f t="shared" si="26"/>
        <v>50</v>
      </c>
      <c r="N107" s="930"/>
      <c r="O107" s="930"/>
      <c r="P107" s="42"/>
      <c r="Q107" s="453"/>
    </row>
    <row r="108" spans="1:17" s="422" customFormat="1" ht="15" thickTop="1">
      <c r="A108" s="542"/>
      <c r="B108" s="487" t="str">
        <f>B38</f>
        <v>现状利用</v>
      </c>
      <c r="C108" s="3460" t="s">
        <v>3434</v>
      </c>
      <c r="D108" s="3460" t="s">
        <v>3440</v>
      </c>
      <c r="E108" s="3460" t="s">
        <v>3447</v>
      </c>
      <c r="F108" s="503"/>
      <c r="G108" s="503"/>
      <c r="H108" s="504"/>
      <c r="I108" s="504"/>
      <c r="J108" s="504"/>
      <c r="K108" s="504"/>
      <c r="L108" s="505"/>
      <c r="M108" s="506"/>
      <c r="N108" s="931"/>
      <c r="O108" s="931"/>
      <c r="P108" s="507"/>
      <c r="Q108" s="508"/>
    </row>
    <row r="109" spans="1:17" s="422" customFormat="1" ht="15.75" thickBot="1">
      <c r="A109" s="502"/>
      <c r="B109" s="484"/>
      <c r="C109" s="509">
        <v>90</v>
      </c>
      <c r="D109" s="485">
        <v>100</v>
      </c>
      <c r="E109" s="485">
        <v>95</v>
      </c>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3337</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52" t="s">
        <v>1771</v>
      </c>
      <c r="S4" s="3753"/>
      <c r="T4" s="3752" t="s">
        <v>1772</v>
      </c>
      <c r="U4" s="3753"/>
      <c r="V4" s="3758" t="s">
        <v>1773</v>
      </c>
      <c r="W4" s="3758"/>
      <c r="X4" s="1351"/>
      <c r="Y4" s="3752" t="s">
        <v>1775</v>
      </c>
      <c r="Z4" s="3753"/>
      <c r="AA4" s="3739" t="s">
        <v>1771</v>
      </c>
      <c r="AB4" s="3740" t="s">
        <v>1772</v>
      </c>
      <c r="AC4" s="3739" t="s">
        <v>1773</v>
      </c>
    </row>
    <row r="5" spans="1:29" ht="15">
      <c r="A5" s="358"/>
      <c r="B5" s="359"/>
      <c r="C5" s="3761" t="s">
        <v>1673</v>
      </c>
      <c r="D5" s="3762"/>
      <c r="E5" s="3768" t="s">
        <v>1674</v>
      </c>
      <c r="F5" s="3769"/>
      <c r="G5" s="3761" t="s">
        <v>1675</v>
      </c>
      <c r="H5" s="3762"/>
      <c r="I5" s="3761" t="s">
        <v>1676</v>
      </c>
      <c r="J5" s="3762"/>
      <c r="K5" s="559"/>
      <c r="L5" s="2711"/>
      <c r="M5" s="2712"/>
      <c r="N5" s="2712"/>
      <c r="O5" s="2712"/>
      <c r="P5" s="3748"/>
      <c r="Q5" s="3749"/>
      <c r="R5" s="3754"/>
      <c r="S5" s="3755"/>
      <c r="T5" s="3754"/>
      <c r="U5" s="3755"/>
      <c r="V5" s="3758"/>
      <c r="W5" s="3758"/>
      <c r="X5" s="1351"/>
      <c r="Y5" s="3754"/>
      <c r="Z5" s="3755"/>
      <c r="AA5" s="3740"/>
      <c r="AB5" s="3740"/>
      <c r="AC5" s="3740"/>
    </row>
    <row r="6" spans="1:29" ht="15.75" thickBot="1">
      <c r="A6" s="360"/>
      <c r="B6" s="361"/>
      <c r="C6" s="3759" t="s">
        <v>1677</v>
      </c>
      <c r="D6" s="3760"/>
      <c r="E6" s="3766" t="s">
        <v>1677</v>
      </c>
      <c r="F6" s="3767"/>
      <c r="G6" s="3759" t="s">
        <v>1677</v>
      </c>
      <c r="H6" s="3760"/>
      <c r="I6" s="3759" t="s">
        <v>1677</v>
      </c>
      <c r="J6" s="3760"/>
      <c r="K6" s="559" t="s">
        <v>1678</v>
      </c>
      <c r="L6" s="2711"/>
      <c r="M6" s="2712"/>
      <c r="N6" s="2712"/>
      <c r="O6" s="2712"/>
      <c r="P6" s="3750"/>
      <c r="Q6" s="3751"/>
      <c r="R6" s="3754"/>
      <c r="S6" s="3755"/>
      <c r="T6" s="3756"/>
      <c r="U6" s="3757"/>
      <c r="V6" s="3758"/>
      <c r="W6" s="3758"/>
      <c r="X6" s="1351"/>
      <c r="Y6" s="3756"/>
      <c r="Z6" s="3757"/>
      <c r="AA6" s="3741"/>
      <c r="AB6" s="3741"/>
      <c r="AC6" s="3741"/>
    </row>
    <row r="7" spans="1:29" s="108" customFormat="1" ht="15.75" thickBot="1">
      <c r="A7" s="362" t="s">
        <v>1679</v>
      </c>
      <c r="B7" s="363"/>
      <c r="C7" s="364">
        <f>'数据-取费表'!B2</f>
        <v>45417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63" t="s">
        <v>1680</v>
      </c>
      <c r="Q7" s="3765"/>
      <c r="R7" s="701" t="s">
        <v>14</v>
      </c>
      <c r="S7" s="702">
        <f t="shared" ref="S7:S14" si="0">F7</f>
        <v>0</v>
      </c>
      <c r="T7" s="701" t="s">
        <v>14</v>
      </c>
      <c r="U7" s="702">
        <f t="shared" ref="U7:U14" si="1">H7</f>
        <v>0</v>
      </c>
      <c r="V7" s="701" t="s">
        <v>14</v>
      </c>
      <c r="W7" s="702">
        <f t="shared" ref="W7:W14" si="2">J7</f>
        <v>0</v>
      </c>
      <c r="X7" s="703"/>
      <c r="Y7" s="3763" t="s">
        <v>1680</v>
      </c>
      <c r="Z7" s="37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63" t="s">
        <v>1683</v>
      </c>
      <c r="Q8" s="3764"/>
      <c r="R8" s="701" t="s">
        <v>14</v>
      </c>
      <c r="S8" s="702">
        <f t="shared" si="0"/>
        <v>100</v>
      </c>
      <c r="T8" s="701" t="s">
        <v>14</v>
      </c>
      <c r="U8" s="702">
        <f t="shared" si="1"/>
        <v>100</v>
      </c>
      <c r="V8" s="701" t="s">
        <v>14</v>
      </c>
      <c r="W8" s="702">
        <f t="shared" si="2"/>
        <v>100</v>
      </c>
      <c r="X8" s="703"/>
      <c r="Y8" s="3763" t="s">
        <v>1683</v>
      </c>
      <c r="Z8" s="37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27" t="s">
        <v>1686</v>
      </c>
      <c r="Q9" s="1339" t="str">
        <f t="shared" ref="Q9:Q14" si="6">B9</f>
        <v>用途</v>
      </c>
      <c r="R9" s="701" t="s">
        <v>14</v>
      </c>
      <c r="S9" s="702">
        <f t="shared" si="0"/>
        <v>100</v>
      </c>
      <c r="T9" s="701" t="s">
        <v>14</v>
      </c>
      <c r="U9" s="702">
        <f t="shared" si="1"/>
        <v>100</v>
      </c>
      <c r="V9" s="701" t="s">
        <v>14</v>
      </c>
      <c r="W9" s="702">
        <f t="shared" si="2"/>
        <v>100</v>
      </c>
      <c r="X9" s="703"/>
      <c r="Y9" s="3583"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27"/>
      <c r="Q10" s="1339"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7"/>
      <c r="Q11" s="1339">
        <f t="shared" si="6"/>
        <v>111</v>
      </c>
      <c r="R11" s="701" t="s">
        <v>14</v>
      </c>
      <c r="S11" s="702">
        <f t="shared" si="0"/>
        <v>100</v>
      </c>
      <c r="T11" s="701" t="s">
        <v>14</v>
      </c>
      <c r="U11" s="702">
        <f t="shared" si="1"/>
        <v>100</v>
      </c>
      <c r="V11" s="701" t="s">
        <v>14</v>
      </c>
      <c r="W11" s="702">
        <f t="shared" si="2"/>
        <v>100</v>
      </c>
      <c r="X11" s="703"/>
      <c r="Y11" s="358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7"/>
      <c r="Q12" s="1339">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7"/>
      <c r="Q13" s="1339">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29" t="s">
        <v>1691</v>
      </c>
      <c r="Q14" s="1348" t="str">
        <f t="shared" si="6"/>
        <v>交通便捷度</v>
      </c>
      <c r="R14" s="705" t="s">
        <v>14</v>
      </c>
      <c r="S14" s="706">
        <f t="shared" si="0"/>
        <v>100</v>
      </c>
      <c r="T14" s="705" t="s">
        <v>14</v>
      </c>
      <c r="U14" s="706">
        <f t="shared" si="1"/>
        <v>100</v>
      </c>
      <c r="V14" s="705" t="s">
        <v>14</v>
      </c>
      <c r="W14" s="706">
        <f t="shared" si="2"/>
        <v>100</v>
      </c>
      <c r="X14" s="1351"/>
      <c r="Y14" s="3729"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30"/>
      <c r="Q15" s="1348"/>
      <c r="R15" s="705"/>
      <c r="S15" s="706"/>
      <c r="T15" s="705"/>
      <c r="U15" s="706"/>
      <c r="V15" s="705"/>
      <c r="W15" s="706"/>
      <c r="X15" s="1351"/>
      <c r="Y15" s="3730"/>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0"/>
      <c r="Q16" s="1348" t="str">
        <f>B16</f>
        <v>公共配套设施</v>
      </c>
      <c r="R16" s="705" t="s">
        <v>14</v>
      </c>
      <c r="S16" s="706">
        <f>F16</f>
        <v>100</v>
      </c>
      <c r="T16" s="705" t="s">
        <v>14</v>
      </c>
      <c r="U16" s="706">
        <f>H16</f>
        <v>100</v>
      </c>
      <c r="V16" s="705" t="s">
        <v>14</v>
      </c>
      <c r="W16" s="706">
        <f>J16</f>
        <v>100</v>
      </c>
      <c r="X16" s="1351"/>
      <c r="Y16" s="373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30"/>
      <c r="Q17" s="1348"/>
      <c r="R17" s="705"/>
      <c r="S17" s="706"/>
      <c r="T17" s="705"/>
      <c r="U17" s="706"/>
      <c r="V17" s="705"/>
      <c r="W17" s="706"/>
      <c r="X17" s="1351"/>
      <c r="Y17" s="3730"/>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0"/>
      <c r="Q18" s="1348" t="str">
        <f>B18</f>
        <v>基础设施水平</v>
      </c>
      <c r="R18" s="705" t="s">
        <v>14</v>
      </c>
      <c r="S18" s="706">
        <f>F18</f>
        <v>100</v>
      </c>
      <c r="T18" s="705" t="s">
        <v>14</v>
      </c>
      <c r="U18" s="706">
        <f>H18</f>
        <v>100</v>
      </c>
      <c r="V18" s="705" t="s">
        <v>14</v>
      </c>
      <c r="W18" s="706">
        <f>J18</f>
        <v>100</v>
      </c>
      <c r="X18" s="1351"/>
      <c r="Y18" s="373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30"/>
      <c r="Q19" s="1348"/>
      <c r="R19" s="705"/>
      <c r="S19" s="706"/>
      <c r="T19" s="705"/>
      <c r="U19" s="706"/>
      <c r="V19" s="705"/>
      <c r="W19" s="706"/>
      <c r="X19" s="1351"/>
      <c r="Y19" s="3730"/>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0"/>
      <c r="Q20" s="1348" t="str">
        <f>B20</f>
        <v>自然及人文环境</v>
      </c>
      <c r="R20" s="705" t="s">
        <v>14</v>
      </c>
      <c r="S20" s="706">
        <f>F20</f>
        <v>100</v>
      </c>
      <c r="T20" s="705" t="s">
        <v>14</v>
      </c>
      <c r="U20" s="706">
        <f>H20</f>
        <v>100</v>
      </c>
      <c r="V20" s="705" t="s">
        <v>14</v>
      </c>
      <c r="W20" s="706">
        <f>J20</f>
        <v>100</v>
      </c>
      <c r="X20" s="1351"/>
      <c r="Y20" s="373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30"/>
      <c r="Q21" s="1348"/>
      <c r="R21" s="705"/>
      <c r="S21" s="706"/>
      <c r="T21" s="705"/>
      <c r="U21" s="706"/>
      <c r="V21" s="705"/>
      <c r="W21" s="706"/>
      <c r="X21" s="1351"/>
      <c r="Y21" s="3730"/>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0"/>
      <c r="Q22" s="1348" t="str">
        <f>B22</f>
        <v>楼层</v>
      </c>
      <c r="R22" s="705" t="s">
        <v>14</v>
      </c>
      <c r="S22" s="706">
        <f>F22</f>
        <v>100</v>
      </c>
      <c r="T22" s="705" t="s">
        <v>14</v>
      </c>
      <c r="U22" s="706">
        <f>H22</f>
        <v>100</v>
      </c>
      <c r="V22" s="705" t="s">
        <v>14</v>
      </c>
      <c r="W22" s="706">
        <f>J22</f>
        <v>100</v>
      </c>
      <c r="X22" s="1351"/>
      <c r="Y22" s="373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0"/>
      <c r="Q23" s="1348">
        <f>B23</f>
        <v>111</v>
      </c>
      <c r="R23" s="705" t="s">
        <v>14</v>
      </c>
      <c r="S23" s="706">
        <f>F23</f>
        <v>100</v>
      </c>
      <c r="T23" s="705" t="s">
        <v>14</v>
      </c>
      <c r="U23" s="706">
        <f>H23</f>
        <v>100</v>
      </c>
      <c r="V23" s="705" t="s">
        <v>14</v>
      </c>
      <c r="W23" s="706">
        <f>J23</f>
        <v>100</v>
      </c>
      <c r="X23" s="1351"/>
      <c r="Y23" s="373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0"/>
      <c r="Q24" s="1348">
        <f t="shared" ref="Q24:Q36" si="11">B24</f>
        <v>111</v>
      </c>
      <c r="R24" s="705" t="s">
        <v>14</v>
      </c>
      <c r="S24" s="706">
        <f>F24</f>
        <v>100</v>
      </c>
      <c r="T24" s="705" t="s">
        <v>14</v>
      </c>
      <c r="U24" s="706">
        <f>H24</f>
        <v>100</v>
      </c>
      <c r="V24" s="705" t="s">
        <v>14</v>
      </c>
      <c r="W24" s="706">
        <f>J24</f>
        <v>100</v>
      </c>
      <c r="X24" s="1351"/>
      <c r="Y24" s="373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0"/>
      <c r="Q25" s="1339">
        <f t="shared" si="11"/>
        <v>111</v>
      </c>
      <c r="R25" s="701" t="s">
        <v>14</v>
      </c>
      <c r="S25" s="702">
        <f>F25</f>
        <v>100</v>
      </c>
      <c r="T25" s="701" t="s">
        <v>14</v>
      </c>
      <c r="U25" s="702">
        <f>H25</f>
        <v>100</v>
      </c>
      <c r="V25" s="701" t="s">
        <v>14</v>
      </c>
      <c r="W25" s="702">
        <f>J25</f>
        <v>100</v>
      </c>
      <c r="X25" s="703"/>
      <c r="Y25" s="3730"/>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5"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34"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4"/>
      <c r="Q28" s="1348" t="str">
        <f t="shared" si="11"/>
        <v>公共部分装修</v>
      </c>
      <c r="R28" s="705" t="s">
        <v>14</v>
      </c>
      <c r="S28" s="706">
        <f t="shared" si="12"/>
        <v>100</v>
      </c>
      <c r="T28" s="705" t="s">
        <v>14</v>
      </c>
      <c r="U28" s="706">
        <f t="shared" si="13"/>
        <v>100</v>
      </c>
      <c r="V28" s="705" t="s">
        <v>14</v>
      </c>
      <c r="W28" s="706">
        <f t="shared" si="14"/>
        <v>100</v>
      </c>
      <c r="X28" s="1351"/>
      <c r="Y28" s="3734"/>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34"/>
      <c r="Q29" s="1348" t="str">
        <f t="shared" si="11"/>
        <v>成新率</v>
      </c>
      <c r="R29" s="705" t="s">
        <v>14</v>
      </c>
      <c r="S29" s="706" t="e">
        <f t="shared" si="12"/>
        <v>#N/A</v>
      </c>
      <c r="T29" s="705" t="s">
        <v>14</v>
      </c>
      <c r="U29" s="706" t="e">
        <f t="shared" si="13"/>
        <v>#N/A</v>
      </c>
      <c r="V29" s="705" t="s">
        <v>14</v>
      </c>
      <c r="W29" s="706" t="e">
        <f t="shared" si="14"/>
        <v>#N/A</v>
      </c>
      <c r="X29" s="1351"/>
      <c r="Y29" s="3734"/>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4"/>
      <c r="Q30" s="1348" t="str">
        <f t="shared" si="11"/>
        <v>物业等级</v>
      </c>
      <c r="R30" s="705" t="s">
        <v>14</v>
      </c>
      <c r="S30" s="706">
        <f t="shared" si="12"/>
        <v>100</v>
      </c>
      <c r="T30" s="705" t="s">
        <v>14</v>
      </c>
      <c r="U30" s="706">
        <f t="shared" si="13"/>
        <v>100</v>
      </c>
      <c r="V30" s="705" t="s">
        <v>14</v>
      </c>
      <c r="W30" s="706">
        <f t="shared" si="14"/>
        <v>100</v>
      </c>
      <c r="X30" s="1351"/>
      <c r="Y30" s="3734"/>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34"/>
      <c r="Q31" s="1339"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4" t="s">
        <v>1696</v>
      </c>
      <c r="Q32" s="1348" t="str">
        <f t="shared" si="11"/>
        <v>车位类型</v>
      </c>
      <c r="R32" s="705" t="s">
        <v>14</v>
      </c>
      <c r="S32" s="706">
        <f t="shared" si="12"/>
        <v>100</v>
      </c>
      <c r="T32" s="705" t="s">
        <v>14</v>
      </c>
      <c r="U32" s="706">
        <f t="shared" si="13"/>
        <v>100</v>
      </c>
      <c r="V32" s="705" t="s">
        <v>14</v>
      </c>
      <c r="W32" s="706">
        <f t="shared" si="14"/>
        <v>100</v>
      </c>
      <c r="X32" s="1351"/>
      <c r="Y32" s="3734"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4"/>
      <c r="Q33" s="1348" t="str">
        <f t="shared" si="11"/>
        <v>是否直接入户</v>
      </c>
      <c r="R33" s="705" t="s">
        <v>14</v>
      </c>
      <c r="S33" s="706">
        <f t="shared" si="12"/>
        <v>100</v>
      </c>
      <c r="T33" s="705" t="s">
        <v>14</v>
      </c>
      <c r="U33" s="706">
        <f t="shared" si="13"/>
        <v>100</v>
      </c>
      <c r="V33" s="705" t="s">
        <v>14</v>
      </c>
      <c r="W33" s="706">
        <f t="shared" si="14"/>
        <v>100</v>
      </c>
      <c r="X33" s="1351"/>
      <c r="Y33" s="373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4"/>
      <c r="Q34" s="1348">
        <f t="shared" si="11"/>
        <v>111</v>
      </c>
      <c r="R34" s="705" t="s">
        <v>14</v>
      </c>
      <c r="S34" s="706">
        <f t="shared" si="12"/>
        <v>100</v>
      </c>
      <c r="T34" s="705" t="s">
        <v>14</v>
      </c>
      <c r="U34" s="706">
        <f t="shared" si="13"/>
        <v>100</v>
      </c>
      <c r="V34" s="705" t="s">
        <v>14</v>
      </c>
      <c r="W34" s="706">
        <f t="shared" si="14"/>
        <v>100</v>
      </c>
      <c r="X34" s="1351"/>
      <c r="Y34" s="373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4"/>
      <c r="Q36" s="1348">
        <f t="shared" si="11"/>
        <v>111</v>
      </c>
      <c r="R36" s="705" t="s">
        <v>14</v>
      </c>
      <c r="S36" s="706">
        <f t="shared" si="12"/>
        <v>100</v>
      </c>
      <c r="T36" s="705" t="s">
        <v>14</v>
      </c>
      <c r="U36" s="706">
        <f t="shared" si="13"/>
        <v>100</v>
      </c>
      <c r="V36" s="705" t="s">
        <v>14</v>
      </c>
      <c r="W36" s="706">
        <f t="shared" si="14"/>
        <v>100</v>
      </c>
      <c r="X36" s="1351"/>
      <c r="Y36" s="3734"/>
      <c r="Z36" s="1352">
        <f t="shared" si="15"/>
        <v>111</v>
      </c>
      <c r="AA36" s="1349">
        <f t="shared" si="3"/>
        <v>1</v>
      </c>
      <c r="AB36" s="1349">
        <f t="shared" si="4"/>
        <v>1</v>
      </c>
      <c r="AC36" s="1349">
        <f t="shared" si="5"/>
        <v>1</v>
      </c>
    </row>
    <row r="37" spans="1:29" ht="15">
      <c r="A37" s="430" t="s">
        <v>1844</v>
      </c>
      <c r="B37" s="1969" t="s">
        <v>3358</v>
      </c>
      <c r="C37" s="1150" t="s">
        <v>0</v>
      </c>
      <c r="D37" s="1151"/>
      <c r="E37" s="1152"/>
      <c r="F37" s="1153"/>
      <c r="G37" s="1154"/>
      <c r="H37" s="1155"/>
      <c r="I37" s="1152"/>
      <c r="J37" s="1155"/>
      <c r="K37" s="568"/>
      <c r="L37" s="2720"/>
      <c r="M37" s="2721"/>
      <c r="N37" s="2712"/>
      <c r="O37" s="2721"/>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20"/>
      <c r="M39" s="2721"/>
      <c r="N39" s="2721"/>
      <c r="O39" s="2721"/>
      <c r="P39" s="3724" t="str">
        <f>A39</f>
        <v>估价对象XX用房的比较价值（楼面单价，元/平方米）</v>
      </c>
      <c r="Q39" s="3725"/>
      <c r="R39" s="3786" t="e">
        <f>IF(F1="售价",ROUND(IF(D38="简单平均",AVERAGE(R38:W38),R38*F38+T38*H38+V38*J38),0),ROUND(IF(D38="简单平均",AVERAGE(R38:V38),R38*F38+T38*H38+V38*J38),1))</f>
        <v>#DIV/0!</v>
      </c>
      <c r="S39" s="3786"/>
      <c r="T39" s="3786"/>
      <c r="U39" s="3786"/>
      <c r="V39" s="3786"/>
      <c r="W39" s="378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3338</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52" t="s">
        <v>1771</v>
      </c>
      <c r="S4" s="3753"/>
      <c r="T4" s="3752" t="s">
        <v>1772</v>
      </c>
      <c r="U4" s="3753"/>
      <c r="V4" s="3758" t="s">
        <v>1773</v>
      </c>
      <c r="W4" s="3758"/>
      <c r="X4" s="1351"/>
      <c r="Y4" s="3752" t="s">
        <v>1775</v>
      </c>
      <c r="Z4" s="3753"/>
      <c r="AA4" s="3739" t="s">
        <v>1771</v>
      </c>
      <c r="AB4" s="3740" t="s">
        <v>1772</v>
      </c>
      <c r="AC4" s="3739" t="s">
        <v>1773</v>
      </c>
    </row>
    <row r="5" spans="1:29" ht="15">
      <c r="A5" s="358"/>
      <c r="B5" s="359"/>
      <c r="C5" s="3761" t="s">
        <v>1673</v>
      </c>
      <c r="D5" s="3762"/>
      <c r="E5" s="3768" t="s">
        <v>1674</v>
      </c>
      <c r="F5" s="3769"/>
      <c r="G5" s="3761" t="s">
        <v>1675</v>
      </c>
      <c r="H5" s="3762"/>
      <c r="I5" s="3761" t="s">
        <v>1676</v>
      </c>
      <c r="J5" s="3762"/>
      <c r="K5" s="559"/>
      <c r="L5" s="2711"/>
      <c r="M5" s="2712"/>
      <c r="N5" s="2712"/>
      <c r="O5" s="2712"/>
      <c r="P5" s="3748"/>
      <c r="Q5" s="3749"/>
      <c r="R5" s="3754"/>
      <c r="S5" s="3755"/>
      <c r="T5" s="3754"/>
      <c r="U5" s="3755"/>
      <c r="V5" s="3758"/>
      <c r="W5" s="3758"/>
      <c r="X5" s="1351"/>
      <c r="Y5" s="3754"/>
      <c r="Z5" s="3755"/>
      <c r="AA5" s="3740"/>
      <c r="AB5" s="3740"/>
      <c r="AC5" s="3740"/>
    </row>
    <row r="6" spans="1:29" ht="15.75" thickBot="1">
      <c r="A6" s="360"/>
      <c r="B6" s="361"/>
      <c r="C6" s="3759" t="s">
        <v>1677</v>
      </c>
      <c r="D6" s="3760"/>
      <c r="E6" s="3766" t="s">
        <v>1677</v>
      </c>
      <c r="F6" s="3767"/>
      <c r="G6" s="3759" t="s">
        <v>1677</v>
      </c>
      <c r="H6" s="3760"/>
      <c r="I6" s="3759" t="s">
        <v>1677</v>
      </c>
      <c r="J6" s="3760"/>
      <c r="K6" s="559" t="s">
        <v>1678</v>
      </c>
      <c r="L6" s="2711"/>
      <c r="M6" s="2712"/>
      <c r="N6" s="2712"/>
      <c r="O6" s="2712"/>
      <c r="P6" s="3750"/>
      <c r="Q6" s="3751"/>
      <c r="R6" s="3754"/>
      <c r="S6" s="3755"/>
      <c r="T6" s="3756"/>
      <c r="U6" s="3757"/>
      <c r="V6" s="3758"/>
      <c r="W6" s="3758"/>
      <c r="X6" s="1351"/>
      <c r="Y6" s="3756"/>
      <c r="Z6" s="3757"/>
      <c r="AA6" s="3741"/>
      <c r="AB6" s="3741"/>
      <c r="AC6" s="3741"/>
    </row>
    <row r="7" spans="1:29" s="108" customFormat="1" ht="15.75" thickBot="1">
      <c r="A7" s="362" t="s">
        <v>1679</v>
      </c>
      <c r="B7" s="363"/>
      <c r="C7" s="364">
        <f>'数据-取费表'!B2</f>
        <v>45417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63" t="s">
        <v>1680</v>
      </c>
      <c r="Q7" s="3765"/>
      <c r="R7" s="701" t="s">
        <v>14</v>
      </c>
      <c r="S7" s="702">
        <f t="shared" ref="S7:S14" si="0">F7</f>
        <v>0</v>
      </c>
      <c r="T7" s="701" t="s">
        <v>14</v>
      </c>
      <c r="U7" s="702">
        <f t="shared" ref="U7:U14" si="1">H7</f>
        <v>0</v>
      </c>
      <c r="V7" s="701" t="s">
        <v>14</v>
      </c>
      <c r="W7" s="702">
        <f t="shared" ref="W7:W14" si="2">J7</f>
        <v>0</v>
      </c>
      <c r="X7" s="703"/>
      <c r="Y7" s="3763" t="s">
        <v>1680</v>
      </c>
      <c r="Z7" s="37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63" t="s">
        <v>1683</v>
      </c>
      <c r="Q8" s="3764"/>
      <c r="R8" s="701" t="s">
        <v>14</v>
      </c>
      <c r="S8" s="702">
        <f t="shared" si="0"/>
        <v>100</v>
      </c>
      <c r="T8" s="701" t="s">
        <v>14</v>
      </c>
      <c r="U8" s="702">
        <f t="shared" si="1"/>
        <v>100</v>
      </c>
      <c r="V8" s="701" t="s">
        <v>14</v>
      </c>
      <c r="W8" s="702">
        <f t="shared" si="2"/>
        <v>100</v>
      </c>
      <c r="X8" s="703"/>
      <c r="Y8" s="3763" t="s">
        <v>1683</v>
      </c>
      <c r="Z8" s="37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27" t="s">
        <v>1686</v>
      </c>
      <c r="Q9" s="1339" t="str">
        <f t="shared" ref="Q9:Q14" si="6">B9</f>
        <v>用途</v>
      </c>
      <c r="R9" s="701" t="s">
        <v>14</v>
      </c>
      <c r="S9" s="702">
        <f t="shared" si="0"/>
        <v>100</v>
      </c>
      <c r="T9" s="701" t="s">
        <v>14</v>
      </c>
      <c r="U9" s="702">
        <f t="shared" si="1"/>
        <v>100</v>
      </c>
      <c r="V9" s="701" t="s">
        <v>14</v>
      </c>
      <c r="W9" s="702">
        <f t="shared" si="2"/>
        <v>100</v>
      </c>
      <c r="X9" s="703"/>
      <c r="Y9" s="3583"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27"/>
      <c r="Q10" s="1339" t="str">
        <f t="shared" si="6"/>
        <v>土地使用年限（年）</v>
      </c>
      <c r="R10" s="701" t="s">
        <v>14</v>
      </c>
      <c r="S10" s="702">
        <f t="shared" si="0"/>
        <v>100</v>
      </c>
      <c r="T10" s="701" t="s">
        <v>14</v>
      </c>
      <c r="U10" s="702">
        <f t="shared" si="1"/>
        <v>100</v>
      </c>
      <c r="V10" s="701" t="s">
        <v>14</v>
      </c>
      <c r="W10" s="702">
        <f t="shared" si="2"/>
        <v>100</v>
      </c>
      <c r="X10" s="703"/>
      <c r="Y10" s="3583"/>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7"/>
      <c r="Q11" s="1339">
        <f t="shared" si="6"/>
        <v>111</v>
      </c>
      <c r="R11" s="701" t="s">
        <v>14</v>
      </c>
      <c r="S11" s="702">
        <f t="shared" si="0"/>
        <v>100</v>
      </c>
      <c r="T11" s="701" t="s">
        <v>14</v>
      </c>
      <c r="U11" s="702">
        <f t="shared" si="1"/>
        <v>100</v>
      </c>
      <c r="V11" s="701" t="s">
        <v>14</v>
      </c>
      <c r="W11" s="702">
        <f t="shared" si="2"/>
        <v>100</v>
      </c>
      <c r="X11" s="703"/>
      <c r="Y11" s="3583"/>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7"/>
      <c r="Q12" s="1339">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27"/>
      <c r="Q13" s="1339">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29" t="s">
        <v>1691</v>
      </c>
      <c r="Q14" s="1348" t="str">
        <f t="shared" si="6"/>
        <v>交通便捷度</v>
      </c>
      <c r="R14" s="705" t="s">
        <v>14</v>
      </c>
      <c r="S14" s="706">
        <f t="shared" si="0"/>
        <v>100</v>
      </c>
      <c r="T14" s="705" t="s">
        <v>14</v>
      </c>
      <c r="U14" s="706">
        <f t="shared" si="1"/>
        <v>100</v>
      </c>
      <c r="V14" s="705" t="s">
        <v>14</v>
      </c>
      <c r="W14" s="706">
        <f t="shared" si="2"/>
        <v>100</v>
      </c>
      <c r="X14" s="1351"/>
      <c r="Y14" s="3729"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30"/>
      <c r="Q15" s="1348"/>
      <c r="R15" s="705"/>
      <c r="S15" s="706"/>
      <c r="T15" s="705"/>
      <c r="U15" s="706"/>
      <c r="V15" s="705"/>
      <c r="W15" s="706"/>
      <c r="X15" s="1351"/>
      <c r="Y15" s="3730"/>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0"/>
      <c r="Q16" s="1348" t="str">
        <f>B16</f>
        <v>公共配套设施</v>
      </c>
      <c r="R16" s="705" t="s">
        <v>14</v>
      </c>
      <c r="S16" s="706">
        <f>F16</f>
        <v>100</v>
      </c>
      <c r="T16" s="705" t="s">
        <v>14</v>
      </c>
      <c r="U16" s="706">
        <f>H16</f>
        <v>100</v>
      </c>
      <c r="V16" s="705" t="s">
        <v>14</v>
      </c>
      <c r="W16" s="706">
        <f>J16</f>
        <v>100</v>
      </c>
      <c r="X16" s="1351"/>
      <c r="Y16" s="373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30"/>
      <c r="Q17" s="1348"/>
      <c r="R17" s="705"/>
      <c r="S17" s="706"/>
      <c r="T17" s="705"/>
      <c r="U17" s="706"/>
      <c r="V17" s="705"/>
      <c r="W17" s="706"/>
      <c r="X17" s="1351"/>
      <c r="Y17" s="3730"/>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0"/>
      <c r="Q18" s="1348" t="str">
        <f>B18</f>
        <v>基础设施水平</v>
      </c>
      <c r="R18" s="705" t="s">
        <v>14</v>
      </c>
      <c r="S18" s="706">
        <f>F18</f>
        <v>100</v>
      </c>
      <c r="T18" s="705" t="s">
        <v>14</v>
      </c>
      <c r="U18" s="706">
        <f>H18</f>
        <v>100</v>
      </c>
      <c r="V18" s="705" t="s">
        <v>14</v>
      </c>
      <c r="W18" s="706">
        <f>J18</f>
        <v>100</v>
      </c>
      <c r="X18" s="1351"/>
      <c r="Y18" s="373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30"/>
      <c r="Q19" s="1348"/>
      <c r="R19" s="705"/>
      <c r="S19" s="706"/>
      <c r="T19" s="705"/>
      <c r="U19" s="706"/>
      <c r="V19" s="705"/>
      <c r="W19" s="706"/>
      <c r="X19" s="1351"/>
      <c r="Y19" s="3730"/>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0"/>
      <c r="Q20" s="1348" t="str">
        <f>B20</f>
        <v>自然及人文环境</v>
      </c>
      <c r="R20" s="705" t="s">
        <v>14</v>
      </c>
      <c r="S20" s="706">
        <f>F20</f>
        <v>100</v>
      </c>
      <c r="T20" s="705" t="s">
        <v>14</v>
      </c>
      <c r="U20" s="706">
        <f>H20</f>
        <v>100</v>
      </c>
      <c r="V20" s="705" t="s">
        <v>14</v>
      </c>
      <c r="W20" s="706">
        <f>J20</f>
        <v>100</v>
      </c>
      <c r="X20" s="1351"/>
      <c r="Y20" s="373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30"/>
      <c r="Q21" s="1348"/>
      <c r="R21" s="705"/>
      <c r="S21" s="706"/>
      <c r="T21" s="705"/>
      <c r="U21" s="706"/>
      <c r="V21" s="705"/>
      <c r="W21" s="706"/>
      <c r="X21" s="1351"/>
      <c r="Y21" s="3730"/>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0"/>
      <c r="Q22" s="1348" t="str">
        <f>B22</f>
        <v>楼层</v>
      </c>
      <c r="R22" s="705" t="s">
        <v>14</v>
      </c>
      <c r="S22" s="706">
        <f>F22</f>
        <v>100</v>
      </c>
      <c r="T22" s="705" t="s">
        <v>14</v>
      </c>
      <c r="U22" s="706">
        <f>H22</f>
        <v>100</v>
      </c>
      <c r="V22" s="705" t="s">
        <v>14</v>
      </c>
      <c r="W22" s="706">
        <f>J22</f>
        <v>100</v>
      </c>
      <c r="X22" s="1351"/>
      <c r="Y22" s="373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0"/>
      <c r="Q23" s="1348">
        <f>B23</f>
        <v>111</v>
      </c>
      <c r="R23" s="705" t="s">
        <v>14</v>
      </c>
      <c r="S23" s="706">
        <f>F23</f>
        <v>100</v>
      </c>
      <c r="T23" s="705" t="s">
        <v>14</v>
      </c>
      <c r="U23" s="706">
        <f>H23</f>
        <v>100</v>
      </c>
      <c r="V23" s="705" t="s">
        <v>14</v>
      </c>
      <c r="W23" s="706">
        <f>J23</f>
        <v>100</v>
      </c>
      <c r="X23" s="1351"/>
      <c r="Y23" s="373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0"/>
      <c r="Q24" s="1348">
        <f t="shared" ref="Q24:Q34" si="11">B24</f>
        <v>111</v>
      </c>
      <c r="R24" s="705" t="s">
        <v>14</v>
      </c>
      <c r="S24" s="706">
        <f>F24</f>
        <v>100</v>
      </c>
      <c r="T24" s="705" t="s">
        <v>14</v>
      </c>
      <c r="U24" s="706">
        <f>H24</f>
        <v>100</v>
      </c>
      <c r="V24" s="705" t="s">
        <v>14</v>
      </c>
      <c r="W24" s="706">
        <f>J24</f>
        <v>100</v>
      </c>
      <c r="X24" s="1351"/>
      <c r="Y24" s="373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0"/>
      <c r="Q25" s="1339">
        <f t="shared" si="11"/>
        <v>111</v>
      </c>
      <c r="R25" s="701" t="s">
        <v>14</v>
      </c>
      <c r="S25" s="702">
        <f>F25</f>
        <v>100</v>
      </c>
      <c r="T25" s="701" t="s">
        <v>14</v>
      </c>
      <c r="U25" s="702">
        <f>H25</f>
        <v>100</v>
      </c>
      <c r="V25" s="701" t="s">
        <v>14</v>
      </c>
      <c r="W25" s="702">
        <f>J25</f>
        <v>100</v>
      </c>
      <c r="X25" s="703"/>
      <c r="Y25" s="3730"/>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34"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4"/>
      <c r="Q28" s="1348" t="str">
        <f t="shared" si="11"/>
        <v>物业等级</v>
      </c>
      <c r="R28" s="705" t="s">
        <v>14</v>
      </c>
      <c r="S28" s="706">
        <f t="shared" si="12"/>
        <v>100</v>
      </c>
      <c r="T28" s="705" t="s">
        <v>14</v>
      </c>
      <c r="U28" s="706">
        <f t="shared" si="13"/>
        <v>100</v>
      </c>
      <c r="V28" s="705" t="s">
        <v>14</v>
      </c>
      <c r="W28" s="706">
        <f t="shared" si="14"/>
        <v>100</v>
      </c>
      <c r="X28" s="1351"/>
      <c r="Y28" s="3734"/>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4"/>
      <c r="Q29" s="1348" t="str">
        <f t="shared" si="11"/>
        <v>有无电梯</v>
      </c>
      <c r="R29" s="705" t="s">
        <v>14</v>
      </c>
      <c r="S29" s="706">
        <f t="shared" si="12"/>
        <v>100</v>
      </c>
      <c r="T29" s="705" t="s">
        <v>14</v>
      </c>
      <c r="U29" s="706">
        <f t="shared" si="13"/>
        <v>100</v>
      </c>
      <c r="V29" s="705" t="s">
        <v>14</v>
      </c>
      <c r="W29" s="706">
        <f t="shared" si="14"/>
        <v>100</v>
      </c>
      <c r="X29" s="1351"/>
      <c r="Y29" s="3734"/>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34"/>
      <c r="Q30" s="1348" t="str">
        <f t="shared" si="11"/>
        <v>建筑面积</v>
      </c>
      <c r="R30" s="705" t="s">
        <v>14</v>
      </c>
      <c r="S30" s="706" t="e">
        <f t="shared" si="12"/>
        <v>#N/A</v>
      </c>
      <c r="T30" s="705" t="s">
        <v>14</v>
      </c>
      <c r="U30" s="706" t="e">
        <f t="shared" si="13"/>
        <v>#N/A</v>
      </c>
      <c r="V30" s="705" t="s">
        <v>14</v>
      </c>
      <c r="W30" s="706" t="e">
        <f t="shared" si="14"/>
        <v>#N/A</v>
      </c>
      <c r="X30" s="1351"/>
      <c r="Y30" s="3734"/>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4"/>
      <c r="Q31" s="1339"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4" t="s">
        <v>1696</v>
      </c>
      <c r="Q32" s="1348">
        <f t="shared" si="11"/>
        <v>111</v>
      </c>
      <c r="R32" s="705" t="s">
        <v>14</v>
      </c>
      <c r="S32" s="706">
        <f t="shared" si="12"/>
        <v>100</v>
      </c>
      <c r="T32" s="705" t="s">
        <v>14</v>
      </c>
      <c r="U32" s="706">
        <f t="shared" si="13"/>
        <v>100</v>
      </c>
      <c r="V32" s="705" t="s">
        <v>14</v>
      </c>
      <c r="W32" s="706">
        <f t="shared" si="14"/>
        <v>100</v>
      </c>
      <c r="X32" s="1351"/>
      <c r="Y32" s="3734"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4"/>
      <c r="Q33" s="1348">
        <f t="shared" si="11"/>
        <v>111</v>
      </c>
      <c r="R33" s="705" t="s">
        <v>14</v>
      </c>
      <c r="S33" s="706">
        <f t="shared" si="12"/>
        <v>100</v>
      </c>
      <c r="T33" s="705" t="s">
        <v>14</v>
      </c>
      <c r="U33" s="706">
        <f t="shared" si="13"/>
        <v>100</v>
      </c>
      <c r="V33" s="705" t="s">
        <v>14</v>
      </c>
      <c r="W33" s="706">
        <f t="shared" si="14"/>
        <v>100</v>
      </c>
      <c r="X33" s="1351"/>
      <c r="Y33" s="373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4"/>
      <c r="Q34" s="1348">
        <f t="shared" si="11"/>
        <v>111</v>
      </c>
      <c r="R34" s="705" t="s">
        <v>14</v>
      </c>
      <c r="S34" s="706">
        <f t="shared" si="12"/>
        <v>100</v>
      </c>
      <c r="T34" s="705" t="s">
        <v>14</v>
      </c>
      <c r="U34" s="706">
        <f t="shared" si="13"/>
        <v>100</v>
      </c>
      <c r="V34" s="705" t="s">
        <v>14</v>
      </c>
      <c r="W34" s="706">
        <f t="shared" si="14"/>
        <v>100</v>
      </c>
      <c r="X34" s="1351"/>
      <c r="Y34" s="3734"/>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4"/>
      <c r="L35" s="2720"/>
      <c r="M35" s="2721"/>
      <c r="N35" s="2712"/>
      <c r="O35" s="2721"/>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20"/>
      <c r="M37" s="2721"/>
      <c r="N37" s="2721"/>
      <c r="O37" s="2721"/>
      <c r="P37" s="3724" t="str">
        <f>A37</f>
        <v>估价对象XX用房的比较价值（楼面单价，元/平方米）</v>
      </c>
      <c r="Q37" s="3725"/>
      <c r="R37" s="3786" t="e">
        <f>IF(F1="售价",ROUND(IF(D36="简单平均",AVERAGE(R36:W36),R36*F36+T36*H36+V36*J36),0),ROUND(IF(D36="简单平均",AVERAGE(R36:V36),R36*F36+T36*H36+V36*J36),1))</f>
        <v>#DIV/0!</v>
      </c>
      <c r="S37" s="3786"/>
      <c r="T37" s="3786"/>
      <c r="U37" s="3786"/>
      <c r="V37" s="3786"/>
      <c r="W37" s="378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52" t="s">
        <v>1771</v>
      </c>
      <c r="S4" s="3753"/>
      <c r="T4" s="3752" t="s">
        <v>1772</v>
      </c>
      <c r="U4" s="3753"/>
      <c r="V4" s="3758" t="s">
        <v>1773</v>
      </c>
      <c r="W4" s="3758"/>
      <c r="X4" s="1351"/>
      <c r="Y4" s="3752" t="s">
        <v>1775</v>
      </c>
      <c r="Z4" s="3753"/>
      <c r="AA4" s="3739" t="s">
        <v>1771</v>
      </c>
      <c r="AB4" s="3740" t="s">
        <v>1772</v>
      </c>
      <c r="AC4" s="3739" t="s">
        <v>1773</v>
      </c>
    </row>
    <row r="5" spans="1:30" ht="15">
      <c r="A5" s="358"/>
      <c r="B5" s="359"/>
      <c r="C5" s="3761" t="s">
        <v>1673</v>
      </c>
      <c r="D5" s="3762"/>
      <c r="E5" s="3768" t="s">
        <v>1674</v>
      </c>
      <c r="F5" s="3769"/>
      <c r="G5" s="3761" t="s">
        <v>1675</v>
      </c>
      <c r="H5" s="3762"/>
      <c r="I5" s="3761" t="s">
        <v>1676</v>
      </c>
      <c r="J5" s="3762"/>
      <c r="K5" s="559"/>
      <c r="L5" s="2711"/>
      <c r="M5" s="2712"/>
      <c r="N5" s="2712"/>
      <c r="O5" s="2712"/>
      <c r="P5" s="3748"/>
      <c r="Q5" s="3749"/>
      <c r="R5" s="3754"/>
      <c r="S5" s="3755"/>
      <c r="T5" s="3754"/>
      <c r="U5" s="3755"/>
      <c r="V5" s="3758"/>
      <c r="W5" s="3758"/>
      <c r="X5" s="1351"/>
      <c r="Y5" s="3754"/>
      <c r="Z5" s="3755"/>
      <c r="AA5" s="3740"/>
      <c r="AB5" s="3740"/>
      <c r="AC5" s="3740"/>
    </row>
    <row r="6" spans="1:30" ht="15.75" thickBot="1">
      <c r="A6" s="360"/>
      <c r="B6" s="361"/>
      <c r="C6" s="3759" t="s">
        <v>1677</v>
      </c>
      <c r="D6" s="3760"/>
      <c r="E6" s="3766" t="s">
        <v>1677</v>
      </c>
      <c r="F6" s="3767"/>
      <c r="G6" s="3759" t="s">
        <v>1677</v>
      </c>
      <c r="H6" s="3760"/>
      <c r="I6" s="3759" t="s">
        <v>1677</v>
      </c>
      <c r="J6" s="3760"/>
      <c r="K6" s="559" t="s">
        <v>1678</v>
      </c>
      <c r="L6" s="2711"/>
      <c r="M6" s="2712"/>
      <c r="N6" s="2712"/>
      <c r="O6" s="2712"/>
      <c r="P6" s="3750"/>
      <c r="Q6" s="3751"/>
      <c r="R6" s="3754"/>
      <c r="S6" s="3755"/>
      <c r="T6" s="3756"/>
      <c r="U6" s="3757"/>
      <c r="V6" s="3758"/>
      <c r="W6" s="3758"/>
      <c r="X6" s="1351"/>
      <c r="Y6" s="3756"/>
      <c r="Z6" s="3757"/>
      <c r="AA6" s="3741"/>
      <c r="AB6" s="3741"/>
      <c r="AC6" s="3741"/>
    </row>
    <row r="7" spans="1:30" s="108" customFormat="1" ht="15.75" thickBot="1">
      <c r="A7" s="362" t="s">
        <v>1679</v>
      </c>
      <c r="B7" s="363"/>
      <c r="C7" s="364">
        <f>'数据-取费表'!B2</f>
        <v>45417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63" t="s">
        <v>1680</v>
      </c>
      <c r="Q7" s="3765"/>
      <c r="R7" s="701" t="s">
        <v>14</v>
      </c>
      <c r="S7" s="702">
        <f t="shared" ref="S7:S15" si="0">F7</f>
        <v>0</v>
      </c>
      <c r="T7" s="701" t="s">
        <v>14</v>
      </c>
      <c r="U7" s="702">
        <f t="shared" ref="U7:U15" si="1">H7</f>
        <v>0</v>
      </c>
      <c r="V7" s="701" t="s">
        <v>14</v>
      </c>
      <c r="W7" s="702">
        <f t="shared" ref="W7:W15" si="2">J7</f>
        <v>0</v>
      </c>
      <c r="X7" s="703"/>
      <c r="Y7" s="3763" t="s">
        <v>1680</v>
      </c>
      <c r="Z7" s="376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63" t="s">
        <v>1683</v>
      </c>
      <c r="Q8" s="3764"/>
      <c r="R8" s="701" t="s">
        <v>14</v>
      </c>
      <c r="S8" s="702">
        <f t="shared" si="0"/>
        <v>0</v>
      </c>
      <c r="T8" s="701" t="s">
        <v>14</v>
      </c>
      <c r="U8" s="702">
        <f t="shared" si="1"/>
        <v>0</v>
      </c>
      <c r="V8" s="701" t="s">
        <v>14</v>
      </c>
      <c r="W8" s="702">
        <f t="shared" si="2"/>
        <v>0</v>
      </c>
      <c r="X8" s="703"/>
      <c r="Y8" s="3763" t="s">
        <v>1683</v>
      </c>
      <c r="Z8" s="3764"/>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27" t="s">
        <v>1686</v>
      </c>
      <c r="Q9" s="1339"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5"/>
      <c r="M10" s="2716"/>
      <c r="N10" s="2716"/>
      <c r="O10" s="2769"/>
      <c r="P10" s="3727"/>
      <c r="Q10" s="1339" t="str">
        <f t="shared" si="6"/>
        <v>土地使用年限（年）</v>
      </c>
      <c r="R10" s="701" t="s">
        <v>14</v>
      </c>
      <c r="S10" s="702">
        <f t="shared" si="0"/>
        <v>132</v>
      </c>
      <c r="T10" s="701" t="s">
        <v>14</v>
      </c>
      <c r="U10" s="702">
        <f t="shared" si="1"/>
        <v>132</v>
      </c>
      <c r="V10" s="701" t="s">
        <v>14</v>
      </c>
      <c r="W10" s="702">
        <f t="shared" si="2"/>
        <v>132</v>
      </c>
      <c r="X10" s="703"/>
      <c r="Y10" s="3583"/>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27"/>
      <c r="Q11" s="1339" t="str">
        <f t="shared" si="6"/>
        <v>容积率</v>
      </c>
      <c r="R11" s="701" t="s">
        <v>14</v>
      </c>
      <c r="S11" s="702" t="e">
        <f t="shared" si="0"/>
        <v>#N/A</v>
      </c>
      <c r="T11" s="701" t="s">
        <v>14</v>
      </c>
      <c r="U11" s="702" t="e">
        <f t="shared" si="1"/>
        <v>#N/A</v>
      </c>
      <c r="V11" s="701" t="s">
        <v>14</v>
      </c>
      <c r="W11" s="702" t="e">
        <f t="shared" si="2"/>
        <v>#N/A</v>
      </c>
      <c r="X11" s="703"/>
      <c r="Y11" s="3583"/>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27"/>
      <c r="Q12" s="1339" t="str">
        <f t="shared" si="6"/>
        <v>配建</v>
      </c>
      <c r="R12" s="701" t="s">
        <v>14</v>
      </c>
      <c r="S12" s="702">
        <f t="shared" si="0"/>
        <v>100</v>
      </c>
      <c r="T12" s="701" t="s">
        <v>14</v>
      </c>
      <c r="U12" s="702">
        <f t="shared" si="1"/>
        <v>100</v>
      </c>
      <c r="V12" s="701" t="s">
        <v>14</v>
      </c>
      <c r="W12" s="702">
        <f t="shared" si="2"/>
        <v>100</v>
      </c>
      <c r="X12" s="703"/>
      <c r="Y12" s="3583"/>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27"/>
      <c r="Q13" s="1339">
        <f t="shared" si="6"/>
        <v>111</v>
      </c>
      <c r="R13" s="701" t="s">
        <v>14</v>
      </c>
      <c r="S13" s="702">
        <f t="shared" si="0"/>
        <v>100</v>
      </c>
      <c r="T13" s="701" t="s">
        <v>14</v>
      </c>
      <c r="U13" s="702">
        <f t="shared" si="1"/>
        <v>100</v>
      </c>
      <c r="V13" s="701" t="s">
        <v>14</v>
      </c>
      <c r="W13" s="702">
        <f t="shared" si="2"/>
        <v>100</v>
      </c>
      <c r="X13" s="703"/>
      <c r="Y13" s="3583"/>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27"/>
      <c r="Q14" s="1339">
        <f t="shared" si="6"/>
        <v>111</v>
      </c>
      <c r="R14" s="701" t="s">
        <v>14</v>
      </c>
      <c r="S14" s="702">
        <f t="shared" si="0"/>
        <v>100</v>
      </c>
      <c r="T14" s="701" t="s">
        <v>14</v>
      </c>
      <c r="U14" s="702">
        <f t="shared" si="1"/>
        <v>100</v>
      </c>
      <c r="V14" s="701" t="s">
        <v>14</v>
      </c>
      <c r="W14" s="702">
        <f t="shared" si="2"/>
        <v>100</v>
      </c>
      <c r="X14" s="703"/>
      <c r="Y14" s="3583"/>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29" t="s">
        <v>1691</v>
      </c>
      <c r="Q15" s="1348" t="str">
        <f t="shared" si="6"/>
        <v>居住社区成熟度</v>
      </c>
      <c r="R15" s="705" t="s">
        <v>14</v>
      </c>
      <c r="S15" s="706">
        <f t="shared" si="0"/>
        <v>100</v>
      </c>
      <c r="T15" s="705" t="s">
        <v>14</v>
      </c>
      <c r="U15" s="706">
        <f t="shared" si="1"/>
        <v>100</v>
      </c>
      <c r="V15" s="705" t="s">
        <v>14</v>
      </c>
      <c r="W15" s="706">
        <f t="shared" si="2"/>
        <v>100</v>
      </c>
      <c r="X15" s="1351"/>
      <c r="Y15" s="372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30"/>
      <c r="Q16" s="1348"/>
      <c r="R16" s="705"/>
      <c r="S16" s="706"/>
      <c r="T16" s="705"/>
      <c r="U16" s="706"/>
      <c r="V16" s="705"/>
      <c r="W16" s="706"/>
      <c r="X16" s="1351"/>
      <c r="Y16" s="3730"/>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0"/>
      <c r="Q17" s="1348" t="str">
        <f>B17</f>
        <v>商业繁华度</v>
      </c>
      <c r="R17" s="705" t="s">
        <v>14</v>
      </c>
      <c r="S17" s="706">
        <f>F17</f>
        <v>100</v>
      </c>
      <c r="T17" s="705" t="s">
        <v>14</v>
      </c>
      <c r="U17" s="706">
        <f>H17</f>
        <v>100</v>
      </c>
      <c r="V17" s="705" t="s">
        <v>14</v>
      </c>
      <c r="W17" s="706">
        <f>J17</f>
        <v>100</v>
      </c>
      <c r="X17" s="1351"/>
      <c r="Y17" s="373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30"/>
      <c r="Q18" s="1348"/>
      <c r="R18" s="705"/>
      <c r="S18" s="706"/>
      <c r="T18" s="705"/>
      <c r="U18" s="706"/>
      <c r="V18" s="705"/>
      <c r="W18" s="706"/>
      <c r="X18" s="1351"/>
      <c r="Y18" s="3730"/>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0"/>
      <c r="Q19" s="1348" t="str">
        <f>B19</f>
        <v>办公集聚程度</v>
      </c>
      <c r="R19" s="705" t="s">
        <v>14</v>
      </c>
      <c r="S19" s="706">
        <f>F19</f>
        <v>100</v>
      </c>
      <c r="T19" s="705" t="s">
        <v>14</v>
      </c>
      <c r="U19" s="706">
        <f>H19</f>
        <v>100</v>
      </c>
      <c r="V19" s="705" t="s">
        <v>14</v>
      </c>
      <c r="W19" s="706">
        <f>J19</f>
        <v>100</v>
      </c>
      <c r="X19" s="1351"/>
      <c r="Y19" s="373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30"/>
      <c r="Q20" s="1348"/>
      <c r="R20" s="705"/>
      <c r="S20" s="706"/>
      <c r="T20" s="705"/>
      <c r="U20" s="706"/>
      <c r="V20" s="705"/>
      <c r="W20" s="706"/>
      <c r="X20" s="1351"/>
      <c r="Y20" s="3730"/>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0"/>
      <c r="Q21" s="1348" t="str">
        <f>B21</f>
        <v>交通便捷度</v>
      </c>
      <c r="R21" s="705" t="s">
        <v>14</v>
      </c>
      <c r="S21" s="706">
        <f>F21</f>
        <v>100</v>
      </c>
      <c r="T21" s="705" t="s">
        <v>14</v>
      </c>
      <c r="U21" s="706">
        <f>H21</f>
        <v>100</v>
      </c>
      <c r="V21" s="705" t="s">
        <v>14</v>
      </c>
      <c r="W21" s="706">
        <f>J21</f>
        <v>100</v>
      </c>
      <c r="X21" s="1351"/>
      <c r="Y21" s="373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30"/>
      <c r="Q22" s="1348"/>
      <c r="R22" s="705"/>
      <c r="S22" s="706"/>
      <c r="T22" s="705"/>
      <c r="U22" s="706"/>
      <c r="V22" s="705"/>
      <c r="W22" s="706"/>
      <c r="X22" s="1351"/>
      <c r="Y22" s="3730"/>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0"/>
      <c r="Q23" s="1348" t="str">
        <f t="shared" ref="Q23:Q37" si="8">B23</f>
        <v>区域土地利用方向</v>
      </c>
      <c r="R23" s="705" t="s">
        <v>14</v>
      </c>
      <c r="S23" s="706">
        <f>F23</f>
        <v>100</v>
      </c>
      <c r="T23" s="705" t="s">
        <v>14</v>
      </c>
      <c r="U23" s="706">
        <f>H23</f>
        <v>100</v>
      </c>
      <c r="V23" s="705" t="s">
        <v>14</v>
      </c>
      <c r="W23" s="706">
        <f>J23</f>
        <v>100</v>
      </c>
      <c r="X23" s="1351"/>
      <c r="Y23" s="373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30"/>
      <c r="Q24" s="1348"/>
      <c r="R24" s="705"/>
      <c r="S24" s="706"/>
      <c r="T24" s="705"/>
      <c r="U24" s="706"/>
      <c r="V24" s="705"/>
      <c r="W24" s="706"/>
      <c r="X24" s="1351"/>
      <c r="Y24" s="3730"/>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0"/>
      <c r="Q25" s="1348" t="str">
        <f t="shared" si="8"/>
        <v>自然及人文环境状况</v>
      </c>
      <c r="R25" s="705" t="s">
        <v>14</v>
      </c>
      <c r="S25" s="706">
        <f>F25</f>
        <v>100</v>
      </c>
      <c r="T25" s="705" t="s">
        <v>14</v>
      </c>
      <c r="U25" s="706">
        <f>H25</f>
        <v>100</v>
      </c>
      <c r="V25" s="705" t="s">
        <v>14</v>
      </c>
      <c r="W25" s="706">
        <f>J25</f>
        <v>100</v>
      </c>
      <c r="X25" s="1351"/>
      <c r="Y25" s="373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30"/>
      <c r="Q26" s="1348"/>
      <c r="R26" s="705"/>
      <c r="S26" s="706"/>
      <c r="T26" s="705"/>
      <c r="U26" s="706"/>
      <c r="V26" s="705"/>
      <c r="W26" s="706"/>
      <c r="X26" s="1351"/>
      <c r="Y26" s="3730"/>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0"/>
      <c r="Q27" s="1339" t="str">
        <f t="shared" si="8"/>
        <v>公共配套设施</v>
      </c>
      <c r="R27" s="701" t="s">
        <v>14</v>
      </c>
      <c r="S27" s="702">
        <f>F27</f>
        <v>100</v>
      </c>
      <c r="T27" s="701" t="s">
        <v>14</v>
      </c>
      <c r="U27" s="702">
        <f>H27</f>
        <v>100</v>
      </c>
      <c r="V27" s="701" t="s">
        <v>14</v>
      </c>
      <c r="W27" s="702">
        <f>J27</f>
        <v>100</v>
      </c>
      <c r="X27" s="703"/>
      <c r="Y27" s="373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30"/>
      <c r="Q28" s="1339"/>
      <c r="R28" s="701"/>
      <c r="S28" s="702"/>
      <c r="T28" s="701"/>
      <c r="U28" s="702"/>
      <c r="V28" s="701"/>
      <c r="W28" s="702"/>
      <c r="X28" s="703"/>
      <c r="Y28" s="3730"/>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0"/>
      <c r="Q29" s="1339" t="str">
        <f t="shared" ref="Q29" si="9">B29</f>
        <v>基础设施水平</v>
      </c>
      <c r="R29" s="701" t="s">
        <v>14</v>
      </c>
      <c r="S29" s="702">
        <f>F29</f>
        <v>100</v>
      </c>
      <c r="T29" s="701" t="s">
        <v>14</v>
      </c>
      <c r="U29" s="702">
        <f>H29</f>
        <v>100</v>
      </c>
      <c r="V29" s="701" t="s">
        <v>14</v>
      </c>
      <c r="W29" s="702">
        <f>J29</f>
        <v>100</v>
      </c>
      <c r="X29" s="703"/>
      <c r="Y29" s="373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30"/>
      <c r="Q30" s="1339"/>
      <c r="R30" s="701"/>
      <c r="S30" s="702"/>
      <c r="T30" s="701"/>
      <c r="U30" s="702"/>
      <c r="V30" s="701"/>
      <c r="W30" s="702"/>
      <c r="X30" s="703"/>
      <c r="Y30" s="3730"/>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30"/>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0"/>
      <c r="Q32" s="1348" t="str">
        <f t="shared" si="8"/>
        <v>毗邻道路的类型与等级</v>
      </c>
      <c r="R32" s="705" t="s">
        <v>14</v>
      </c>
      <c r="S32" s="706">
        <f t="shared" si="10"/>
        <v>100</v>
      </c>
      <c r="T32" s="705" t="s">
        <v>14</v>
      </c>
      <c r="U32" s="706">
        <f t="shared" si="11"/>
        <v>100</v>
      </c>
      <c r="V32" s="705" t="s">
        <v>14</v>
      </c>
      <c r="W32" s="706">
        <f t="shared" si="12"/>
        <v>100</v>
      </c>
      <c r="X32" s="1351"/>
      <c r="Y32" s="373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30"/>
      <c r="Q33" s="1348"/>
      <c r="R33" s="705"/>
      <c r="S33" s="706"/>
      <c r="T33" s="705"/>
      <c r="U33" s="706"/>
      <c r="V33" s="705"/>
      <c r="W33" s="706"/>
      <c r="X33" s="1351"/>
      <c r="Y33" s="3730"/>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0"/>
      <c r="Q34" s="1348" t="str">
        <f t="shared" si="8"/>
        <v>土地级别</v>
      </c>
      <c r="R34" s="705" t="s">
        <v>14</v>
      </c>
      <c r="S34" s="706">
        <f t="shared" si="10"/>
        <v>100</v>
      </c>
      <c r="T34" s="705" t="s">
        <v>14</v>
      </c>
      <c r="U34" s="706">
        <f t="shared" si="11"/>
        <v>100</v>
      </c>
      <c r="V34" s="705" t="s">
        <v>14</v>
      </c>
      <c r="W34" s="706">
        <f t="shared" si="12"/>
        <v>100</v>
      </c>
      <c r="X34" s="1351"/>
      <c r="Y34" s="373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0"/>
      <c r="Q35" s="1348">
        <f t="shared" si="8"/>
        <v>111</v>
      </c>
      <c r="R35" s="705" t="s">
        <v>14</v>
      </c>
      <c r="S35" s="706">
        <f t="shared" si="10"/>
        <v>100</v>
      </c>
      <c r="T35" s="705" t="s">
        <v>14</v>
      </c>
      <c r="U35" s="706">
        <f t="shared" si="11"/>
        <v>100</v>
      </c>
      <c r="V35" s="705" t="s">
        <v>14</v>
      </c>
      <c r="W35" s="706">
        <f t="shared" si="12"/>
        <v>100</v>
      </c>
      <c r="X35" s="1351"/>
      <c r="Y35" s="373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5" t="s">
        <v>1696</v>
      </c>
      <c r="Q36" s="1348">
        <f t="shared" si="8"/>
        <v>111</v>
      </c>
      <c r="R36" s="705" t="s">
        <v>14</v>
      </c>
      <c r="S36" s="706">
        <f t="shared" si="10"/>
        <v>100</v>
      </c>
      <c r="T36" s="705" t="s">
        <v>14</v>
      </c>
      <c r="U36" s="706">
        <f t="shared" si="11"/>
        <v>100</v>
      </c>
      <c r="V36" s="705" t="s">
        <v>14</v>
      </c>
      <c r="W36" s="706">
        <f t="shared" si="12"/>
        <v>100</v>
      </c>
      <c r="X36" s="1351"/>
      <c r="Y36" s="3734"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4"/>
      <c r="Q37" s="1348">
        <f t="shared" si="8"/>
        <v>111</v>
      </c>
      <c r="R37" s="708" t="s">
        <v>14</v>
      </c>
      <c r="S37" s="709">
        <f t="shared" si="10"/>
        <v>100</v>
      </c>
      <c r="T37" s="708" t="s">
        <v>14</v>
      </c>
      <c r="U37" s="709">
        <f t="shared" si="11"/>
        <v>100</v>
      </c>
      <c r="V37" s="708" t="s">
        <v>14</v>
      </c>
      <c r="W37" s="709">
        <f t="shared" si="12"/>
        <v>100</v>
      </c>
      <c r="X37" s="710"/>
      <c r="Y37" s="3734"/>
      <c r="Z37" s="711">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34"/>
      <c r="Q38" s="1348" t="str">
        <f>B38</f>
        <v>宗地面积</v>
      </c>
      <c r="R38" s="705" t="s">
        <v>14</v>
      </c>
      <c r="S38" s="706" t="e">
        <f t="shared" si="10"/>
        <v>#N/A</v>
      </c>
      <c r="T38" s="705" t="s">
        <v>14</v>
      </c>
      <c r="U38" s="706" t="e">
        <f t="shared" si="11"/>
        <v>#N/A</v>
      </c>
      <c r="V38" s="705" t="s">
        <v>14</v>
      </c>
      <c r="W38" s="706" t="e">
        <f t="shared" si="12"/>
        <v>#N/A</v>
      </c>
      <c r="X38" s="1351"/>
      <c r="Y38" s="373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34"/>
      <c r="Q39" s="1348" t="str">
        <f t="shared" ref="Q39:Q45" si="14">B39</f>
        <v>宗地形状</v>
      </c>
      <c r="R39" s="705" t="s">
        <v>14</v>
      </c>
      <c r="S39" s="706">
        <f t="shared" si="10"/>
        <v>100</v>
      </c>
      <c r="T39" s="705" t="s">
        <v>14</v>
      </c>
      <c r="U39" s="706">
        <f t="shared" si="11"/>
        <v>100</v>
      </c>
      <c r="V39" s="705" t="s">
        <v>14</v>
      </c>
      <c r="W39" s="706">
        <f t="shared" si="12"/>
        <v>100</v>
      </c>
      <c r="X39" s="1351"/>
      <c r="Y39" s="373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34"/>
      <c r="Q40" s="1348" t="str">
        <f t="shared" si="14"/>
        <v>临街宽度及深度</v>
      </c>
      <c r="R40" s="705" t="s">
        <v>14</v>
      </c>
      <c r="S40" s="706">
        <f t="shared" si="10"/>
        <v>100</v>
      </c>
      <c r="T40" s="705" t="s">
        <v>14</v>
      </c>
      <c r="U40" s="706">
        <f t="shared" si="11"/>
        <v>100</v>
      </c>
      <c r="V40" s="705" t="s">
        <v>14</v>
      </c>
      <c r="W40" s="706">
        <f t="shared" si="12"/>
        <v>100</v>
      </c>
      <c r="X40" s="1351"/>
      <c r="Y40" s="3734"/>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34"/>
      <c r="Q41" s="1348"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34" t="s">
        <v>1696</v>
      </c>
      <c r="Q42" s="1348" t="str">
        <f t="shared" si="14"/>
        <v>工程地质条件</v>
      </c>
      <c r="R42" s="705" t="s">
        <v>14</v>
      </c>
      <c r="S42" s="706">
        <f t="shared" si="10"/>
        <v>100</v>
      </c>
      <c r="T42" s="705" t="s">
        <v>14</v>
      </c>
      <c r="U42" s="706">
        <f t="shared" si="11"/>
        <v>100</v>
      </c>
      <c r="V42" s="705" t="s">
        <v>14</v>
      </c>
      <c r="W42" s="706">
        <f t="shared" si="12"/>
        <v>100</v>
      </c>
      <c r="X42" s="1351"/>
      <c r="Y42" s="3734"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4"/>
      <c r="Q43" s="1348">
        <f t="shared" si="14"/>
        <v>111</v>
      </c>
      <c r="R43" s="705" t="s">
        <v>14</v>
      </c>
      <c r="S43" s="706">
        <f t="shared" si="10"/>
        <v>100</v>
      </c>
      <c r="T43" s="705" t="s">
        <v>14</v>
      </c>
      <c r="U43" s="706">
        <f t="shared" si="11"/>
        <v>100</v>
      </c>
      <c r="V43" s="705" t="s">
        <v>14</v>
      </c>
      <c r="W43" s="706">
        <f t="shared" si="12"/>
        <v>100</v>
      </c>
      <c r="X43" s="1351"/>
      <c r="Y43" s="373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4"/>
      <c r="Q44" s="1348">
        <f t="shared" si="14"/>
        <v>111</v>
      </c>
      <c r="R44" s="705" t="s">
        <v>14</v>
      </c>
      <c r="S44" s="706">
        <f t="shared" si="10"/>
        <v>100</v>
      </c>
      <c r="T44" s="705" t="s">
        <v>14</v>
      </c>
      <c r="U44" s="706">
        <f t="shared" si="11"/>
        <v>100</v>
      </c>
      <c r="V44" s="705" t="s">
        <v>14</v>
      </c>
      <c r="W44" s="706">
        <f t="shared" si="12"/>
        <v>100</v>
      </c>
      <c r="X44" s="1351"/>
      <c r="Y44" s="373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4"/>
      <c r="Q45" s="1348">
        <f t="shared" si="14"/>
        <v>111</v>
      </c>
      <c r="R45" s="708" t="s">
        <v>14</v>
      </c>
      <c r="S45" s="709">
        <f t="shared" si="10"/>
        <v>100</v>
      </c>
      <c r="T45" s="708" t="s">
        <v>14</v>
      </c>
      <c r="U45" s="709">
        <f t="shared" si="11"/>
        <v>100</v>
      </c>
      <c r="V45" s="708" t="s">
        <v>14</v>
      </c>
      <c r="W45" s="709">
        <f t="shared" si="12"/>
        <v>100</v>
      </c>
      <c r="X45" s="710"/>
      <c r="Y45" s="3734"/>
      <c r="Z45" s="711">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4"/>
      <c r="L46" s="2720"/>
      <c r="M46" s="2721"/>
      <c r="N46" s="2712"/>
      <c r="O46" s="2721"/>
      <c r="P46" s="3727" t="str">
        <f>A46</f>
        <v>成交单价</v>
      </c>
      <c r="Q46" s="3727"/>
      <c r="R46" s="3758">
        <f>E46</f>
        <v>0</v>
      </c>
      <c r="S46" s="3758"/>
      <c r="T46" s="3758">
        <f>G46</f>
        <v>0</v>
      </c>
      <c r="U46" s="3758"/>
      <c r="V46" s="3758">
        <f>I46</f>
        <v>0</v>
      </c>
      <c r="W46" s="3758"/>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27" t="str">
        <f>A47</f>
        <v>比较价值（元/平方米）</v>
      </c>
      <c r="Q47" s="3727"/>
      <c r="R47" s="3787" t="e">
        <f>ROUND(PRODUCT(R46,AA7:AA45),0)</f>
        <v>#DIV/0!</v>
      </c>
      <c r="S47" s="3787"/>
      <c r="T47" s="3787" t="e">
        <f>ROUND(PRODUCT(T46,AB7:AB45),0)</f>
        <v>#DIV/0!</v>
      </c>
      <c r="U47" s="3787"/>
      <c r="V47" s="3787" t="e">
        <f>ROUND(PRODUCT(V46,AC7:AC45),0)</f>
        <v>#DIV/0!</v>
      </c>
      <c r="W47" s="378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24" t="str">
        <f>A48</f>
        <v>估价对象XX用房的比较价值（楼面单价，元/平方米）</v>
      </c>
      <c r="Q48" s="3725"/>
      <c r="R48" s="3788" t="e">
        <f>ROUND(IF(D47="简单平均",AVERAGE(R47:W47),R47*F47+T47*H47+V47*J47),0)</f>
        <v>#DIV/0!</v>
      </c>
      <c r="S48" s="3788"/>
      <c r="T48" s="3788"/>
      <c r="U48" s="3788"/>
      <c r="V48" s="3788"/>
      <c r="W48" s="378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742" t="s">
        <v>1887</v>
      </c>
      <c r="H55" s="378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2447.34</v>
      </c>
      <c r="F56" s="882" t="e">
        <f t="shared" ref="F56:F64" si="15">ROUND(B56*E56/10000,0)</f>
        <v>#DIV/0!</v>
      </c>
      <c r="G56" s="3738"/>
      <c r="H56" s="3727"/>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1">
        <v>0.25</v>
      </c>
      <c r="E57" s="642"/>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1">
        <v>0.25</v>
      </c>
      <c r="E58" s="642"/>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1">
        <v>0.25</v>
      </c>
      <c r="E59" s="642"/>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1">
        <v>0.25</v>
      </c>
      <c r="E63" s="217">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5">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52" t="s">
        <v>1771</v>
      </c>
      <c r="S4" s="3753"/>
      <c r="T4" s="3752" t="s">
        <v>1772</v>
      </c>
      <c r="U4" s="3753"/>
      <c r="V4" s="3758" t="s">
        <v>1773</v>
      </c>
      <c r="W4" s="3758"/>
      <c r="X4" s="1351"/>
      <c r="Y4" s="3752" t="s">
        <v>1775</v>
      </c>
      <c r="Z4" s="3753"/>
      <c r="AA4" s="3739" t="s">
        <v>1771</v>
      </c>
      <c r="AB4" s="3740" t="s">
        <v>1772</v>
      </c>
      <c r="AC4" s="3739" t="s">
        <v>1773</v>
      </c>
    </row>
    <row r="5" spans="1:29" ht="15">
      <c r="A5" s="358"/>
      <c r="B5" s="359"/>
      <c r="C5" s="3761" t="s">
        <v>1673</v>
      </c>
      <c r="D5" s="3762"/>
      <c r="E5" s="3768" t="s">
        <v>1674</v>
      </c>
      <c r="F5" s="3769"/>
      <c r="G5" s="3761" t="s">
        <v>1675</v>
      </c>
      <c r="H5" s="3762"/>
      <c r="I5" s="3761" t="s">
        <v>1676</v>
      </c>
      <c r="J5" s="3762"/>
      <c r="K5" s="559"/>
      <c r="L5" s="2711"/>
      <c r="M5" s="2712"/>
      <c r="N5" s="2712"/>
      <c r="O5" s="2712"/>
      <c r="P5" s="3748"/>
      <c r="Q5" s="3749"/>
      <c r="R5" s="3754"/>
      <c r="S5" s="3755"/>
      <c r="T5" s="3754"/>
      <c r="U5" s="3755"/>
      <c r="V5" s="3758"/>
      <c r="W5" s="3758"/>
      <c r="X5" s="1351"/>
      <c r="Y5" s="3754"/>
      <c r="Z5" s="3755"/>
      <c r="AA5" s="3740"/>
      <c r="AB5" s="3740"/>
      <c r="AC5" s="3740"/>
    </row>
    <row r="6" spans="1:29" ht="15.75" thickBot="1">
      <c r="A6" s="360"/>
      <c r="B6" s="361"/>
      <c r="C6" s="3790" t="s">
        <v>1919</v>
      </c>
      <c r="D6" s="3791"/>
      <c r="E6" s="3792" t="s">
        <v>1919</v>
      </c>
      <c r="F6" s="3793"/>
      <c r="G6" s="3790" t="s">
        <v>1919</v>
      </c>
      <c r="H6" s="3791"/>
      <c r="I6" s="3790" t="s">
        <v>1919</v>
      </c>
      <c r="J6" s="3791"/>
      <c r="K6" s="559" t="s">
        <v>1678</v>
      </c>
      <c r="L6" s="2711"/>
      <c r="M6" s="2712"/>
      <c r="N6" s="2712"/>
      <c r="O6" s="2712"/>
      <c r="P6" s="3750"/>
      <c r="Q6" s="3751"/>
      <c r="R6" s="3754"/>
      <c r="S6" s="3755"/>
      <c r="T6" s="3756"/>
      <c r="U6" s="3757"/>
      <c r="V6" s="3758"/>
      <c r="W6" s="3758"/>
      <c r="X6" s="1351"/>
      <c r="Y6" s="3756"/>
      <c r="Z6" s="3757"/>
      <c r="AA6" s="3741"/>
      <c r="AB6" s="3741"/>
      <c r="AC6" s="3741"/>
    </row>
    <row r="7" spans="1:29" s="108" customFormat="1" ht="15.75" thickBot="1">
      <c r="A7" s="362" t="s">
        <v>1679</v>
      </c>
      <c r="B7" s="363"/>
      <c r="C7" s="364">
        <f>'数据-取费表'!B2</f>
        <v>45417</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63" t="s">
        <v>1680</v>
      </c>
      <c r="Q7" s="3765"/>
      <c r="R7" s="701" t="s">
        <v>14</v>
      </c>
      <c r="S7" s="702">
        <f t="shared" ref="S7:S15" si="0">F7</f>
        <v>0</v>
      </c>
      <c r="T7" s="701" t="s">
        <v>14</v>
      </c>
      <c r="U7" s="702">
        <f t="shared" ref="U7:U15" si="1">H7</f>
        <v>0</v>
      </c>
      <c r="V7" s="701" t="s">
        <v>14</v>
      </c>
      <c r="W7" s="702">
        <f t="shared" ref="W7:W15" si="2">J7</f>
        <v>0</v>
      </c>
      <c r="X7" s="703"/>
      <c r="Y7" s="3763" t="s">
        <v>1680</v>
      </c>
      <c r="Z7" s="37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63" t="s">
        <v>1683</v>
      </c>
      <c r="Q8" s="3764"/>
      <c r="R8" s="701" t="s">
        <v>14</v>
      </c>
      <c r="S8" s="702">
        <f t="shared" si="0"/>
        <v>0</v>
      </c>
      <c r="T8" s="701" t="s">
        <v>14</v>
      </c>
      <c r="U8" s="702">
        <f t="shared" si="1"/>
        <v>0</v>
      </c>
      <c r="V8" s="701" t="s">
        <v>14</v>
      </c>
      <c r="W8" s="702">
        <f t="shared" si="2"/>
        <v>0</v>
      </c>
      <c r="X8" s="703"/>
      <c r="Y8" s="3763" t="s">
        <v>1683</v>
      </c>
      <c r="Z8" s="3764"/>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27" t="s">
        <v>1686</v>
      </c>
      <c r="Q9" s="1339" t="str">
        <f t="shared" ref="Q9:Q15" si="6">B9</f>
        <v>用途</v>
      </c>
      <c r="R9" s="701" t="s">
        <v>14</v>
      </c>
      <c r="S9" s="702">
        <f t="shared" si="0"/>
        <v>100</v>
      </c>
      <c r="T9" s="701" t="s">
        <v>14</v>
      </c>
      <c r="U9" s="702">
        <f t="shared" si="1"/>
        <v>100</v>
      </c>
      <c r="V9" s="701" t="s">
        <v>14</v>
      </c>
      <c r="W9" s="702">
        <f t="shared" si="2"/>
        <v>100</v>
      </c>
      <c r="X9" s="703"/>
      <c r="Y9" s="358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5"/>
      <c r="M10" s="2716"/>
      <c r="N10" s="2716"/>
      <c r="O10" s="2769"/>
      <c r="P10" s="3727"/>
      <c r="Q10" s="1339" t="str">
        <f t="shared" si="6"/>
        <v>土地使用年限（年）</v>
      </c>
      <c r="R10" s="701" t="s">
        <v>14</v>
      </c>
      <c r="S10" s="702">
        <f t="shared" si="0"/>
        <v>132</v>
      </c>
      <c r="T10" s="701" t="s">
        <v>14</v>
      </c>
      <c r="U10" s="702">
        <f t="shared" si="1"/>
        <v>132</v>
      </c>
      <c r="V10" s="701" t="s">
        <v>14</v>
      </c>
      <c r="W10" s="702">
        <f t="shared" si="2"/>
        <v>132</v>
      </c>
      <c r="X10" s="703"/>
      <c r="Y10" s="3583"/>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27"/>
      <c r="Q11" s="1339" t="str">
        <f t="shared" si="6"/>
        <v>容积率</v>
      </c>
      <c r="R11" s="701" t="s">
        <v>14</v>
      </c>
      <c r="S11" s="702" t="e">
        <f t="shared" si="0"/>
        <v>#N/A</v>
      </c>
      <c r="T11" s="701" t="s">
        <v>14</v>
      </c>
      <c r="U11" s="702" t="e">
        <f t="shared" si="1"/>
        <v>#N/A</v>
      </c>
      <c r="V11" s="701" t="s">
        <v>14</v>
      </c>
      <c r="W11" s="702" t="e">
        <f t="shared" si="2"/>
        <v>#N/A</v>
      </c>
      <c r="X11" s="703"/>
      <c r="Y11" s="3583"/>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27"/>
      <c r="Q12" s="1339">
        <f t="shared" si="6"/>
        <v>111</v>
      </c>
      <c r="R12" s="701" t="s">
        <v>14</v>
      </c>
      <c r="S12" s="702">
        <f t="shared" si="0"/>
        <v>100</v>
      </c>
      <c r="T12" s="701" t="s">
        <v>14</v>
      </c>
      <c r="U12" s="702">
        <f t="shared" si="1"/>
        <v>100</v>
      </c>
      <c r="V12" s="701" t="s">
        <v>14</v>
      </c>
      <c r="W12" s="702">
        <f t="shared" si="2"/>
        <v>100</v>
      </c>
      <c r="X12" s="703"/>
      <c r="Y12" s="3583"/>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27"/>
      <c r="Q13" s="1339">
        <f t="shared" si="6"/>
        <v>111</v>
      </c>
      <c r="R13" s="701" t="s">
        <v>14</v>
      </c>
      <c r="S13" s="702">
        <f t="shared" si="0"/>
        <v>100</v>
      </c>
      <c r="T13" s="701" t="s">
        <v>14</v>
      </c>
      <c r="U13" s="702">
        <f t="shared" si="1"/>
        <v>100</v>
      </c>
      <c r="V13" s="701" t="s">
        <v>14</v>
      </c>
      <c r="W13" s="702">
        <f t="shared" si="2"/>
        <v>100</v>
      </c>
      <c r="X13" s="703"/>
      <c r="Y13" s="3583"/>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27"/>
      <c r="Q14" s="1339">
        <f t="shared" si="6"/>
        <v>111</v>
      </c>
      <c r="R14" s="701" t="s">
        <v>14</v>
      </c>
      <c r="S14" s="702">
        <f t="shared" si="0"/>
        <v>100</v>
      </c>
      <c r="T14" s="701" t="s">
        <v>14</v>
      </c>
      <c r="U14" s="702">
        <f t="shared" si="1"/>
        <v>100</v>
      </c>
      <c r="V14" s="701" t="s">
        <v>14</v>
      </c>
      <c r="W14" s="702">
        <f t="shared" si="2"/>
        <v>100</v>
      </c>
      <c r="X14" s="703"/>
      <c r="Y14" s="3583"/>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29" t="s">
        <v>1691</v>
      </c>
      <c r="Q15" s="1348" t="str">
        <f t="shared" si="6"/>
        <v>产业集聚程度</v>
      </c>
      <c r="R15" s="705" t="s">
        <v>14</v>
      </c>
      <c r="S15" s="706">
        <f t="shared" si="0"/>
        <v>100</v>
      </c>
      <c r="T15" s="705" t="s">
        <v>14</v>
      </c>
      <c r="U15" s="706">
        <f t="shared" si="1"/>
        <v>100</v>
      </c>
      <c r="V15" s="705" t="s">
        <v>14</v>
      </c>
      <c r="W15" s="706">
        <f t="shared" si="2"/>
        <v>100</v>
      </c>
      <c r="X15" s="1351"/>
      <c r="Y15" s="3729"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30"/>
      <c r="Q16" s="1348"/>
      <c r="R16" s="705"/>
      <c r="S16" s="706"/>
      <c r="T16" s="705"/>
      <c r="U16" s="706"/>
      <c r="V16" s="705"/>
      <c r="W16" s="706"/>
      <c r="X16" s="1351"/>
      <c r="Y16" s="3730"/>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0"/>
      <c r="Q17" s="1348" t="str">
        <f>B17</f>
        <v>交通便捷度</v>
      </c>
      <c r="R17" s="705" t="s">
        <v>14</v>
      </c>
      <c r="S17" s="706">
        <f>F17</f>
        <v>100</v>
      </c>
      <c r="T17" s="705" t="s">
        <v>14</v>
      </c>
      <c r="U17" s="706">
        <f>H17</f>
        <v>100</v>
      </c>
      <c r="V17" s="705" t="s">
        <v>14</v>
      </c>
      <c r="W17" s="706">
        <f>J17</f>
        <v>100</v>
      </c>
      <c r="X17" s="1351"/>
      <c r="Y17" s="373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30"/>
      <c r="Q18" s="1348"/>
      <c r="R18" s="705"/>
      <c r="S18" s="706"/>
      <c r="T18" s="705"/>
      <c r="U18" s="706"/>
      <c r="V18" s="705"/>
      <c r="W18" s="706"/>
      <c r="X18" s="1351"/>
      <c r="Y18" s="3730"/>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0"/>
      <c r="Q19" s="1348" t="str">
        <f t="shared" ref="Q19:Q33" si="8">B19</f>
        <v>区域土地利用方向</v>
      </c>
      <c r="R19" s="705" t="s">
        <v>14</v>
      </c>
      <c r="S19" s="706">
        <f>F19</f>
        <v>100</v>
      </c>
      <c r="T19" s="705" t="s">
        <v>14</v>
      </c>
      <c r="U19" s="706">
        <f>H19</f>
        <v>100</v>
      </c>
      <c r="V19" s="705" t="s">
        <v>14</v>
      </c>
      <c r="W19" s="706">
        <f>J19</f>
        <v>100</v>
      </c>
      <c r="X19" s="1351"/>
      <c r="Y19" s="373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30"/>
      <c r="Q20" s="1348"/>
      <c r="R20" s="705"/>
      <c r="S20" s="706"/>
      <c r="T20" s="705"/>
      <c r="U20" s="706"/>
      <c r="V20" s="705"/>
      <c r="W20" s="706"/>
      <c r="X20" s="1351"/>
      <c r="Y20" s="3730"/>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0"/>
      <c r="Q21" s="1348" t="str">
        <f t="shared" si="8"/>
        <v>环境状况</v>
      </c>
      <c r="R21" s="705" t="s">
        <v>14</v>
      </c>
      <c r="S21" s="706">
        <f>F21</f>
        <v>100</v>
      </c>
      <c r="T21" s="705" t="s">
        <v>14</v>
      </c>
      <c r="U21" s="706">
        <f>H21</f>
        <v>100</v>
      </c>
      <c r="V21" s="705" t="s">
        <v>14</v>
      </c>
      <c r="W21" s="706">
        <f>J21</f>
        <v>100</v>
      </c>
      <c r="X21" s="1351"/>
      <c r="Y21" s="373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30"/>
      <c r="Q22" s="1348"/>
      <c r="R22" s="705"/>
      <c r="S22" s="706"/>
      <c r="T22" s="705"/>
      <c r="U22" s="706"/>
      <c r="V22" s="705"/>
      <c r="W22" s="706"/>
      <c r="X22" s="1351"/>
      <c r="Y22" s="3730"/>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0"/>
      <c r="Q23" s="1339" t="str">
        <f t="shared" si="8"/>
        <v>公共配套设施</v>
      </c>
      <c r="R23" s="701" t="s">
        <v>14</v>
      </c>
      <c r="S23" s="702">
        <f>F23</f>
        <v>100</v>
      </c>
      <c r="T23" s="701" t="s">
        <v>14</v>
      </c>
      <c r="U23" s="702">
        <f>H23</f>
        <v>100</v>
      </c>
      <c r="V23" s="701" t="s">
        <v>14</v>
      </c>
      <c r="W23" s="702">
        <f>J23</f>
        <v>100</v>
      </c>
      <c r="X23" s="703"/>
      <c r="Y23" s="373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30"/>
      <c r="Q24" s="1339"/>
      <c r="R24" s="701"/>
      <c r="S24" s="702"/>
      <c r="T24" s="701"/>
      <c r="U24" s="702"/>
      <c r="V24" s="701"/>
      <c r="W24" s="702"/>
      <c r="X24" s="703"/>
      <c r="Y24" s="3730"/>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0"/>
      <c r="Q25" s="1339" t="str">
        <f t="shared" ref="Q25" si="9">B25</f>
        <v>基础设施水平</v>
      </c>
      <c r="R25" s="701" t="s">
        <v>14</v>
      </c>
      <c r="S25" s="702">
        <f>F25</f>
        <v>100</v>
      </c>
      <c r="T25" s="701" t="s">
        <v>14</v>
      </c>
      <c r="U25" s="702">
        <f>H25</f>
        <v>100</v>
      </c>
      <c r="V25" s="701" t="s">
        <v>14</v>
      </c>
      <c r="W25" s="702">
        <f>J25</f>
        <v>100</v>
      </c>
      <c r="X25" s="703"/>
      <c r="Y25" s="373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30"/>
      <c r="Q26" s="1339"/>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30"/>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0"/>
      <c r="Q28" s="1348" t="str">
        <f t="shared" si="8"/>
        <v>毗邻道路的类型与等级</v>
      </c>
      <c r="R28" s="705" t="s">
        <v>14</v>
      </c>
      <c r="S28" s="706">
        <f t="shared" si="10"/>
        <v>100</v>
      </c>
      <c r="T28" s="705" t="s">
        <v>14</v>
      </c>
      <c r="U28" s="706">
        <f t="shared" si="11"/>
        <v>100</v>
      </c>
      <c r="V28" s="705" t="s">
        <v>14</v>
      </c>
      <c r="W28" s="706">
        <f t="shared" si="12"/>
        <v>100</v>
      </c>
      <c r="X28" s="1351"/>
      <c r="Y28" s="373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30"/>
      <c r="Q29" s="1348"/>
      <c r="R29" s="705"/>
      <c r="S29" s="706"/>
      <c r="T29" s="705"/>
      <c r="U29" s="706"/>
      <c r="V29" s="705"/>
      <c r="W29" s="706"/>
      <c r="X29" s="1351"/>
      <c r="Y29" s="3730"/>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0"/>
      <c r="Q30" s="1348" t="str">
        <f t="shared" si="8"/>
        <v>土地级别</v>
      </c>
      <c r="R30" s="705" t="s">
        <v>14</v>
      </c>
      <c r="S30" s="706">
        <f t="shared" si="10"/>
        <v>100</v>
      </c>
      <c r="T30" s="705" t="s">
        <v>14</v>
      </c>
      <c r="U30" s="706">
        <f t="shared" si="11"/>
        <v>100</v>
      </c>
      <c r="V30" s="705" t="s">
        <v>14</v>
      </c>
      <c r="W30" s="706">
        <f t="shared" si="12"/>
        <v>100</v>
      </c>
      <c r="X30" s="1351"/>
      <c r="Y30" s="373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0"/>
      <c r="Q31" s="1348">
        <f t="shared" si="8"/>
        <v>111</v>
      </c>
      <c r="R31" s="705" t="s">
        <v>14</v>
      </c>
      <c r="S31" s="706">
        <f t="shared" si="10"/>
        <v>100</v>
      </c>
      <c r="T31" s="705" t="s">
        <v>14</v>
      </c>
      <c r="U31" s="706">
        <f t="shared" si="11"/>
        <v>100</v>
      </c>
      <c r="V31" s="705" t="s">
        <v>14</v>
      </c>
      <c r="W31" s="706">
        <f t="shared" si="12"/>
        <v>100</v>
      </c>
      <c r="X31" s="1351"/>
      <c r="Y31" s="373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5" t="s">
        <v>1696</v>
      </c>
      <c r="Q32" s="1348">
        <f t="shared" si="8"/>
        <v>111</v>
      </c>
      <c r="R32" s="705" t="s">
        <v>14</v>
      </c>
      <c r="S32" s="706">
        <f t="shared" si="10"/>
        <v>100</v>
      </c>
      <c r="T32" s="705" t="s">
        <v>14</v>
      </c>
      <c r="U32" s="706">
        <f t="shared" si="11"/>
        <v>100</v>
      </c>
      <c r="V32" s="705" t="s">
        <v>14</v>
      </c>
      <c r="W32" s="706">
        <f t="shared" si="12"/>
        <v>100</v>
      </c>
      <c r="X32" s="1351"/>
      <c r="Y32" s="3734"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4"/>
      <c r="Q33" s="1348">
        <f t="shared" si="8"/>
        <v>111</v>
      </c>
      <c r="R33" s="708" t="s">
        <v>14</v>
      </c>
      <c r="S33" s="709">
        <f t="shared" si="10"/>
        <v>100</v>
      </c>
      <c r="T33" s="708" t="s">
        <v>14</v>
      </c>
      <c r="U33" s="709">
        <f t="shared" si="11"/>
        <v>100</v>
      </c>
      <c r="V33" s="708" t="s">
        <v>14</v>
      </c>
      <c r="W33" s="709">
        <f t="shared" si="12"/>
        <v>100</v>
      </c>
      <c r="X33" s="710"/>
      <c r="Y33" s="3734"/>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4"/>
      <c r="Q34" s="1348" t="str">
        <f>B34</f>
        <v>宗地面积</v>
      </c>
      <c r="R34" s="705" t="s">
        <v>14</v>
      </c>
      <c r="S34" s="706" t="e">
        <f t="shared" si="10"/>
        <v>#N/A</v>
      </c>
      <c r="T34" s="705" t="s">
        <v>14</v>
      </c>
      <c r="U34" s="706" t="e">
        <f t="shared" si="11"/>
        <v>#N/A</v>
      </c>
      <c r="V34" s="705" t="s">
        <v>14</v>
      </c>
      <c r="W34" s="706" t="e">
        <f t="shared" si="12"/>
        <v>#N/A</v>
      </c>
      <c r="X34" s="1351"/>
      <c r="Y34" s="373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34"/>
      <c r="Q35" s="1348" t="str">
        <f t="shared" ref="Q35:Q40" si="14">B35</f>
        <v>宗地形状</v>
      </c>
      <c r="R35" s="705" t="s">
        <v>14</v>
      </c>
      <c r="S35" s="706">
        <f t="shared" si="10"/>
        <v>100</v>
      </c>
      <c r="T35" s="705" t="s">
        <v>14</v>
      </c>
      <c r="U35" s="706">
        <f t="shared" si="11"/>
        <v>100</v>
      </c>
      <c r="V35" s="705" t="s">
        <v>14</v>
      </c>
      <c r="W35" s="706">
        <f t="shared" si="12"/>
        <v>100</v>
      </c>
      <c r="X35" s="1351"/>
      <c r="Y35" s="3734"/>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4"/>
      <c r="Q36" s="1348"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34" t="s">
        <v>1696</v>
      </c>
      <c r="Q37" s="1348" t="str">
        <f t="shared" si="14"/>
        <v>工程地质条件</v>
      </c>
      <c r="R37" s="705" t="s">
        <v>14</v>
      </c>
      <c r="S37" s="706">
        <f t="shared" si="10"/>
        <v>100</v>
      </c>
      <c r="T37" s="705" t="s">
        <v>14</v>
      </c>
      <c r="U37" s="706">
        <f t="shared" si="11"/>
        <v>100</v>
      </c>
      <c r="V37" s="705" t="s">
        <v>14</v>
      </c>
      <c r="W37" s="706">
        <f t="shared" si="12"/>
        <v>100</v>
      </c>
      <c r="X37" s="1351"/>
      <c r="Y37" s="3734"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4"/>
      <c r="Q38" s="1348">
        <f t="shared" si="14"/>
        <v>111</v>
      </c>
      <c r="R38" s="705" t="s">
        <v>14</v>
      </c>
      <c r="S38" s="706">
        <f t="shared" si="10"/>
        <v>100</v>
      </c>
      <c r="T38" s="705" t="s">
        <v>14</v>
      </c>
      <c r="U38" s="706">
        <f t="shared" si="11"/>
        <v>100</v>
      </c>
      <c r="V38" s="705" t="s">
        <v>14</v>
      </c>
      <c r="W38" s="706">
        <f t="shared" si="12"/>
        <v>100</v>
      </c>
      <c r="X38" s="1351"/>
      <c r="Y38" s="373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4"/>
      <c r="Q39" s="1348">
        <f t="shared" si="14"/>
        <v>111</v>
      </c>
      <c r="R39" s="705" t="s">
        <v>14</v>
      </c>
      <c r="S39" s="706">
        <f t="shared" si="10"/>
        <v>100</v>
      </c>
      <c r="T39" s="705" t="s">
        <v>14</v>
      </c>
      <c r="U39" s="706">
        <f t="shared" si="11"/>
        <v>100</v>
      </c>
      <c r="V39" s="705" t="s">
        <v>14</v>
      </c>
      <c r="W39" s="706">
        <f t="shared" si="12"/>
        <v>100</v>
      </c>
      <c r="X39" s="1351"/>
      <c r="Y39" s="373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4"/>
      <c r="Q40" s="1348">
        <f t="shared" si="14"/>
        <v>111</v>
      </c>
      <c r="R40" s="708" t="s">
        <v>14</v>
      </c>
      <c r="S40" s="709">
        <f t="shared" si="10"/>
        <v>100</v>
      </c>
      <c r="T40" s="708" t="s">
        <v>14</v>
      </c>
      <c r="U40" s="709">
        <f t="shared" si="11"/>
        <v>100</v>
      </c>
      <c r="V40" s="708" t="s">
        <v>14</v>
      </c>
      <c r="W40" s="709">
        <f t="shared" si="12"/>
        <v>100</v>
      </c>
      <c r="X40" s="710"/>
      <c r="Y40" s="3734"/>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727" t="str">
        <f>A41</f>
        <v>成交单价</v>
      </c>
      <c r="Q41" s="3727"/>
      <c r="R41" s="3758">
        <f>E41</f>
        <v>0</v>
      </c>
      <c r="S41" s="3758"/>
      <c r="T41" s="3758">
        <f>G41</f>
        <v>0</v>
      </c>
      <c r="U41" s="3758"/>
      <c r="V41" s="3758">
        <f>I41</f>
        <v>0</v>
      </c>
      <c r="W41" s="3758"/>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27" t="str">
        <f>A42</f>
        <v>比较价值（元/平方米）</v>
      </c>
      <c r="Q42" s="3727"/>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24" t="str">
        <f>A43</f>
        <v>估价对象XX用房的比较价值（楼面单价，元/平方米）</v>
      </c>
      <c r="Q43" s="3725"/>
      <c r="R43" s="3788" t="e">
        <f>ROUND(IF(D42="简单平均",AVERAGE(R42:W42),R42*F42+T42*H42+V42*J42),0)</f>
        <v>#DIV/0!</v>
      </c>
      <c r="S43" s="3788"/>
      <c r="T43" s="3788"/>
      <c r="U43" s="3788"/>
      <c r="V43" s="3788"/>
      <c r="W43" s="378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42" t="s">
        <v>1887</v>
      </c>
      <c r="H50" s="3789"/>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2447.34</v>
      </c>
      <c r="F51" s="639" t="e">
        <f t="shared" ref="F51:F60" si="15">ROUND(B51*E51/10000,0)</f>
        <v>#DIV/0!</v>
      </c>
      <c r="G51" s="3738"/>
      <c r="H51" s="3727"/>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1">
        <v>0.25</v>
      </c>
      <c r="E52" s="642"/>
      <c r="F52" s="639"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1">
        <v>0.25</v>
      </c>
      <c r="E53" s="642"/>
      <c r="F53" s="639"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1">
        <v>0.25</v>
      </c>
      <c r="E54" s="642"/>
      <c r="F54" s="639"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1">
        <v>0.25</v>
      </c>
      <c r="E59" s="217">
        <f>'数据-汇总表'!E14</f>
        <v>0</v>
      </c>
      <c r="F59" s="639"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5389.47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97" t="s">
        <v>2084</v>
      </c>
      <c r="D1" s="3798"/>
      <c r="E1" s="3798"/>
      <c r="F1" s="3798"/>
      <c r="G1" s="3798"/>
      <c r="H1" s="3798"/>
      <c r="I1" s="3798"/>
      <c r="J1" s="3798"/>
      <c r="K1" s="3798"/>
      <c r="L1" s="3798"/>
      <c r="M1" s="3798"/>
      <c r="N1" s="3798"/>
      <c r="O1" s="3798"/>
      <c r="P1" s="3798"/>
      <c r="Q1" s="3798"/>
      <c r="R1" s="3798"/>
      <c r="S1" s="379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594</v>
      </c>
      <c r="C2" s="2141" t="s">
        <v>2074</v>
      </c>
      <c r="D2" s="2141" t="s">
        <v>2075</v>
      </c>
      <c r="E2" s="2608">
        <f ca="1">SUMIF(E6:E13,"&lt;&gt;#ref!",E6:E13)</f>
        <v>5389.47</v>
      </c>
      <c r="F2" s="2789"/>
      <c r="G2" s="2789"/>
      <c r="H2" s="2789"/>
      <c r="I2" s="2789"/>
      <c r="J2" s="2789"/>
      <c r="K2" s="2789"/>
      <c r="L2" s="2789"/>
      <c r="M2" s="2789"/>
      <c r="N2" s="2789"/>
      <c r="O2" s="2789"/>
      <c r="P2" s="2789"/>
    </row>
    <row r="3" spans="1:16" ht="15.75">
      <c r="A3" s="2141" t="s">
        <v>2076</v>
      </c>
      <c r="B3" s="2598">
        <f ca="1">ROUND(B2*10000/E2,0)</f>
        <v>1102</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594</v>
      </c>
      <c r="C6" s="2141" t="s">
        <v>2074</v>
      </c>
      <c r="D6" s="2789"/>
      <c r="E6" s="2608">
        <f ca="1">SUMIF(INDIRECT("'"&amp;A6&amp;"'"&amp;"!C:C"),"建筑面积",INDIRECT("'"&amp;A6&amp;"'"&amp;"!D:D"))</f>
        <v>5389.47</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89"/>
      <c r="B4" s="3492" t="s">
        <v>917</v>
      </c>
      <c r="C4" s="3492"/>
      <c r="D4" s="3492"/>
      <c r="E4" s="1489"/>
    </row>
    <row r="5" spans="1:5" ht="16.5" thickTop="1">
      <c r="A5" s="1487"/>
      <c r="B5" s="3490" t="s">
        <v>909</v>
      </c>
      <c r="C5" s="1490" t="s">
        <v>910</v>
      </c>
      <c r="D5" s="846">
        <f ca="1">结果表!H101</f>
        <v>1454</v>
      </c>
      <c r="E5" s="1487"/>
    </row>
    <row r="6" spans="1:5" ht="15.75">
      <c r="A6" s="1487"/>
      <c r="B6" s="3490"/>
      <c r="C6" s="1490" t="s">
        <v>911</v>
      </c>
      <c r="D6" s="846" t="str">
        <f ca="1">NUMBERSTRING(INT(D5*10000),2)&amp;"元整"</f>
        <v>壹仟肆佰伍拾肆万元整</v>
      </c>
      <c r="E6" s="1487"/>
    </row>
    <row r="7" spans="1:5" ht="15.75">
      <c r="A7" s="1487"/>
      <c r="B7" s="3495"/>
      <c r="C7" s="1491" t="s">
        <v>912</v>
      </c>
      <c r="D7" s="847">
        <f ca="1">结果表!H102</f>
        <v>5941</v>
      </c>
      <c r="E7" s="1487"/>
    </row>
    <row r="8" spans="1:5" ht="15.75">
      <c r="A8" s="1487"/>
      <c r="B8" s="3496" t="str">
        <f>结果表!E103</f>
        <v>2.估价师知悉的法定优先受偿款</v>
      </c>
      <c r="C8" s="1492" t="s">
        <v>913</v>
      </c>
      <c r="D8" s="847">
        <f>结果表!H103</f>
        <v>0</v>
      </c>
      <c r="E8" s="1487"/>
    </row>
    <row r="9" spans="1:5" ht="15.75">
      <c r="A9" s="1487"/>
      <c r="B9" s="3498"/>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89" t="str">
        <f>结果表!E107</f>
        <v>3.房地产抵押价值</v>
      </c>
      <c r="C13" s="1495" t="s">
        <v>910</v>
      </c>
      <c r="D13" s="849">
        <f ca="1">结果表!H107</f>
        <v>1454</v>
      </c>
      <c r="E13" s="1487"/>
    </row>
    <row r="14" spans="1:5" ht="15.75">
      <c r="A14" s="1487"/>
      <c r="B14" s="3490"/>
      <c r="C14" s="1490" t="s">
        <v>911</v>
      </c>
      <c r="D14" s="846" t="str">
        <f ca="1">NUMBERSTRING(INT(D13*10000),2)&amp;"元整"</f>
        <v>壹仟肆佰伍拾肆万元整</v>
      </c>
      <c r="E14" s="1487"/>
    </row>
    <row r="15" spans="1:5" ht="15">
      <c r="A15" s="1487"/>
      <c r="B15" s="3495"/>
      <c r="C15" s="1491" t="s">
        <v>921</v>
      </c>
      <c r="D15" s="855">
        <f ca="1">结果表!H108</f>
        <v>5941</v>
      </c>
      <c r="E15" s="1487"/>
    </row>
    <row r="16" spans="1:5" ht="15">
      <c r="A16" s="1487"/>
      <c r="B16" s="3496" t="str">
        <f>结果表!E109</f>
        <v>——</v>
      </c>
      <c r="C16" s="1495" t="s">
        <v>922</v>
      </c>
      <c r="D16" s="1496" t="str">
        <f>结果表!H109</f>
        <v>——</v>
      </c>
      <c r="E16" s="1487"/>
    </row>
    <row r="17" spans="1:5" ht="15.75">
      <c r="A17" s="1487"/>
      <c r="B17" s="3497"/>
      <c r="C17" s="1490" t="s">
        <v>923</v>
      </c>
      <c r="D17" s="846" t="e">
        <f>NUMBERSTRING(INT(D16*10000),2)&amp;"元整"</f>
        <v>#VALUE!</v>
      </c>
      <c r="E17" s="1487"/>
    </row>
    <row r="18" spans="1:5" ht="15">
      <c r="A18" s="1487"/>
      <c r="B18" s="3498"/>
      <c r="C18" s="1491" t="s">
        <v>912</v>
      </c>
      <c r="D18" s="855" t="str">
        <f>结果表!H110</f>
        <v>——</v>
      </c>
      <c r="E18" s="1487"/>
    </row>
    <row r="19" spans="1:5" ht="15.75">
      <c r="A19" s="1487"/>
      <c r="B19" s="3489" t="str">
        <f>结果表!E111</f>
        <v>——</v>
      </c>
      <c r="C19" s="1495" t="s">
        <v>910</v>
      </c>
      <c r="D19" s="847" t="str">
        <f>结果表!H111</f>
        <v>——</v>
      </c>
      <c r="E19" s="1487"/>
    </row>
    <row r="20" spans="1:5" ht="15.75">
      <c r="A20" s="1487"/>
      <c r="B20" s="3490"/>
      <c r="C20" s="1490" t="s">
        <v>923</v>
      </c>
      <c r="D20" s="846" t="e">
        <f>NUMBERSTRING(INT(D19*10000),2)&amp;"元整"</f>
        <v>#VALUE!</v>
      </c>
      <c r="E20" s="1487"/>
    </row>
    <row r="21" spans="1:5" ht="15.75" thickBot="1">
      <c r="A21" s="1487"/>
      <c r="B21" s="3491"/>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9" t="s">
        <v>2611</v>
      </c>
      <c r="B20" s="3804" t="s">
        <v>2632</v>
      </c>
      <c r="C20" s="3099" t="s">
        <v>2443</v>
      </c>
      <c r="D20" s="3100"/>
      <c r="E20" s="3101">
        <v>1</v>
      </c>
      <c r="F20" s="3102" t="s">
        <v>2444</v>
      </c>
      <c r="G20" s="3102"/>
    </row>
    <row r="21" spans="1:13" ht="19.5" customHeight="1">
      <c r="A21" s="3810"/>
      <c r="B21" s="3803"/>
      <c r="C21" s="3103" t="s">
        <v>2445</v>
      </c>
      <c r="D21" s="3104"/>
      <c r="E21" s="3105">
        <v>1</v>
      </c>
      <c r="F21" s="3102" t="s">
        <v>2446</v>
      </c>
      <c r="G21" s="3102"/>
    </row>
    <row r="22" spans="1:13" ht="19.5" customHeight="1">
      <c r="A22" s="3810"/>
      <c r="B22" s="3803"/>
      <c r="C22" s="3103" t="s">
        <v>2447</v>
      </c>
      <c r="D22" s="3104"/>
      <c r="E22" s="3105">
        <v>0.9</v>
      </c>
      <c r="F22" s="3102" t="s">
        <v>2448</v>
      </c>
      <c r="G22" s="3102"/>
    </row>
    <row r="23" spans="1:13" ht="19.5" customHeight="1">
      <c r="A23" s="3810"/>
      <c r="B23" s="3803"/>
      <c r="C23" s="3103" t="s">
        <v>2449</v>
      </c>
      <c r="D23" s="3104"/>
      <c r="E23" s="3105">
        <v>0.9</v>
      </c>
      <c r="F23" s="3102" t="s">
        <v>2450</v>
      </c>
      <c r="G23" s="3102"/>
    </row>
    <row r="24" spans="1:13" ht="19.5" customHeight="1">
      <c r="A24" s="3810"/>
      <c r="B24" s="3803"/>
      <c r="C24" s="3103" t="s">
        <v>2451</v>
      </c>
      <c r="D24" s="3104"/>
      <c r="E24" s="3105">
        <v>0.8</v>
      </c>
      <c r="F24" s="3102" t="s">
        <v>2452</v>
      </c>
      <c r="G24" s="3102"/>
    </row>
    <row r="25" spans="1:13" ht="19.5" customHeight="1" thickBot="1">
      <c r="A25" s="3811"/>
      <c r="B25" s="3805"/>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06" t="s">
        <v>2635</v>
      </c>
      <c r="B27" s="3804" t="s">
        <v>2616</v>
      </c>
      <c r="C27" s="3099" t="s">
        <v>2456</v>
      </c>
      <c r="D27" s="3100"/>
      <c r="E27" s="3101">
        <v>1</v>
      </c>
      <c r="F27" s="3102" t="s">
        <v>2457</v>
      </c>
      <c r="G27" s="3102"/>
    </row>
    <row r="28" spans="1:13" ht="19.5" customHeight="1">
      <c r="A28" s="3807"/>
      <c r="B28" s="3803"/>
      <c r="C28" s="3103" t="s">
        <v>2458</v>
      </c>
      <c r="D28" s="3104"/>
      <c r="E28" s="3105">
        <v>1</v>
      </c>
      <c r="F28" s="3102" t="s">
        <v>2459</v>
      </c>
      <c r="G28" s="3102"/>
    </row>
    <row r="29" spans="1:13" ht="19.5" customHeight="1">
      <c r="A29" s="3807"/>
      <c r="B29" s="3803"/>
      <c r="C29" s="3103" t="s">
        <v>2460</v>
      </c>
      <c r="D29" s="3104"/>
      <c r="E29" s="3105">
        <v>0.8</v>
      </c>
      <c r="F29" s="3102" t="s">
        <v>2461</v>
      </c>
      <c r="G29" s="3102"/>
    </row>
    <row r="30" spans="1:13" ht="19.5" customHeight="1">
      <c r="A30" s="3807"/>
      <c r="B30" s="3803"/>
      <c r="C30" s="3103" t="s">
        <v>2462</v>
      </c>
      <c r="D30" s="3104"/>
      <c r="E30" s="3105">
        <v>0.8</v>
      </c>
      <c r="F30" s="3102" t="s">
        <v>2463</v>
      </c>
      <c r="G30" s="3102"/>
    </row>
    <row r="31" spans="1:13" ht="19.5" customHeight="1">
      <c r="A31" s="3807"/>
      <c r="B31" s="3803"/>
      <c r="C31" s="3103" t="s">
        <v>2464</v>
      </c>
      <c r="D31" s="3104"/>
      <c r="E31" s="3105">
        <v>0.8</v>
      </c>
      <c r="F31" s="3102" t="s">
        <v>2465</v>
      </c>
      <c r="G31" s="3102"/>
    </row>
    <row r="32" spans="1:13" ht="19.5" customHeight="1">
      <c r="A32" s="3807"/>
      <c r="B32" s="3803"/>
      <c r="C32" s="3103" t="s">
        <v>2466</v>
      </c>
      <c r="D32" s="3104"/>
      <c r="E32" s="3105">
        <v>0.7</v>
      </c>
      <c r="F32" s="3102" t="s">
        <v>2467</v>
      </c>
      <c r="G32" s="3102"/>
    </row>
    <row r="33" spans="1:7" ht="19.5" customHeight="1">
      <c r="A33" s="3807"/>
      <c r="B33" s="3803"/>
      <c r="C33" s="3103" t="s">
        <v>2468</v>
      </c>
      <c r="D33" s="3104"/>
      <c r="E33" s="3105">
        <v>0.8</v>
      </c>
      <c r="F33" s="3102" t="s">
        <v>2469</v>
      </c>
      <c r="G33" s="3102"/>
    </row>
    <row r="34" spans="1:7" ht="19.5" customHeight="1">
      <c r="A34" s="3807"/>
      <c r="B34" s="3803"/>
      <c r="C34" s="3103" t="s">
        <v>2470</v>
      </c>
      <c r="D34" s="3104"/>
      <c r="E34" s="3105">
        <v>0.6</v>
      </c>
      <c r="F34" s="3102" t="s">
        <v>2471</v>
      </c>
      <c r="G34" s="3102"/>
    </row>
    <row r="35" spans="1:7" ht="19.5" customHeight="1">
      <c r="A35" s="3807"/>
      <c r="B35" s="3803"/>
      <c r="C35" s="3103" t="s">
        <v>2472</v>
      </c>
      <c r="D35" s="3104"/>
      <c r="E35" s="3105">
        <v>0.2</v>
      </c>
      <c r="F35" s="3102" t="s">
        <v>2473</v>
      </c>
      <c r="G35" s="3102"/>
    </row>
    <row r="36" spans="1:7" ht="19.5" customHeight="1">
      <c r="A36" s="3807"/>
      <c r="B36" s="3803"/>
      <c r="C36" s="3103" t="s">
        <v>2474</v>
      </c>
      <c r="D36" s="3104"/>
      <c r="E36" s="3105">
        <v>0.2</v>
      </c>
      <c r="F36" s="3102" t="s">
        <v>2475</v>
      </c>
      <c r="G36" s="3102"/>
    </row>
    <row r="37" spans="1:7" ht="19.5" customHeight="1">
      <c r="A37" s="3807"/>
      <c r="B37" s="3801" t="s">
        <v>2636</v>
      </c>
      <c r="C37" s="3103" t="s">
        <v>2476</v>
      </c>
      <c r="D37" s="3104"/>
      <c r="E37" s="3105">
        <v>0.6</v>
      </c>
      <c r="F37" s="3102" t="s">
        <v>2477</v>
      </c>
      <c r="G37" s="3102"/>
    </row>
    <row r="38" spans="1:7" ht="19.5" customHeight="1">
      <c r="A38" s="3807"/>
      <c r="B38" s="3803"/>
      <c r="C38" s="3103" t="s">
        <v>2478</v>
      </c>
      <c r="D38" s="3104"/>
      <c r="E38" s="3105">
        <v>0.6</v>
      </c>
      <c r="F38" s="3102" t="s">
        <v>2479</v>
      </c>
      <c r="G38" s="3102"/>
    </row>
    <row r="39" spans="1:7" ht="19.5" customHeight="1" thickBot="1">
      <c r="A39" s="3808"/>
      <c r="B39" s="3805"/>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9" t="s">
        <v>2614</v>
      </c>
      <c r="B41" s="3804" t="s">
        <v>2638</v>
      </c>
      <c r="C41" s="3099" t="s">
        <v>2483</v>
      </c>
      <c r="D41" s="3100"/>
      <c r="E41" s="3101">
        <v>1</v>
      </c>
      <c r="F41" s="3102" t="s">
        <v>2484</v>
      </c>
      <c r="G41" s="3102"/>
    </row>
    <row r="42" spans="1:7" ht="19.5" customHeight="1">
      <c r="A42" s="3810"/>
      <c r="B42" s="3803"/>
      <c r="C42" s="3103" t="s">
        <v>2485</v>
      </c>
      <c r="D42" s="3104"/>
      <c r="E42" s="3105">
        <v>1</v>
      </c>
      <c r="F42" s="3102" t="s">
        <v>2486</v>
      </c>
      <c r="G42" s="3102"/>
    </row>
    <row r="43" spans="1:7" ht="19.5" customHeight="1">
      <c r="A43" s="3810"/>
      <c r="B43" s="3802"/>
      <c r="C43" s="3103" t="s">
        <v>2487</v>
      </c>
      <c r="D43" s="3104"/>
      <c r="E43" s="3105">
        <v>1.5</v>
      </c>
      <c r="F43" s="3102" t="s">
        <v>2488</v>
      </c>
      <c r="G43" s="3102"/>
    </row>
    <row r="44" spans="1:7" ht="19.5" customHeight="1">
      <c r="A44" s="3810"/>
      <c r="B44" s="3114" t="s">
        <v>2639</v>
      </c>
      <c r="C44" s="3103" t="s">
        <v>2640</v>
      </c>
      <c r="D44" s="3104"/>
      <c r="E44" s="3105">
        <v>2</v>
      </c>
      <c r="F44" s="3102" t="s">
        <v>2489</v>
      </c>
      <c r="G44" s="3102"/>
    </row>
    <row r="45" spans="1:7" ht="19.5" customHeight="1">
      <c r="A45" s="3810"/>
      <c r="B45" s="3801" t="s">
        <v>2641</v>
      </c>
      <c r="C45" s="3103" t="s">
        <v>2490</v>
      </c>
      <c r="D45" s="3104"/>
      <c r="E45" s="3105">
        <v>1</v>
      </c>
      <c r="F45" s="3102" t="s">
        <v>2491</v>
      </c>
      <c r="G45" s="3102"/>
    </row>
    <row r="46" spans="1:7" ht="19.5" customHeight="1">
      <c r="A46" s="3810"/>
      <c r="B46" s="3803"/>
      <c r="C46" s="3103" t="s">
        <v>2492</v>
      </c>
      <c r="D46" s="3104"/>
      <c r="E46" s="3105">
        <v>1</v>
      </c>
      <c r="F46" s="3102" t="s">
        <v>2493</v>
      </c>
      <c r="G46" s="3102"/>
    </row>
    <row r="47" spans="1:7" ht="19.5" customHeight="1">
      <c r="A47" s="3810"/>
      <c r="B47" s="3803"/>
      <c r="C47" s="3103" t="s">
        <v>2494</v>
      </c>
      <c r="D47" s="3104"/>
      <c r="E47" s="3105">
        <v>1</v>
      </c>
      <c r="F47" s="3102" t="s">
        <v>2495</v>
      </c>
      <c r="G47" s="3102"/>
    </row>
    <row r="48" spans="1:7" ht="19.5" customHeight="1">
      <c r="A48" s="3810"/>
      <c r="B48" s="3803"/>
      <c r="C48" s="3103" t="s">
        <v>2496</v>
      </c>
      <c r="D48" s="3104"/>
      <c r="E48" s="3105">
        <v>1</v>
      </c>
      <c r="F48" s="3102" t="s">
        <v>2497</v>
      </c>
      <c r="G48" s="3102"/>
    </row>
    <row r="49" spans="1:7" ht="19.5" customHeight="1">
      <c r="A49" s="3810"/>
      <c r="B49" s="3803"/>
      <c r="C49" s="3103" t="s">
        <v>2498</v>
      </c>
      <c r="D49" s="3104"/>
      <c r="E49" s="3105">
        <v>1</v>
      </c>
      <c r="F49" s="3102" t="s">
        <v>2499</v>
      </c>
      <c r="G49" s="3102"/>
    </row>
    <row r="50" spans="1:7" ht="19.5" customHeight="1">
      <c r="A50" s="3810"/>
      <c r="B50" s="3803"/>
      <c r="C50" s="3103" t="s">
        <v>2500</v>
      </c>
      <c r="D50" s="3104"/>
      <c r="E50" s="3105">
        <v>1</v>
      </c>
      <c r="F50" s="3102" t="s">
        <v>2501</v>
      </c>
      <c r="G50" s="3102"/>
    </row>
    <row r="51" spans="1:7" ht="19.5" customHeight="1" thickBot="1">
      <c r="A51" s="3811"/>
      <c r="B51" s="3805"/>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01" t="s">
        <v>2655</v>
      </c>
      <c r="C73" s="3088" t="s">
        <v>2656</v>
      </c>
      <c r="D73" s="3088" t="s">
        <v>2657</v>
      </c>
      <c r="E73" s="3114">
        <v>0.2</v>
      </c>
      <c r="F73" s="3114">
        <v>25</v>
      </c>
    </row>
    <row r="74" spans="1:7" ht="24">
      <c r="A74" s="3114">
        <v>2</v>
      </c>
      <c r="B74" s="3803"/>
      <c r="C74" s="3088" t="s">
        <v>2658</v>
      </c>
      <c r="D74" s="3088" t="s">
        <v>2659</v>
      </c>
      <c r="E74" s="3114">
        <v>0.2</v>
      </c>
      <c r="F74" s="3114">
        <v>25</v>
      </c>
    </row>
    <row r="75" spans="1:7" ht="24">
      <c r="A75" s="3114">
        <v>3</v>
      </c>
      <c r="B75" s="3803"/>
      <c r="C75" s="3088" t="s">
        <v>2660</v>
      </c>
      <c r="D75" s="3088" t="s">
        <v>2661</v>
      </c>
      <c r="E75" s="3114">
        <v>0.2</v>
      </c>
      <c r="F75" s="3114">
        <v>25</v>
      </c>
    </row>
    <row r="76" spans="1:7" ht="13.5">
      <c r="A76" s="3114">
        <v>4</v>
      </c>
      <c r="B76" s="3803"/>
      <c r="C76" s="3088" t="s">
        <v>2662</v>
      </c>
      <c r="D76" s="3088" t="s">
        <v>2663</v>
      </c>
      <c r="E76" s="3114">
        <v>0.15</v>
      </c>
      <c r="F76" s="3114">
        <v>20</v>
      </c>
    </row>
    <row r="77" spans="1:7" ht="24">
      <c r="A77" s="3114">
        <v>5</v>
      </c>
      <c r="B77" s="3803"/>
      <c r="C77" s="3088" t="s">
        <v>2664</v>
      </c>
      <c r="D77" s="3088" t="s">
        <v>2665</v>
      </c>
      <c r="E77" s="3114">
        <v>0.15</v>
      </c>
      <c r="F77" s="3114">
        <v>20</v>
      </c>
    </row>
    <row r="78" spans="1:7" ht="24">
      <c r="A78" s="3114">
        <v>6</v>
      </c>
      <c r="B78" s="3803"/>
      <c r="C78" s="3088" t="s">
        <v>2666</v>
      </c>
      <c r="D78" s="3088" t="s">
        <v>2667</v>
      </c>
      <c r="E78" s="3114">
        <v>0.15</v>
      </c>
      <c r="F78" s="3114">
        <v>20</v>
      </c>
    </row>
    <row r="79" spans="1:7" ht="24">
      <c r="A79" s="3114">
        <v>7</v>
      </c>
      <c r="B79" s="3803"/>
      <c r="C79" s="3088" t="s">
        <v>2668</v>
      </c>
      <c r="D79" s="3088" t="s">
        <v>2669</v>
      </c>
      <c r="E79" s="3114">
        <v>0.15</v>
      </c>
      <c r="F79" s="3114">
        <v>20</v>
      </c>
    </row>
    <row r="80" spans="1:7" ht="24">
      <c r="A80" s="3114">
        <v>8</v>
      </c>
      <c r="B80" s="3803"/>
      <c r="C80" s="3088" t="s">
        <v>2670</v>
      </c>
      <c r="D80" s="3088" t="s">
        <v>2671</v>
      </c>
      <c r="E80" s="3114">
        <v>0.1</v>
      </c>
      <c r="F80" s="3114">
        <v>15</v>
      </c>
    </row>
    <row r="81" spans="1:6" ht="24">
      <c r="A81" s="3114">
        <v>9</v>
      </c>
      <c r="B81" s="3803"/>
      <c r="C81" s="3088" t="s">
        <v>2672</v>
      </c>
      <c r="D81" s="3088" t="s">
        <v>2673</v>
      </c>
      <c r="E81" s="3114">
        <v>0.1</v>
      </c>
      <c r="F81" s="3114">
        <v>15</v>
      </c>
    </row>
    <row r="82" spans="1:6" ht="24">
      <c r="A82" s="3114">
        <v>10</v>
      </c>
      <c r="B82" s="3803"/>
      <c r="C82" s="3088" t="s">
        <v>2674</v>
      </c>
      <c r="D82" s="3088" t="s">
        <v>2675</v>
      </c>
      <c r="E82" s="3114">
        <v>0.1</v>
      </c>
      <c r="F82" s="3114">
        <v>15</v>
      </c>
    </row>
    <row r="83" spans="1:6" ht="24">
      <c r="A83" s="3114">
        <v>11</v>
      </c>
      <c r="B83" s="3803"/>
      <c r="C83" s="3088" t="s">
        <v>2676</v>
      </c>
      <c r="D83" s="3088" t="s">
        <v>2677</v>
      </c>
      <c r="E83" s="3114">
        <v>0.1</v>
      </c>
      <c r="F83" s="3114">
        <v>15</v>
      </c>
    </row>
    <row r="84" spans="1:6" ht="24">
      <c r="A84" s="3114">
        <v>12</v>
      </c>
      <c r="B84" s="3803"/>
      <c r="C84" s="3088" t="s">
        <v>2678</v>
      </c>
      <c r="D84" s="3088" t="s">
        <v>2679</v>
      </c>
      <c r="E84" s="3114">
        <v>0.1</v>
      </c>
      <c r="F84" s="3114">
        <v>15</v>
      </c>
    </row>
    <row r="85" spans="1:6" ht="13.5">
      <c r="A85" s="3114">
        <v>13</v>
      </c>
      <c r="B85" s="3803"/>
      <c r="C85" s="3088" t="s">
        <v>2680</v>
      </c>
      <c r="D85" s="3088" t="s">
        <v>2681</v>
      </c>
      <c r="E85" s="3114">
        <v>0.1</v>
      </c>
      <c r="F85" s="3114">
        <v>15</v>
      </c>
    </row>
    <row r="86" spans="1:6" ht="13.5">
      <c r="A86" s="3114">
        <v>14</v>
      </c>
      <c r="B86" s="3803"/>
      <c r="C86" s="3088" t="s">
        <v>2682</v>
      </c>
      <c r="D86" s="3088" t="s">
        <v>2683</v>
      </c>
      <c r="E86" s="3114">
        <v>0.1</v>
      </c>
      <c r="F86" s="3114">
        <v>15</v>
      </c>
    </row>
    <row r="87" spans="1:6" ht="13.5">
      <c r="A87" s="3114">
        <v>15</v>
      </c>
      <c r="B87" s="3803"/>
      <c r="C87" s="3088" t="s">
        <v>2684</v>
      </c>
      <c r="D87" s="3088" t="s">
        <v>2685</v>
      </c>
      <c r="E87" s="3114">
        <v>0.1</v>
      </c>
      <c r="F87" s="3114">
        <v>15</v>
      </c>
    </row>
    <row r="88" spans="1:6" ht="24">
      <c r="A88" s="3114">
        <v>16</v>
      </c>
      <c r="B88" s="3803"/>
      <c r="C88" s="3088" t="s">
        <v>2686</v>
      </c>
      <c r="D88" s="3088" t="s">
        <v>2687</v>
      </c>
      <c r="E88" s="3114">
        <v>0.1</v>
      </c>
      <c r="F88" s="3114">
        <v>15</v>
      </c>
    </row>
    <row r="89" spans="1:6" ht="24">
      <c r="A89" s="3114">
        <v>17</v>
      </c>
      <c r="B89" s="3802"/>
      <c r="C89" s="3088" t="s">
        <v>2688</v>
      </c>
      <c r="D89" s="3088" t="s">
        <v>2689</v>
      </c>
      <c r="E89" s="3114">
        <v>0.1</v>
      </c>
      <c r="F89" s="3114">
        <v>15</v>
      </c>
    </row>
    <row r="90" spans="1:6" ht="13.5">
      <c r="A90" s="3114">
        <v>18</v>
      </c>
      <c r="B90" s="3801" t="s">
        <v>2690</v>
      </c>
      <c r="C90" s="3088" t="s">
        <v>2691</v>
      </c>
      <c r="D90" s="3088" t="s">
        <v>2692</v>
      </c>
      <c r="E90" s="3114">
        <v>0.2</v>
      </c>
      <c r="F90" s="3114">
        <v>25</v>
      </c>
    </row>
    <row r="91" spans="1:6" ht="24">
      <c r="A91" s="3114">
        <v>19</v>
      </c>
      <c r="B91" s="3803"/>
      <c r="C91" s="3088" t="s">
        <v>2693</v>
      </c>
      <c r="D91" s="3088" t="s">
        <v>2694</v>
      </c>
      <c r="E91" s="3114">
        <v>0.2</v>
      </c>
      <c r="F91" s="3114">
        <v>25</v>
      </c>
    </row>
    <row r="92" spans="1:6" ht="13.5">
      <c r="A92" s="3114">
        <v>20</v>
      </c>
      <c r="B92" s="3803"/>
      <c r="C92" s="3088" t="s">
        <v>2695</v>
      </c>
      <c r="D92" s="3088" t="s">
        <v>2696</v>
      </c>
      <c r="E92" s="3114">
        <v>0.15</v>
      </c>
      <c r="F92" s="3114">
        <v>20</v>
      </c>
    </row>
    <row r="93" spans="1:6" ht="13.5">
      <c r="A93" s="3114">
        <v>21</v>
      </c>
      <c r="B93" s="3803"/>
      <c r="C93" s="3088" t="s">
        <v>2697</v>
      </c>
      <c r="D93" s="3088" t="s">
        <v>2698</v>
      </c>
      <c r="E93" s="3114">
        <v>0.15</v>
      </c>
      <c r="F93" s="3114">
        <v>20</v>
      </c>
    </row>
    <row r="94" spans="1:6" ht="13.5">
      <c r="A94" s="3114">
        <v>22</v>
      </c>
      <c r="B94" s="3803"/>
      <c r="C94" s="3088" t="s">
        <v>2699</v>
      </c>
      <c r="D94" s="3088" t="s">
        <v>2700</v>
      </c>
      <c r="E94" s="3114">
        <v>0.15</v>
      </c>
      <c r="F94" s="3114">
        <v>20</v>
      </c>
    </row>
    <row r="95" spans="1:6" ht="36">
      <c r="A95" s="3114">
        <v>23</v>
      </c>
      <c r="B95" s="3803"/>
      <c r="C95" s="3088" t="s">
        <v>2701</v>
      </c>
      <c r="D95" s="3088" t="s">
        <v>2702</v>
      </c>
      <c r="E95" s="3114">
        <v>0.15</v>
      </c>
      <c r="F95" s="3114">
        <v>20</v>
      </c>
    </row>
    <row r="96" spans="1:6" ht="13.5">
      <c r="A96" s="3114">
        <v>24</v>
      </c>
      <c r="B96" s="3803"/>
      <c r="C96" s="3088" t="s">
        <v>2703</v>
      </c>
      <c r="D96" s="3088" t="s">
        <v>2704</v>
      </c>
      <c r="E96" s="3114">
        <v>0.1</v>
      </c>
      <c r="F96" s="3114">
        <v>15</v>
      </c>
    </row>
    <row r="97" spans="1:6" ht="13.5">
      <c r="A97" s="3114">
        <v>25</v>
      </c>
      <c r="B97" s="3803"/>
      <c r="C97" s="3088" t="s">
        <v>2705</v>
      </c>
      <c r="D97" s="3088" t="s">
        <v>2706</v>
      </c>
      <c r="E97" s="3114">
        <v>0.1</v>
      </c>
      <c r="F97" s="3114">
        <v>15</v>
      </c>
    </row>
    <row r="98" spans="1:6" ht="24">
      <c r="A98" s="3114">
        <v>26</v>
      </c>
      <c r="B98" s="3803"/>
      <c r="C98" s="3088" t="s">
        <v>2707</v>
      </c>
      <c r="D98" s="3088" t="s">
        <v>2708</v>
      </c>
      <c r="E98" s="3114">
        <v>0.1</v>
      </c>
      <c r="F98" s="3114">
        <v>15</v>
      </c>
    </row>
    <row r="99" spans="1:6" ht="24">
      <c r="A99" s="3114">
        <v>27</v>
      </c>
      <c r="B99" s="3803"/>
      <c r="C99" s="3088" t="s">
        <v>2709</v>
      </c>
      <c r="D99" s="3088" t="s">
        <v>2710</v>
      </c>
      <c r="E99" s="3114">
        <v>0.1</v>
      </c>
      <c r="F99" s="3114">
        <v>15</v>
      </c>
    </row>
    <row r="100" spans="1:6" ht="13.5">
      <c r="A100" s="3114">
        <v>28</v>
      </c>
      <c r="B100" s="3803"/>
      <c r="C100" s="3088" t="s">
        <v>2711</v>
      </c>
      <c r="D100" s="3088" t="s">
        <v>2712</v>
      </c>
      <c r="E100" s="3114">
        <v>0.1</v>
      </c>
      <c r="F100" s="3114">
        <v>15</v>
      </c>
    </row>
    <row r="101" spans="1:6" ht="13.5">
      <c r="A101" s="3114">
        <v>29</v>
      </c>
      <c r="B101" s="3803"/>
      <c r="C101" s="3088" t="s">
        <v>2713</v>
      </c>
      <c r="D101" s="3088" t="s">
        <v>2714</v>
      </c>
      <c r="E101" s="3114">
        <v>0.1</v>
      </c>
      <c r="F101" s="3114">
        <v>15</v>
      </c>
    </row>
    <row r="102" spans="1:6" ht="13.5">
      <c r="A102" s="3114">
        <v>30</v>
      </c>
      <c r="B102" s="3803"/>
      <c r="C102" s="3088" t="s">
        <v>2715</v>
      </c>
      <c r="D102" s="3088" t="s">
        <v>2716</v>
      </c>
      <c r="E102" s="3114">
        <v>0.1</v>
      </c>
      <c r="F102" s="3114">
        <v>15</v>
      </c>
    </row>
    <row r="103" spans="1:6" ht="24">
      <c r="A103" s="3114">
        <v>31</v>
      </c>
      <c r="B103" s="3803"/>
      <c r="C103" s="3088" t="s">
        <v>2717</v>
      </c>
      <c r="D103" s="3088" t="s">
        <v>2718</v>
      </c>
      <c r="E103" s="3114">
        <v>0.1</v>
      </c>
      <c r="F103" s="3114">
        <v>15</v>
      </c>
    </row>
    <row r="104" spans="1:6" ht="24">
      <c r="A104" s="3114">
        <v>32</v>
      </c>
      <c r="B104" s="3803"/>
      <c r="C104" s="3088" t="s">
        <v>2719</v>
      </c>
      <c r="D104" s="3088" t="s">
        <v>2720</v>
      </c>
      <c r="E104" s="3114">
        <v>0.1</v>
      </c>
      <c r="F104" s="3114">
        <v>15</v>
      </c>
    </row>
    <row r="105" spans="1:6" ht="24">
      <c r="A105" s="3114">
        <v>33</v>
      </c>
      <c r="B105" s="3803"/>
      <c r="C105" s="3088" t="s">
        <v>2721</v>
      </c>
      <c r="D105" s="3088" t="s">
        <v>2722</v>
      </c>
      <c r="E105" s="3114">
        <v>0.1</v>
      </c>
      <c r="F105" s="3114">
        <v>15</v>
      </c>
    </row>
    <row r="106" spans="1:6" ht="24">
      <c r="A106" s="3114">
        <v>34</v>
      </c>
      <c r="B106" s="3802"/>
      <c r="C106" s="3088" t="s">
        <v>2723</v>
      </c>
      <c r="D106" s="3088" t="s">
        <v>2724</v>
      </c>
      <c r="E106" s="3114">
        <v>0.1</v>
      </c>
      <c r="F106" s="3114">
        <v>15</v>
      </c>
    </row>
    <row r="107" spans="1:6" ht="24">
      <c r="A107" s="3114">
        <v>35</v>
      </c>
      <c r="B107" s="3801" t="s">
        <v>2725</v>
      </c>
      <c r="C107" s="3114" t="s">
        <v>2726</v>
      </c>
      <c r="D107" s="3088" t="s">
        <v>2727</v>
      </c>
      <c r="E107" s="3114">
        <v>0.15</v>
      </c>
      <c r="F107" s="3114">
        <v>20</v>
      </c>
    </row>
    <row r="108" spans="1:6" ht="13.5">
      <c r="A108" s="3114">
        <v>36</v>
      </c>
      <c r="B108" s="3803"/>
      <c r="C108" s="3114" t="s">
        <v>2728</v>
      </c>
      <c r="D108" s="3088" t="s">
        <v>2729</v>
      </c>
      <c r="E108" s="3114">
        <v>0.15</v>
      </c>
      <c r="F108" s="3114">
        <v>20</v>
      </c>
    </row>
    <row r="109" spans="1:6" ht="13.5">
      <c r="A109" s="3114">
        <v>37</v>
      </c>
      <c r="B109" s="3803"/>
      <c r="C109" s="3114" t="s">
        <v>2730</v>
      </c>
      <c r="D109" s="3088" t="s">
        <v>2731</v>
      </c>
      <c r="E109" s="3114">
        <v>0.15</v>
      </c>
      <c r="F109" s="3114">
        <v>20</v>
      </c>
    </row>
    <row r="110" spans="1:6" ht="13.5">
      <c r="A110" s="3114">
        <v>38</v>
      </c>
      <c r="B110" s="3803"/>
      <c r="C110" s="3114" t="s">
        <v>2732</v>
      </c>
      <c r="D110" s="3088" t="s">
        <v>2733</v>
      </c>
      <c r="E110" s="3114">
        <v>0.1</v>
      </c>
      <c r="F110" s="3114">
        <v>15</v>
      </c>
    </row>
    <row r="111" spans="1:6" ht="24">
      <c r="A111" s="3114">
        <v>39</v>
      </c>
      <c r="B111" s="3803"/>
      <c r="C111" s="3114" t="s">
        <v>2734</v>
      </c>
      <c r="D111" s="3088" t="s">
        <v>2735</v>
      </c>
      <c r="E111" s="3114">
        <v>0.1</v>
      </c>
      <c r="F111" s="3114">
        <v>15</v>
      </c>
    </row>
    <row r="112" spans="1:6" ht="24">
      <c r="A112" s="3114">
        <v>40</v>
      </c>
      <c r="B112" s="3802"/>
      <c r="C112" s="3114" t="s">
        <v>2736</v>
      </c>
      <c r="D112" s="3088" t="s">
        <v>2737</v>
      </c>
      <c r="E112" s="3114">
        <v>0.1</v>
      </c>
      <c r="F112" s="3114">
        <v>15</v>
      </c>
    </row>
    <row r="113" spans="1:6" ht="13.5">
      <c r="A113" s="3114">
        <v>41</v>
      </c>
      <c r="B113" s="3800" t="s">
        <v>2738</v>
      </c>
      <c r="C113" s="3114" t="s">
        <v>2739</v>
      </c>
      <c r="D113" s="3088" t="s">
        <v>2740</v>
      </c>
      <c r="E113" s="3114">
        <v>0.1</v>
      </c>
      <c r="F113" s="3114">
        <v>15</v>
      </c>
    </row>
    <row r="114" spans="1:6" ht="13.5">
      <c r="A114" s="3114">
        <v>42</v>
      </c>
      <c r="B114" s="3800"/>
      <c r="C114" s="3114" t="s">
        <v>2741</v>
      </c>
      <c r="D114" s="3088" t="s">
        <v>2742</v>
      </c>
      <c r="E114" s="3114">
        <v>0.1</v>
      </c>
      <c r="F114" s="3114">
        <v>15</v>
      </c>
    </row>
    <row r="115" spans="1:6" ht="24">
      <c r="A115" s="3114">
        <v>43</v>
      </c>
      <c r="B115" s="3800"/>
      <c r="C115" s="3114" t="s">
        <v>2743</v>
      </c>
      <c r="D115" s="3088" t="s">
        <v>2744</v>
      </c>
      <c r="E115" s="3114">
        <v>0.1</v>
      </c>
      <c r="F115" s="3114">
        <v>15</v>
      </c>
    </row>
    <row r="116" spans="1:6" ht="13.5">
      <c r="A116" s="3114">
        <v>44</v>
      </c>
      <c r="B116" s="3801" t="s">
        <v>2745</v>
      </c>
      <c r="C116" s="3114" t="s">
        <v>2746</v>
      </c>
      <c r="D116" s="3088" t="s">
        <v>2747</v>
      </c>
      <c r="E116" s="3114">
        <v>0.1</v>
      </c>
      <c r="F116" s="3114">
        <v>15</v>
      </c>
    </row>
    <row r="117" spans="1:6" ht="24">
      <c r="A117" s="3114">
        <v>45</v>
      </c>
      <c r="B117" s="3802"/>
      <c r="C117" s="3088" t="s">
        <v>2748</v>
      </c>
      <c r="D117" s="3088" t="s">
        <v>2749</v>
      </c>
      <c r="E117" s="3114">
        <v>0.1</v>
      </c>
      <c r="F117" s="3114">
        <v>15</v>
      </c>
    </row>
    <row r="118" spans="1:6" ht="24">
      <c r="A118" s="3114">
        <v>46</v>
      </c>
      <c r="B118" s="3801" t="s">
        <v>2750</v>
      </c>
      <c r="C118" s="3114" t="s">
        <v>2751</v>
      </c>
      <c r="D118" s="3088" t="s">
        <v>2752</v>
      </c>
      <c r="E118" s="3114">
        <v>0.1</v>
      </c>
      <c r="F118" s="3114">
        <v>15</v>
      </c>
    </row>
    <row r="119" spans="1:6" ht="24">
      <c r="A119" s="3114">
        <v>47</v>
      </c>
      <c r="B119" s="3802"/>
      <c r="C119" s="3114" t="s">
        <v>2753</v>
      </c>
      <c r="D119" s="3088" t="s">
        <v>2754</v>
      </c>
      <c r="E119" s="3114">
        <v>0.1</v>
      </c>
      <c r="F119" s="3114">
        <v>15</v>
      </c>
    </row>
    <row r="120" spans="1:6" ht="13.5">
      <c r="A120" s="3114">
        <v>48</v>
      </c>
      <c r="B120" s="3801" t="s">
        <v>2755</v>
      </c>
      <c r="C120" s="3114" t="s">
        <v>2756</v>
      </c>
      <c r="D120" s="3088" t="s">
        <v>2757</v>
      </c>
      <c r="E120" s="3114">
        <v>0.1</v>
      </c>
      <c r="F120" s="3114">
        <v>15</v>
      </c>
    </row>
    <row r="121" spans="1:6" ht="13.5">
      <c r="A121" s="3114">
        <v>49</v>
      </c>
      <c r="B121" s="3802"/>
      <c r="C121" s="3114" t="s">
        <v>2758</v>
      </c>
      <c r="D121" s="3088" t="s">
        <v>2759</v>
      </c>
      <c r="E121" s="3114">
        <v>0.1</v>
      </c>
      <c r="F121" s="3114">
        <v>15</v>
      </c>
    </row>
    <row r="122" spans="1:6" ht="24">
      <c r="A122" s="3114">
        <v>50</v>
      </c>
      <c r="B122" s="3800" t="s">
        <v>2760</v>
      </c>
      <c r="C122" s="3114" t="s">
        <v>2761</v>
      </c>
      <c r="D122" s="3088" t="s">
        <v>2762</v>
      </c>
      <c r="E122" s="3114">
        <v>0.1</v>
      </c>
      <c r="F122" s="3114">
        <v>15</v>
      </c>
    </row>
    <row r="123" spans="1:6" ht="24">
      <c r="A123" s="3114">
        <v>51</v>
      </c>
      <c r="B123" s="3800"/>
      <c r="C123" s="3114" t="s">
        <v>2763</v>
      </c>
      <c r="D123" s="3088" t="s">
        <v>2764</v>
      </c>
      <c r="E123" s="3114">
        <v>0.1</v>
      </c>
      <c r="F123" s="3114">
        <v>15</v>
      </c>
    </row>
    <row r="124" spans="1:6" ht="24">
      <c r="A124" s="3114">
        <v>52</v>
      </c>
      <c r="B124" s="3800" t="s">
        <v>2765</v>
      </c>
      <c r="C124" s="3114" t="s">
        <v>2766</v>
      </c>
      <c r="D124" s="3088" t="s">
        <v>2767</v>
      </c>
      <c r="E124" s="3114">
        <v>0.1</v>
      </c>
      <c r="F124" s="3114">
        <v>15</v>
      </c>
    </row>
    <row r="125" spans="1:6" ht="24">
      <c r="A125" s="3114">
        <v>53</v>
      </c>
      <c r="B125" s="3800"/>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00" t="s">
        <v>2773</v>
      </c>
      <c r="C127" s="3114" t="s">
        <v>2774</v>
      </c>
      <c r="D127" s="3088" t="s">
        <v>2775</v>
      </c>
      <c r="E127" s="3114">
        <v>0.1</v>
      </c>
      <c r="F127" s="3114">
        <v>15</v>
      </c>
    </row>
    <row r="128" spans="1:6" ht="13.5">
      <c r="A128" s="3114">
        <v>56</v>
      </c>
      <c r="B128" s="3800"/>
      <c r="C128" s="3114" t="s">
        <v>2776</v>
      </c>
      <c r="D128" s="3088" t="s">
        <v>2777</v>
      </c>
      <c r="E128" s="3114">
        <v>0.1</v>
      </c>
      <c r="F128" s="3114">
        <v>15</v>
      </c>
    </row>
    <row r="129" spans="1:6" ht="24">
      <c r="A129" s="3114">
        <v>57</v>
      </c>
      <c r="B129" s="3800"/>
      <c r="C129" s="3114" t="s">
        <v>2778</v>
      </c>
      <c r="D129" s="3088" t="s">
        <v>2779</v>
      </c>
      <c r="E129" s="3114">
        <v>0.1</v>
      </c>
      <c r="F129" s="3114">
        <v>15</v>
      </c>
    </row>
    <row r="130" spans="1:6" ht="24">
      <c r="A130" s="3114">
        <v>58</v>
      </c>
      <c r="B130" s="3800" t="s">
        <v>2780</v>
      </c>
      <c r="C130" s="3114" t="s">
        <v>2781</v>
      </c>
      <c r="D130" s="3088" t="s">
        <v>2782</v>
      </c>
      <c r="E130" s="3114">
        <v>0.1</v>
      </c>
      <c r="F130" s="3114">
        <v>15</v>
      </c>
    </row>
    <row r="131" spans="1:6" ht="13.5">
      <c r="A131" s="3114">
        <v>59</v>
      </c>
      <c r="B131" s="3800"/>
      <c r="C131" s="3114" t="s">
        <v>2783</v>
      </c>
      <c r="D131" s="3088" t="s">
        <v>2784</v>
      </c>
      <c r="E131" s="3114">
        <v>0.1</v>
      </c>
      <c r="F131" s="3114">
        <v>15</v>
      </c>
    </row>
    <row r="132" spans="1:6" ht="13.5">
      <c r="A132" s="3114">
        <v>60</v>
      </c>
      <c r="B132" s="3801" t="s">
        <v>2785</v>
      </c>
      <c r="C132" s="3114" t="s">
        <v>2786</v>
      </c>
      <c r="D132" s="3088" t="s">
        <v>2787</v>
      </c>
      <c r="E132" s="3114">
        <v>0.1</v>
      </c>
      <c r="F132" s="3114">
        <v>15</v>
      </c>
    </row>
    <row r="133" spans="1:6" ht="13.5">
      <c r="A133" s="3114">
        <v>61</v>
      </c>
      <c r="B133" s="3802"/>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00" t="s">
        <v>2793</v>
      </c>
      <c r="C135" s="3114" t="s">
        <v>2794</v>
      </c>
      <c r="D135" s="3088" t="s">
        <v>2795</v>
      </c>
      <c r="E135" s="3114">
        <v>0.1</v>
      </c>
      <c r="F135" s="3114">
        <v>15</v>
      </c>
    </row>
    <row r="136" spans="1:6" ht="13.5">
      <c r="A136" s="3114">
        <v>64</v>
      </c>
      <c r="B136" s="3800"/>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1.2302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1.1198999999999999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26286</v>
      </c>
      <c r="C2" s="2" t="s">
        <v>106</v>
      </c>
      <c r="D2" s="199"/>
      <c r="E2" s="199"/>
      <c r="F2" s="199"/>
      <c r="G2" s="199"/>
    </row>
    <row r="3" spans="1:7" s="200" customFormat="1" ht="18" customHeight="1" thickBot="1">
      <c r="A3" s="203" t="s">
        <v>58</v>
      </c>
      <c r="B3" s="204">
        <f ca="1">ROUND(B2*10000/'数据-汇总表'!E3,0)</f>
        <v>107406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120</v>
      </c>
      <c r="F9" s="221"/>
      <c r="G9" s="226"/>
    </row>
    <row r="10" spans="1:7" s="214" customFormat="1" ht="13.5" customHeight="1">
      <c r="A10" s="775" t="s">
        <v>356</v>
      </c>
      <c r="B10" s="224" t="s">
        <v>67</v>
      </c>
      <c r="C10" s="225">
        <f>ROUND(D10*E10/10000,0)</f>
        <v>39</v>
      </c>
      <c r="D10" s="841">
        <f>'数据-汇总表'!E6</f>
        <v>2447.34</v>
      </c>
      <c r="E10" s="225">
        <f>'数据-取费表'!B28</f>
        <v>160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49</v>
      </c>
      <c r="D19" s="845">
        <f>'数据-汇总表'!E3</f>
        <v>2447.34</v>
      </c>
      <c r="E19" s="211">
        <f>'数据-取费表'!B31</f>
        <v>200</v>
      </c>
      <c r="F19" s="231"/>
      <c r="G19" s="1" t="s">
        <v>436</v>
      </c>
    </row>
    <row r="20" spans="1:7" s="214" customFormat="1" ht="13.5" customHeight="1">
      <c r="A20" s="773" t="s">
        <v>419</v>
      </c>
      <c r="B20" s="210" t="s">
        <v>77</v>
      </c>
      <c r="C20" s="232">
        <f>ROUND((C5+C19)*F20,0)</f>
        <v>516</v>
      </c>
      <c r="D20" s="232"/>
      <c r="E20" s="232"/>
      <c r="F20" s="233">
        <f>'数据-取费表'!B37</f>
        <v>2.5000000000000001E-2</v>
      </c>
      <c r="G20" s="1063" t="s">
        <v>430</v>
      </c>
    </row>
    <row r="21" spans="1:7" s="214" customFormat="1" ht="13.5" customHeight="1">
      <c r="A21" s="773" t="s">
        <v>421</v>
      </c>
      <c r="B21" s="210" t="s">
        <v>78</v>
      </c>
      <c r="C21" s="235">
        <f>F21</f>
        <v>2.5000000000000001E-2</v>
      </c>
      <c r="D21" s="236" t="s">
        <v>99</v>
      </c>
      <c r="E21" s="232"/>
      <c r="F21" s="233">
        <f>'数据-取费表'!B38</f>
        <v>2.5000000000000001E-2</v>
      </c>
      <c r="G21" s="234" t="s">
        <v>79</v>
      </c>
    </row>
    <row r="22" spans="1:7" s="214" customFormat="1" ht="13.5" customHeight="1">
      <c r="A22" s="773" t="s">
        <v>341</v>
      </c>
      <c r="B22" s="210" t="s">
        <v>80</v>
      </c>
      <c r="C22" s="1100">
        <f ca="1">ROUND(SUM(C23:C25),0)</f>
        <v>722</v>
      </c>
      <c r="D22" s="235">
        <f ca="1">C26</f>
        <v>4.0000000000000002E-4</v>
      </c>
      <c r="E22" s="236" t="s">
        <v>99</v>
      </c>
      <c r="F22" s="237">
        <f ca="1">'数据-取费表'!B40</f>
        <v>3.4500000000000003E-2</v>
      </c>
      <c r="G22" s="1063" t="str">
        <f>IF('数据-取费表'!B22&lt;=1,"单利计息","复利计息")</f>
        <v>单利计息</v>
      </c>
    </row>
    <row r="23" spans="1:7" s="214" customFormat="1" ht="13.5" customHeight="1">
      <c r="A23" s="776" t="s">
        <v>349</v>
      </c>
      <c r="B23" s="215" t="s">
        <v>423</v>
      </c>
      <c r="C23" s="1101">
        <f ca="1">ROUND(IF('数据-取费表'!B22&lt;=1,C5*F22*'数据-取费表'!B23,C5*(POWER((1+F22),'数据-取费表'!B23)-1)),0)</f>
        <v>711</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v>
      </c>
      <c r="D24" s="238"/>
      <c r="E24" s="238"/>
      <c r="F24" s="239"/>
      <c r="G24" s="240" t="s">
        <v>82</v>
      </c>
    </row>
    <row r="25" spans="1:7" s="214" customFormat="1" ht="24">
      <c r="A25" s="776" t="s">
        <v>348</v>
      </c>
      <c r="B25" s="215" t="s">
        <v>420</v>
      </c>
      <c r="C25" s="1101">
        <f ca="1">ROUND(IF('数据-取费表'!B22&lt;=1,C20*F22*'数据-取费表'!B23/2,C20*(POWER((1+F22),'数据-取费表'!B23/2)-1)),0)</f>
        <v>9</v>
      </c>
      <c r="D25" s="238"/>
      <c r="E25" s="241"/>
      <c r="F25" s="239"/>
      <c r="G25" s="242" t="s">
        <v>83</v>
      </c>
    </row>
    <row r="26" spans="1:7" s="214" customFormat="1">
      <c r="A26" s="776" t="s">
        <v>350</v>
      </c>
      <c r="B26" s="215" t="s">
        <v>422</v>
      </c>
      <c r="C26" s="238">
        <f ca="1">ROUND(IF('数据-取费表'!B22&lt;=1,F21*F22*'数据-取费表'!B23/2,F21*(POWER((1+F22),'数据-取费表'!B23/2)-1)),4)</f>
        <v>4.0000000000000002E-4</v>
      </c>
      <c r="D26" s="238"/>
      <c r="E26" s="241"/>
      <c r="F26" s="239"/>
      <c r="G26" s="243"/>
    </row>
    <row r="27" spans="1:7" s="214" customFormat="1" ht="24.75">
      <c r="A27" s="773" t="s">
        <v>342</v>
      </c>
      <c r="B27" s="244" t="s">
        <v>85</v>
      </c>
      <c r="C27" s="245">
        <f>C28</f>
        <v>1694</v>
      </c>
      <c r="D27" s="235">
        <f>C29</f>
        <v>2E-3</v>
      </c>
      <c r="E27" s="236" t="s">
        <v>99</v>
      </c>
      <c r="F27" s="246">
        <f>'数据-取费表'!Q16</f>
        <v>0.08</v>
      </c>
      <c r="G27" s="247" t="s">
        <v>431</v>
      </c>
    </row>
    <row r="28" spans="1:7" s="214" customFormat="1" ht="13.5" customHeight="1">
      <c r="A28" s="776" t="s">
        <v>349</v>
      </c>
      <c r="B28" s="248" t="s">
        <v>424</v>
      </c>
      <c r="C28" s="249">
        <f>ROUND((C5+C19+C20)*F27*'数据-取费表'!B21/'数据-取费表'!B20,0)</f>
        <v>1694</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666</v>
      </c>
      <c r="D34" s="217"/>
      <c r="E34" s="220"/>
      <c r="F34" s="257">
        <f>IF('数据-取费表'!B24=0,1,'数据-取费表'!N16)</f>
        <v>1</v>
      </c>
      <c r="G34" s="219" t="s">
        <v>89</v>
      </c>
    </row>
    <row r="35" spans="1:7" ht="13.5" customHeight="1">
      <c r="A35" s="776" t="s">
        <v>351</v>
      </c>
      <c r="B35" s="215" t="s">
        <v>33</v>
      </c>
      <c r="C35" s="220">
        <f>ROUND(C34*F35,0)</f>
        <v>33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49</v>
      </c>
      <c r="D37" s="217">
        <f>'数据-汇总表'!E3</f>
        <v>2447.34</v>
      </c>
      <c r="E37" s="249">
        <f>'数据-取费表'!B35</f>
        <v>200</v>
      </c>
      <c r="F37" s="259"/>
      <c r="G37" s="261" t="s">
        <v>92</v>
      </c>
    </row>
    <row r="38" spans="1:7" ht="13.5" customHeight="1">
      <c r="A38" s="776" t="s">
        <v>354</v>
      </c>
      <c r="B38" s="215" t="s">
        <v>36</v>
      </c>
      <c r="C38" s="220">
        <f>ROUND(C34*F38,0)</f>
        <v>13</v>
      </c>
      <c r="D38" s="220"/>
      <c r="E38" s="220"/>
      <c r="F38" s="259">
        <f>'数据-取费表'!B36</f>
        <v>0.02</v>
      </c>
      <c r="G38" s="219" t="s">
        <v>90</v>
      </c>
    </row>
    <row r="39" spans="1:7" s="214" customFormat="1" ht="13.5" customHeight="1">
      <c r="A39" s="773" t="s">
        <v>338</v>
      </c>
      <c r="B39" s="210" t="s">
        <v>77</v>
      </c>
      <c r="C39" s="232">
        <f>ROUND(C33*F20,0)</f>
        <v>19</v>
      </c>
      <c r="D39" s="232"/>
      <c r="E39" s="232"/>
      <c r="F39" s="233"/>
      <c r="G39" s="1063" t="s">
        <v>433</v>
      </c>
    </row>
    <row r="40" spans="1:7" s="214" customFormat="1" ht="13.5" customHeight="1">
      <c r="A40" s="773" t="s">
        <v>339</v>
      </c>
      <c r="B40" s="210" t="s">
        <v>78</v>
      </c>
      <c r="C40" s="262">
        <f>F21</f>
        <v>2.5000000000000001E-2</v>
      </c>
      <c r="D40" s="236" t="s">
        <v>102</v>
      </c>
      <c r="E40" s="232"/>
      <c r="F40" s="233"/>
      <c r="G40" s="234" t="s">
        <v>93</v>
      </c>
    </row>
    <row r="41" spans="1:7" s="214" customFormat="1" ht="13.5" customHeight="1">
      <c r="A41" s="773" t="s">
        <v>340</v>
      </c>
      <c r="B41" s="210" t="s">
        <v>80</v>
      </c>
      <c r="C41" s="232">
        <f ca="1">ROUND(SUM(C42:C43),0)</f>
        <v>13</v>
      </c>
      <c r="D41" s="235">
        <f ca="1">C44</f>
        <v>4.0000000000000002E-4</v>
      </c>
      <c r="E41" s="236" t="s">
        <v>102</v>
      </c>
      <c r="F41" s="237"/>
      <c r="G41" s="1063" t="str">
        <f>IF('数据-取费表'!B22&lt;=1,"单利计息","复利计息")</f>
        <v>单利计息</v>
      </c>
    </row>
    <row r="42" spans="1:7" ht="13.5" customHeight="1">
      <c r="A42" s="776" t="s">
        <v>349</v>
      </c>
      <c r="B42" s="215" t="s">
        <v>423</v>
      </c>
      <c r="C42" s="238">
        <f ca="1">ROUND(IF('数据-取费表'!B22&lt;=1,C33*F22*'数据-取费表'!B21/2,C33*(POWER((1+F22),'数据-取费表'!B21/2)-1)),0)</f>
        <v>13</v>
      </c>
      <c r="D42" s="238"/>
      <c r="E42" s="238"/>
      <c r="F42" s="239"/>
      <c r="G42" s="3676" t="s">
        <v>94</v>
      </c>
    </row>
    <row r="43" spans="1:7" ht="13.5" customHeight="1">
      <c r="A43" s="776" t="s">
        <v>347</v>
      </c>
      <c r="B43" s="215" t="s">
        <v>426</v>
      </c>
      <c r="C43" s="238">
        <f ca="1">ROUND(IF('数据-取费表'!B22&lt;=1,C39*F22*'数据-取费表'!B21/2,C39*(POWER((1+F22),'数据-取费表'!B21/2)-1)),0)</f>
        <v>0</v>
      </c>
      <c r="D43" s="238"/>
      <c r="E43" s="238"/>
      <c r="F43" s="239"/>
      <c r="G43" s="3677"/>
    </row>
    <row r="44" spans="1:7" ht="13.5" customHeight="1">
      <c r="A44" s="776" t="s">
        <v>348</v>
      </c>
      <c r="B44" s="215" t="s">
        <v>428</v>
      </c>
      <c r="C44" s="238">
        <f ca="1">ROUND(IF('数据-取费表'!B22&lt;=1,C40*F22*'数据-取费表'!B21/2,C40*(POWER((1+F22),'数据-取费表'!B21/2)-1)),4)</f>
        <v>4.0000000000000002E-4</v>
      </c>
      <c r="D44" s="238"/>
      <c r="E44" s="238"/>
      <c r="F44" s="239"/>
      <c r="G44" s="3678"/>
    </row>
    <row r="45" spans="1:7" s="214" customFormat="1" ht="13.5" customHeight="1">
      <c r="A45" s="773" t="s">
        <v>341</v>
      </c>
      <c r="B45" s="244" t="s">
        <v>85</v>
      </c>
      <c r="C45" s="245">
        <f>C46</f>
        <v>62</v>
      </c>
      <c r="D45" s="235">
        <f>C47</f>
        <v>2E-3</v>
      </c>
      <c r="E45" s="236" t="s">
        <v>102</v>
      </c>
      <c r="F45" s="246"/>
      <c r="G45" s="247" t="s">
        <v>434</v>
      </c>
    </row>
    <row r="46" spans="1:7" s="214" customFormat="1" ht="13.5" customHeight="1">
      <c r="A46" s="776" t="s">
        <v>349</v>
      </c>
      <c r="B46" s="248" t="s">
        <v>427</v>
      </c>
      <c r="C46" s="249">
        <f>ROUND((C33+C39)*F27,0)</f>
        <v>62</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929</v>
      </c>
      <c r="D49" s="232"/>
      <c r="E49" s="232"/>
      <c r="F49" s="264"/>
      <c r="G49" s="234" t="s">
        <v>435</v>
      </c>
    </row>
    <row r="50" spans="1:7" s="258" customFormat="1" ht="24">
      <c r="A50" s="773" t="s">
        <v>344</v>
      </c>
      <c r="B50" s="210" t="s">
        <v>97</v>
      </c>
      <c r="C50" s="232"/>
      <c r="D50" s="232"/>
      <c r="E50" s="232"/>
      <c r="F50" s="264">
        <f>IF('数据-取费表'!B24=0,'数据-取费表'!N16,1)</f>
        <v>0.7</v>
      </c>
      <c r="G50" s="247" t="s">
        <v>98</v>
      </c>
    </row>
    <row r="51" spans="1:7" ht="16.5" customHeight="1">
      <c r="A51" s="773" t="s">
        <v>345</v>
      </c>
      <c r="B51" s="210" t="s">
        <v>105</v>
      </c>
      <c r="C51" s="232">
        <f ca="1">ROUND(C49*F50,0)</f>
        <v>650</v>
      </c>
      <c r="D51" s="232"/>
      <c r="E51" s="232"/>
      <c r="F51" s="264"/>
      <c r="G51" s="234" t="s">
        <v>37</v>
      </c>
    </row>
    <row r="52" spans="1:7" s="208" customFormat="1" ht="16.5" thickBot="1">
      <c r="A52" s="265" t="s">
        <v>38</v>
      </c>
      <c r="B52" s="266"/>
      <c r="C52" s="267">
        <f ca="1">C31+C51</f>
        <v>26286</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4" t="s">
        <v>2843</v>
      </c>
      <c r="B1" s="3814"/>
      <c r="C1" s="3814"/>
      <c r="D1" s="3814"/>
      <c r="E1" s="3814"/>
      <c r="F1" s="3814"/>
      <c r="G1" s="3815"/>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12"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813"/>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6" t="s">
        <v>3185</v>
      </c>
      <c r="B1" s="3816"/>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17" t="s">
        <v>3236</v>
      </c>
      <c r="B1" s="3817"/>
      <c r="C1" s="3817"/>
      <c r="D1" s="3817"/>
      <c r="E1" s="3817"/>
      <c r="F1" s="3818"/>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45417</v>
      </c>
      <c r="B1" s="3206" t="s">
        <v>3375</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3370</v>
      </c>
    </row>
    <row r="21" spans="1:30" s="3005" customFormat="1">
      <c r="I21" s="3204" t="s">
        <v>2829</v>
      </c>
    </row>
    <row r="22" spans="1:30" s="3005" customFormat="1"/>
    <row r="23" spans="1:30" s="3205" customFormat="1" ht="12.75">
      <c r="B23" s="3206" t="s">
        <v>3376</v>
      </c>
      <c r="C23" s="3207"/>
      <c r="D23" s="3207"/>
      <c r="E23" s="3207"/>
      <c r="F23" s="3207"/>
      <c r="G23" s="3207"/>
      <c r="H23" s="3207"/>
      <c r="I23" s="3207"/>
      <c r="J23" s="3161"/>
      <c r="K23" s="3207" t="s">
        <v>2830</v>
      </c>
      <c r="L23" s="3207"/>
      <c r="M23" s="3207"/>
      <c r="N23" s="3207"/>
      <c r="O23" s="3207"/>
      <c r="P23" s="3207"/>
      <c r="Q23" s="3161"/>
      <c r="R23" s="3819" t="s">
        <v>2831</v>
      </c>
      <c r="S23" s="3820"/>
      <c r="T23" s="3820"/>
      <c r="U23" s="3820"/>
      <c r="V23" s="3820"/>
      <c r="W23" s="3820"/>
      <c r="X23" s="3161"/>
      <c r="Y23" s="3819" t="s">
        <v>2832</v>
      </c>
      <c r="Z23" s="3820"/>
      <c r="AA23" s="3820"/>
      <c r="AB23" s="3820"/>
      <c r="AC23" s="3820"/>
      <c r="AD23" s="3820"/>
    </row>
    <row r="24" spans="1:30" s="3139" customFormat="1" ht="14.2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2.75">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6" t="s">
        <v>452</v>
      </c>
      <c r="C1" s="3826"/>
      <c r="D1" s="3826"/>
      <c r="E1" s="3826"/>
      <c r="F1" s="3826"/>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45417</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2"/>
      <c r="B3" s="3502"/>
      <c r="C3" s="3502"/>
      <c r="D3" s="850" t="s">
        <v>925</v>
      </c>
      <c r="E3" s="850" t="s">
        <v>931</v>
      </c>
      <c r="F3" s="850" t="s">
        <v>925</v>
      </c>
      <c r="G3" s="850" t="s">
        <v>926</v>
      </c>
      <c r="H3" s="850" t="s">
        <v>925</v>
      </c>
      <c r="I3" s="850" t="s">
        <v>926</v>
      </c>
    </row>
    <row r="4" spans="1:9" ht="45">
      <c r="A4" s="1501" t="str">
        <f>项目基本情况!S2</f>
        <v>北京市 怀柔区开放东路21号3幢1层、4幢1层、5幢1层、6幢1层、7-2幢1层全部房地产</v>
      </c>
      <c r="B4" s="850">
        <f>项目基本情况!C17</f>
        <v>2447.34</v>
      </c>
      <c r="C4" s="850">
        <f>项目基本情况!C18</f>
        <v>5389.47</v>
      </c>
      <c r="D4" s="850">
        <f ca="1">结果表!D118</f>
        <v>806</v>
      </c>
      <c r="E4" s="850">
        <f ca="1">结果表!E118</f>
        <v>3293</v>
      </c>
      <c r="F4" s="850">
        <f ca="1">结果表!F118</f>
        <v>648</v>
      </c>
      <c r="G4" s="850">
        <f ca="1">结果表!G118</f>
        <v>2648</v>
      </c>
      <c r="H4" s="850">
        <f ca="1">结果表!H118</f>
        <v>1454</v>
      </c>
      <c r="I4" s="850">
        <f ca="1">结果表!I118</f>
        <v>5941</v>
      </c>
    </row>
    <row r="5" spans="1:9" ht="30" customHeight="1">
      <c r="A5" s="3502" t="s">
        <v>927</v>
      </c>
      <c r="B5" s="3502"/>
      <c r="C5" s="3502"/>
      <c r="D5" s="3502" t="str">
        <f ca="1">结果表!D119</f>
        <v>捌佰零陆万元整</v>
      </c>
      <c r="E5" s="3502"/>
      <c r="F5" s="3502" t="str">
        <f ca="1">结果表!F119</f>
        <v>陆佰肆拾捌万元整</v>
      </c>
      <c r="G5" s="3502"/>
      <c r="H5" s="3502" t="str">
        <f ca="1">结果表!H119</f>
        <v>壹仟肆佰伍拾肆万元整</v>
      </c>
      <c r="I5" s="3502"/>
    </row>
    <row r="6" spans="1:9" ht="15.75">
      <c r="A6" s="3501" t="str">
        <f>结果表!A120</f>
        <v>估价师知悉的法定优先受偿款</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75">
      <c r="A8" s="3501" t="str">
        <f>结果表!A122</f>
        <v>房地产抵押价值</v>
      </c>
      <c r="B8" s="3501"/>
      <c r="C8" s="3501"/>
      <c r="D8" s="3501">
        <f ca="1">结果表!D122</f>
        <v>1454</v>
      </c>
      <c r="E8" s="3501"/>
      <c r="F8" s="3501"/>
      <c r="G8" s="3501"/>
      <c r="H8" s="3501"/>
      <c r="I8" s="3501"/>
    </row>
    <row r="9" spans="1:9" ht="15">
      <c r="A9" s="3502" t="s">
        <v>927</v>
      </c>
      <c r="B9" s="3502"/>
      <c r="C9" s="3502"/>
      <c r="D9" s="3502" t="str">
        <f ca="1">结果表!D123</f>
        <v>壹仟肆佰伍拾肆万元整</v>
      </c>
      <c r="E9" s="3502"/>
      <c r="F9" s="3502"/>
      <c r="G9" s="3502"/>
      <c r="H9" s="3502"/>
      <c r="I9" s="3502"/>
    </row>
    <row r="10" spans="1:9" ht="15.75">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75">
      <c r="A12" s="3501" t="str">
        <f>结果表!A126</f>
        <v/>
      </c>
      <c r="B12" s="3501"/>
      <c r="C12" s="3501"/>
      <c r="D12" s="3501" t="str">
        <f>结果表!D126</f>
        <v>——</v>
      </c>
      <c r="E12" s="3501"/>
      <c r="F12" s="3501"/>
      <c r="G12" s="3501"/>
      <c r="H12" s="3501"/>
      <c r="I12" s="3501"/>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4" t="s">
        <v>949</v>
      </c>
      <c r="B1" s="3514"/>
      <c r="C1" s="3514"/>
      <c r="D1" s="3514"/>
    </row>
    <row r="2" spans="1:4" ht="18">
      <c r="A2" s="3515" t="s">
        <v>933</v>
      </c>
      <c r="B2" s="3515"/>
      <c r="C2" s="3515"/>
      <c r="D2" s="3515"/>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15" t="s">
        <v>939</v>
      </c>
      <c r="B6" s="3515"/>
      <c r="C6" s="3515"/>
      <c r="D6" s="3515"/>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1"/>
      <c r="C21" s="3511"/>
      <c r="D21" s="3511"/>
    </row>
    <row r="22" spans="1:4" ht="18.75" customHeight="1">
      <c r="A22" s="3512" t="s">
        <v>945</v>
      </c>
      <c r="B22" s="3512"/>
      <c r="C22" s="3512"/>
      <c r="D22" s="351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2" t="s">
        <v>956</v>
      </c>
      <c r="B15" s="3517" t="s">
        <v>109</v>
      </c>
      <c r="C15" s="3518"/>
    </row>
    <row r="16" spans="1:7" ht="13.5">
      <c r="A16" s="3523"/>
      <c r="B16" s="3517" t="s">
        <v>42</v>
      </c>
      <c r="C16" s="3518"/>
    </row>
    <row r="17" spans="1:3" ht="13.5">
      <c r="A17" s="3523"/>
      <c r="B17" s="3520" t="s">
        <v>957</v>
      </c>
      <c r="C17" s="1528" t="s">
        <v>956</v>
      </c>
    </row>
    <row r="18" spans="1:3" ht="13.5">
      <c r="A18" s="3523"/>
      <c r="B18" s="3520"/>
      <c r="C18" s="1528" t="s">
        <v>958</v>
      </c>
    </row>
    <row r="19" spans="1:3" ht="13.5">
      <c r="A19" s="3523"/>
      <c r="B19" s="3520"/>
      <c r="C19" s="1528" t="s">
        <v>959</v>
      </c>
    </row>
    <row r="20" spans="1:3" ht="13.5">
      <c r="A20" s="3524"/>
      <c r="B20" s="3519" t="s">
        <v>960</v>
      </c>
      <c r="C20" s="3518"/>
    </row>
    <row r="21" spans="1:3" ht="13.5">
      <c r="A21" s="1529" t="s">
        <v>961</v>
      </c>
      <c r="B21" s="1530"/>
      <c r="C21" s="1531"/>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28" t="s">
        <v>967</v>
      </c>
    </row>
    <row r="26" spans="1:3" ht="13.5">
      <c r="A26" s="3521"/>
      <c r="B26" s="3520"/>
      <c r="C26" s="1528" t="s">
        <v>968</v>
      </c>
    </row>
    <row r="27" spans="1:3" ht="13.5">
      <c r="A27" s="3521"/>
      <c r="B27" s="3520"/>
      <c r="C27" s="1528" t="s">
        <v>969</v>
      </c>
    </row>
    <row r="28" spans="1:3" ht="13.5">
      <c r="A28" s="3521"/>
      <c r="B28" s="3520"/>
      <c r="C28" s="1528" t="s">
        <v>970</v>
      </c>
    </row>
    <row r="29" spans="1:3" ht="13.5">
      <c r="A29" s="3521"/>
      <c r="B29" s="3520"/>
      <c r="C29" s="1528" t="s">
        <v>971</v>
      </c>
    </row>
    <row r="30" spans="1:3" ht="13.5">
      <c r="A30" s="3521"/>
      <c r="B30" s="3520"/>
      <c r="C30" s="1528" t="s">
        <v>972</v>
      </c>
    </row>
    <row r="31" spans="1:3" ht="13.5">
      <c r="A31" s="3521"/>
      <c r="B31" s="3520"/>
      <c r="C31" s="1528" t="s">
        <v>973</v>
      </c>
    </row>
    <row r="32" spans="1:3" ht="13.5">
      <c r="A32" s="3521"/>
      <c r="B32" s="3520"/>
      <c r="C32" s="1528" t="s">
        <v>974</v>
      </c>
    </row>
    <row r="33" spans="1:3" ht="13.5">
      <c r="A33" s="3521"/>
      <c r="B33" s="352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45423</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39"/>
      <c r="E18" s="3527" t="s">
        <v>2162</v>
      </c>
      <c r="F18" s="3526"/>
      <c r="G18" s="352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合同租金</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2024-05-11T02:30:46Z</dcterms:modified>
</cp:coreProperties>
</file>