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4"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24" i="82" l="1"/>
  <c r="O24" i="82"/>
  <c r="H3" i="82"/>
  <c r="I3" i="82"/>
  <c r="J3" i="82"/>
  <c r="K3" i="82"/>
  <c r="L3" i="82"/>
  <c r="M3" i="82"/>
  <c r="H4" i="82"/>
  <c r="I4" i="82"/>
  <c r="J4" i="82"/>
  <c r="K4" i="82"/>
  <c r="L4" i="82"/>
  <c r="M4" i="82"/>
  <c r="H5" i="82"/>
  <c r="I5" i="82"/>
  <c r="J5" i="82"/>
  <c r="K5" i="82"/>
  <c r="L5" i="82"/>
  <c r="M5" i="82"/>
  <c r="H6" i="82"/>
  <c r="I6" i="82"/>
  <c r="J6" i="82"/>
  <c r="K6" i="82"/>
  <c r="L6" i="82"/>
  <c r="M6" i="82"/>
  <c r="H7" i="82"/>
  <c r="I7" i="82"/>
  <c r="J7" i="82"/>
  <c r="K7" i="82"/>
  <c r="L7" i="82"/>
  <c r="M7" i="82"/>
  <c r="H8" i="82"/>
  <c r="I8" i="82"/>
  <c r="J8" i="82"/>
  <c r="K8" i="82"/>
  <c r="L8" i="82"/>
  <c r="M8" i="82"/>
  <c r="H9" i="82"/>
  <c r="I9" i="82"/>
  <c r="J9" i="82"/>
  <c r="K9" i="82"/>
  <c r="L9" i="82"/>
  <c r="M9" i="82"/>
  <c r="H10" i="82"/>
  <c r="I10" i="82"/>
  <c r="J10" i="82"/>
  <c r="K10" i="82"/>
  <c r="L10" i="82"/>
  <c r="M10" i="82"/>
  <c r="H11" i="82"/>
  <c r="I11" i="82"/>
  <c r="J11" i="82"/>
  <c r="K11" i="82"/>
  <c r="L11" i="82"/>
  <c r="M11" i="82"/>
  <c r="H12" i="82"/>
  <c r="I12" i="82"/>
  <c r="J12" i="82"/>
  <c r="K12" i="82"/>
  <c r="L12" i="82"/>
  <c r="M12" i="82"/>
  <c r="H13" i="82"/>
  <c r="I13" i="82"/>
  <c r="J13" i="82"/>
  <c r="K13" i="82"/>
  <c r="L13" i="82"/>
  <c r="M13" i="82"/>
  <c r="H14" i="82"/>
  <c r="I14" i="82"/>
  <c r="J14" i="82"/>
  <c r="K14" i="82"/>
  <c r="L14" i="82"/>
  <c r="M14" i="82"/>
  <c r="H15" i="82"/>
  <c r="I15" i="82"/>
  <c r="J15" i="82"/>
  <c r="K15" i="82"/>
  <c r="L15" i="82"/>
  <c r="M15" i="82"/>
  <c r="H16" i="82"/>
  <c r="I16" i="82"/>
  <c r="J16" i="82"/>
  <c r="K16" i="82"/>
  <c r="L16" i="82"/>
  <c r="M16" i="82"/>
  <c r="H17" i="82"/>
  <c r="I17" i="82"/>
  <c r="J17" i="82"/>
  <c r="K17" i="82"/>
  <c r="L17" i="82"/>
  <c r="M17" i="82"/>
  <c r="H18" i="82"/>
  <c r="I18" i="82"/>
  <c r="J18" i="82"/>
  <c r="K18" i="82"/>
  <c r="L18" i="82"/>
  <c r="M18" i="82"/>
  <c r="H19" i="82"/>
  <c r="I19" i="82"/>
  <c r="J19" i="82"/>
  <c r="K19" i="82"/>
  <c r="L19" i="82"/>
  <c r="M19" i="82"/>
  <c r="H20" i="82"/>
  <c r="I20" i="82"/>
  <c r="J20" i="82"/>
  <c r="K20" i="82"/>
  <c r="L20" i="82"/>
  <c r="M20" i="82"/>
  <c r="H21" i="82"/>
  <c r="I21" i="82"/>
  <c r="J21" i="82"/>
  <c r="K21" i="82"/>
  <c r="L21" i="82"/>
  <c r="M21" i="82"/>
  <c r="H22" i="82"/>
  <c r="I22" i="82"/>
  <c r="J22" i="82"/>
  <c r="K22" i="82"/>
  <c r="L22" i="82"/>
  <c r="M22" i="82"/>
  <c r="H23" i="82"/>
  <c r="I23" i="82"/>
  <c r="J23" i="82"/>
  <c r="K23" i="82"/>
  <c r="L23" i="82"/>
  <c r="M23" i="82"/>
  <c r="M2" i="82"/>
  <c r="L2" i="82"/>
  <c r="K2" i="82"/>
  <c r="J2" i="82"/>
  <c r="I2" i="82"/>
  <c r="H2" i="82"/>
  <c r="H1" i="82"/>
  <c r="N3" i="82"/>
  <c r="O3" i="82"/>
  <c r="N4" i="82"/>
  <c r="O4" i="82"/>
  <c r="N5" i="82"/>
  <c r="O5" i="82"/>
  <c r="N6" i="82"/>
  <c r="O6" i="82"/>
  <c r="N7" i="82"/>
  <c r="O7" i="82"/>
  <c r="N8" i="82"/>
  <c r="O8" i="82"/>
  <c r="N9" i="82"/>
  <c r="O9" i="82"/>
  <c r="N10" i="82"/>
  <c r="O10" i="82"/>
  <c r="N11" i="82"/>
  <c r="O11" i="82"/>
  <c r="N12" i="82"/>
  <c r="O12" i="82"/>
  <c r="N13" i="82"/>
  <c r="O13" i="82"/>
  <c r="N14" i="82"/>
  <c r="O14" i="82"/>
  <c r="N15" i="82"/>
  <c r="O15" i="82"/>
  <c r="N16" i="82"/>
  <c r="O16" i="82"/>
  <c r="N17" i="82"/>
  <c r="O17" i="82"/>
  <c r="N18" i="82"/>
  <c r="O18" i="82"/>
  <c r="N19" i="82"/>
  <c r="O19" i="82"/>
  <c r="N20" i="82"/>
  <c r="O20" i="82"/>
  <c r="N21" i="82"/>
  <c r="O21" i="82"/>
  <c r="N22" i="82"/>
  <c r="O22" i="82"/>
  <c r="N23" i="82"/>
  <c r="O23" i="82"/>
  <c r="O2" i="82"/>
  <c r="N2" i="82"/>
  <c r="G3" i="82"/>
  <c r="G4" i="82"/>
  <c r="G5" i="82"/>
  <c r="G6" i="82"/>
  <c r="G7" i="82"/>
  <c r="G8" i="82"/>
  <c r="G9" i="82"/>
  <c r="G10" i="82"/>
  <c r="G11" i="82"/>
  <c r="G12" i="82"/>
  <c r="G13" i="82"/>
  <c r="G14" i="82"/>
  <c r="G15" i="82"/>
  <c r="G16" i="82"/>
  <c r="G17" i="82"/>
  <c r="G18" i="82"/>
  <c r="G19" i="82"/>
  <c r="G20" i="82"/>
  <c r="G21" i="82"/>
  <c r="G22" i="82"/>
  <c r="G23" i="82"/>
  <c r="G2" i="82"/>
  <c r="F3" i="82"/>
  <c r="F4" i="82"/>
  <c r="F5" i="82"/>
  <c r="F6" i="82"/>
  <c r="F7" i="82"/>
  <c r="F8" i="82"/>
  <c r="F9" i="82"/>
  <c r="F10" i="82"/>
  <c r="F11" i="82"/>
  <c r="F12" i="82"/>
  <c r="F13" i="82"/>
  <c r="F14" i="82"/>
  <c r="F15" i="82"/>
  <c r="F16" i="82"/>
  <c r="F17" i="82"/>
  <c r="F18" i="82"/>
  <c r="F19" i="82"/>
  <c r="F20" i="82"/>
  <c r="F21" i="82"/>
  <c r="F22" i="82"/>
  <c r="F23" i="82"/>
  <c r="F2" i="82"/>
  <c r="E3" i="82"/>
  <c r="E4" i="82"/>
  <c r="E5" i="82"/>
  <c r="E6" i="82"/>
  <c r="E7" i="82"/>
  <c r="E8" i="82"/>
  <c r="E9" i="82"/>
  <c r="E10" i="82"/>
  <c r="E11" i="82"/>
  <c r="E12" i="82"/>
  <c r="E13" i="82"/>
  <c r="E14" i="82"/>
  <c r="E15" i="82"/>
  <c r="E16" i="82"/>
  <c r="E17" i="82"/>
  <c r="E18" i="82"/>
  <c r="E19" i="82"/>
  <c r="E20" i="82"/>
  <c r="E21" i="82"/>
  <c r="E22" i="82"/>
  <c r="E23" i="82"/>
  <c r="E2" i="82"/>
  <c r="D3" i="82"/>
  <c r="D4" i="82"/>
  <c r="D5" i="82"/>
  <c r="D6" i="82"/>
  <c r="D7" i="82"/>
  <c r="D8" i="82"/>
  <c r="D9" i="82"/>
  <c r="D10" i="82"/>
  <c r="D11" i="82"/>
  <c r="D12" i="82"/>
  <c r="D13" i="82"/>
  <c r="D14" i="82"/>
  <c r="D15" i="82"/>
  <c r="D16" i="82"/>
  <c r="D17" i="82"/>
  <c r="D18" i="82"/>
  <c r="D19" i="82"/>
  <c r="D20" i="82"/>
  <c r="D21" i="82"/>
  <c r="D22" i="82"/>
  <c r="D23" i="82"/>
  <c r="D2" i="82"/>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12" i="76"/>
  <c r="B11" i="76"/>
  <c r="E11" i="76"/>
  <c r="B9" i="76"/>
  <c r="B13" i="76"/>
  <c r="E13" i="76"/>
  <c r="E9" i="76"/>
  <c r="B10" i="76"/>
  <c r="E8" i="76"/>
  <c r="E12" i="76"/>
  <c r="B7" i="76"/>
  <c r="E7"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6" i="73"/>
  <c r="F5" i="73"/>
  <c r="D5" i="73"/>
  <c r="F4" i="73"/>
  <c r="D3" i="73"/>
  <c r="F3"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77"/>
  <c r="M28" i="67"/>
  <c r="J15" i="77"/>
  <c r="M9" i="78"/>
  <c r="M23" i="67"/>
  <c r="F37" i="77"/>
  <c r="F36" i="67"/>
  <c r="M26" i="78"/>
  <c r="M23" i="77"/>
  <c r="F38" i="78"/>
  <c r="F6" i="15"/>
  <c r="M8" i="77"/>
  <c r="M29" i="15"/>
  <c r="C76" i="78"/>
  <c r="M28" i="15"/>
  <c r="M23" i="78"/>
  <c r="F37" i="15"/>
  <c r="F13" i="77"/>
  <c r="F16" i="15"/>
  <c r="F36" i="15"/>
  <c r="F43" i="77"/>
  <c r="M6" i="67"/>
  <c r="C76" i="15"/>
  <c r="M27" i="78"/>
  <c r="L47" i="15"/>
  <c r="F8" i="78"/>
  <c r="F26" i="67"/>
  <c r="F42" i="78"/>
  <c r="M6" i="15"/>
  <c r="F38" i="15"/>
  <c r="F6" i="77"/>
  <c r="M22" i="15"/>
  <c r="F26" i="15"/>
  <c r="M8" i="15"/>
  <c r="F16" i="77"/>
  <c r="L48" i="15"/>
  <c r="J15" i="67"/>
  <c r="M29" i="78"/>
  <c r="M24" i="78"/>
  <c r="F40" i="78"/>
  <c r="G1" i="73"/>
  <c r="C76" i="77"/>
  <c r="M24" i="77"/>
  <c r="M22" i="67"/>
  <c r="F42" i="77"/>
  <c r="F9" i="78"/>
  <c r="F16" i="78"/>
  <c r="L48" i="77"/>
  <c r="F40" i="67"/>
  <c r="F8" i="77"/>
  <c r="L48" i="67"/>
  <c r="M6" i="78"/>
  <c r="F37" i="78"/>
  <c r="M9" i="67"/>
  <c r="L47" i="67"/>
  <c r="M9" i="77"/>
  <c r="M8" i="67"/>
  <c r="M24" i="67"/>
  <c r="F36" i="78"/>
  <c r="F8" i="15"/>
  <c r="F42" i="67"/>
  <c r="F43" i="15"/>
  <c r="J15" i="78"/>
  <c r="M28" i="78"/>
  <c r="M26" i="67"/>
  <c r="M23" i="15"/>
  <c r="L47" i="78"/>
  <c r="F9" i="77"/>
  <c r="C76" i="67"/>
  <c r="F40" i="15"/>
  <c r="F43" i="67"/>
  <c r="F38" i="67"/>
  <c r="M22" i="78"/>
  <c r="F26" i="78"/>
  <c r="L47" i="77"/>
  <c r="F13" i="15"/>
  <c r="F43" i="78"/>
  <c r="M6" i="77"/>
  <c r="F42" i="15"/>
  <c r="M9" i="15"/>
  <c r="J15" i="15"/>
  <c r="M22" i="77"/>
  <c r="M26" i="15"/>
  <c r="M27" i="77"/>
  <c r="F8" i="67"/>
  <c r="F6" i="67"/>
  <c r="F7" i="78"/>
  <c r="F13" i="78"/>
  <c r="F6" i="78"/>
  <c r="M29" i="67"/>
  <c r="F38" i="77"/>
  <c r="M29" i="77"/>
  <c r="F37" i="67"/>
  <c r="M24" i="15"/>
  <c r="F9" i="67"/>
  <c r="F26" i="77"/>
  <c r="F7" i="67"/>
  <c r="F40" i="77"/>
  <c r="M26" i="77"/>
  <c r="M8" i="78"/>
  <c r="F16" i="67"/>
  <c r="F13" i="67"/>
  <c r="F9" i="15"/>
  <c r="M28" i="77"/>
  <c r="L48" i="78"/>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7" i="77"/>
  <c r="C16" i="15"/>
  <c r="F7" i="77"/>
  <c r="C16" i="78"/>
  <c r="F7" i="15"/>
  <c r="C16" i="67"/>
  <c r="C17" i="78"/>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7"/>
  <c r="C14" i="78"/>
  <c r="C17" i="15"/>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F35" i="78"/>
  <c r="E6" i="76"/>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M21" i="15"/>
  <c r="B6" i="76"/>
  <c r="M21" i="77"/>
  <c r="F35" i="15"/>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67"/>
  <c r="M27" i="15"/>
  <c r="F41" i="77"/>
  <c r="L51" i="15"/>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E2" i="69"/>
  <c r="AO8" i="1"/>
  <c r="B8" i="70" l="1"/>
  <c r="B6" i="70"/>
  <c r="C46" i="15"/>
  <c r="B2" i="69"/>
  <c r="B3" i="69" s="1"/>
  <c r="B2" i="68"/>
  <c r="D2" i="36"/>
  <c r="D2" i="34"/>
  <c r="E2" i="68"/>
  <c r="D2" i="35"/>
  <c r="F20" i="31"/>
  <c r="D2" i="21"/>
  <c r="D2" i="37"/>
  <c r="D2" i="33"/>
  <c r="B2" i="36" l="1"/>
  <c r="B3" i="36" s="1"/>
  <c r="B2" i="35"/>
  <c r="B2" i="37"/>
  <c r="B3" i="37" s="1"/>
  <c r="B2" i="21"/>
  <c r="B3" i="21" s="1"/>
  <c r="B2" i="70"/>
  <c r="B3" i="68"/>
  <c r="D19" i="9"/>
  <c r="C19" i="79"/>
  <c r="C102" i="79" l="1"/>
  <c r="C21" i="79"/>
  <c r="B3" i="35"/>
  <c r="B3" i="70"/>
  <c r="D102" i="9"/>
  <c r="D21" i="9"/>
  <c r="D20" i="9"/>
  <c r="C20" i="7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20" i="79"/>
  <c r="D35" i="79"/>
  <c r="D34"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23" i="81" l="1"/>
  <c r="U19" i="81" s="1"/>
  <c r="H118" i="9"/>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<sst xmlns="http://schemas.openxmlformats.org/spreadsheetml/2006/main" count="8976" uniqueCount="3339">
  <si>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</si>
  <si>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</si>
  <si>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</si>
  <si>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</si>
  <si>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</si>
  <si>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</si>
  <si>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</si>
  <si>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</si>
  <si>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</si>
  <si>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</si>
  <si>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</si>
  <si>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</si>
  <si>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</si>
  <si>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</si>
  <si>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</si>
  <si>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</si>
  <si>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</si>
  <si>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</si>
  <si>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</si>
  <si>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</si>
  <si>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</si>
  <si>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</si>
  <si>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</si>
  <si>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</si>
  <si>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</si>
  <si>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</si>
  <si>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</si>
  <si>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</si>
  <si>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</si>
  <si>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</si>
  <si>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</si>
  <si>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</si>
  <si>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</si>
  <si>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</si>
  <si>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</si>
  <si>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</si>
  <si>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</si>
  <si>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</si>
  <si>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</si>
  <si>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</si>
  <si>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</si>
  <si>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</si>
  <si>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</si>
  <si>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</si>
  <si>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</si>
  <si>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</si>
  <si>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</si>
  <si>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</si>
  <si>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</si>
  <si>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</si>
  <si>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</si>
  <si>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</si>
  <si>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</si>
  <si>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</si>
  <si>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</si>
  <si>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</si>
  <si>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</si>
  <si>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</si>
  <si>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</si>
  <si>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</si>
  <si>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</si>
  <si>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</si>
  <si>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</si>
  <si>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</si>
  <si>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</si>
  <si>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</si>
  <si>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</si>
  <si>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</si>
  <si>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</si>
  <si>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</si>
  <si>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</si>
  <si>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</si>
  <si>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</si>
  <si>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</si>
  <si>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</si>
  <si>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</si>
  <si>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</si>
  <si>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</si>
  <si>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</si>
  <si>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</si>
  <si>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</si>
  <si>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</si>
  <si>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</si>
  <si>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</si>
  <si>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</si>
  <si>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</si>
  <si>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</si>
  <si>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</si>
  <si>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</si>
  <si>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</si>
  <si>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</si>
  <si>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</si>
  <si>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</si>
  <si>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</si>
  <si>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</si>
  <si>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</si>
  <si>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</si>
  <si>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</si>
  <si>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</si>
  <si>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</si>
  <si>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</si>
  <si>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</si>
  <si>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</si>
  <si>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</si>
  <si>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</si>
  <si>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</si>
  <si>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</si>
  <si>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</si>
  <si>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</si>
  <si>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</si>
  <si>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</si>
  <si>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</si>
  <si>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</si>
  <si>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</si>
  <si>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</si>
  <si>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</si>
  <si>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</si>
  <si>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</si>
  <si>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</si>
  <si>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</si>
  <si>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</si>
  <si>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</si>
  <si>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</si>
  <si>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</si>
  <si>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</si>
  <si>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</si>
  <si>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</si>
  <si>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</si>
  <si>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</si>
  <si>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</si>
  <si>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</si>
  <si>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</si>
  <si>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</si>
  <si>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</si>
  <si>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</si>
  <si>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</si>
  <si>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</si>
  <si>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</si>
  <si>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</si>
  <si>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</si>
  <si>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</si>
  <si>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</si>
  <si>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</si>
  <si>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</si>
  <si>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</si>
  <si>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</si>
  <si>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</si>
  <si>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</si>
  <si>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</si>
  <si>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</si>
  <si>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</si>
  <si>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</si>
  <si>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</si>
  <si>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</si>
  <si>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</si>
  <si>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</si>
  <si>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</si>
  <si>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</si>
  <si>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</si>
  <si>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</si>
  <si>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</si>
  <si>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</si>
  <si>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</si>
  <si>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</si>
  <si>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</si>
  <si>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</si>
  <si>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</si>
  <si>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</si>
  <si>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</si>
  <si>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</si>
  <si>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</si>
  <si>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</si>
  <si>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</si>
  <si>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</si>
  <si>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</si>
  <si>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</si>
  <si>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</si>
  <si>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</si>
  <si>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</si>
  <si>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</si>
  <si>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</si>
  <si>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</si>
  <si>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</si>
  <si>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</si>
  <si>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</si>
  <si>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</si>
  <si>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</si>
  <si>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</si>
  <si>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</si>
  <si>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</si>
  <si>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</si>
  <si>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</si>
  <si>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</si>
  <si>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</si>
  <si>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</si>
  <si>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</si>
  <si>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</si>
  <si>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</si>
  <si>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</si>
  <si>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</si>
  <si>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</si>
  <si>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</si>
  <si>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</si>
  <si>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</si>
  <si>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</si>
  <si>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</si>
  <si>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</si>
  <si>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</si>
  <si>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</si>
  <si>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</si>
  <si>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</si>
  <si>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</si>
  <si>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</si>
  <si>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</si>
  <si>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</si>
  <si>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</si>
  <si>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</si>
  <si>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</si>
  <si>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</si>
  <si>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</si>
  <si>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</si>
  <si>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</si>
  <si>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</si>
  <si>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</si>
  <si>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</si>
  <si>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</si>
  <si>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</si>
  <si>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</si>
  <si>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</si>
  <si>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</si>
  <si>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</si>
  <si>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</si>
  <si>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</si>
  <si>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</si>
  <si>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</si>
  <si>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</si>
  <si>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</si>
  <si>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</si>
  <si>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</si>
  <si>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</si>
  <si>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</si>
  <si>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</si>
  <si>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</si>
  <si>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</si>
  <si>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</si>
  <si>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</si>
  <si>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</si>
  <si>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</si>
  <si>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</si>
  <si>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</si>
  <si>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</si>
  <si>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</si>
  <si>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</si>
  <si>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</si>
  <si>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</si>
  <si>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</si>
  <si>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</si>
  <si>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</si>
  <si>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</si>
  <si>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</si>
  <si>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</si>
  <si>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</si>
  <si>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</si>
  <si>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</si>
  <si>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</si>
  <si>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</si>
  <si>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</si>
  <si>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</si>
  <si>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</si>
  <si>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</si>
  <si>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</si>
  <si>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</si>
  <si>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</si>
  <si>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</si>
  <si>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</si>
  <si>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</si>
  <si>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</si>
  <si>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</si>
  <si>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</si>
  <si>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</si>
  <si>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</si>
  <si>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</si>
  <si>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</si>
  <si>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</si>
  <si>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</si>
  <si>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</si>
  <si>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</si>
  <si>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</si>
  <si>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</si>
  <si>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</si>
  <si>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</si>
  <si>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</si>
  <si>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</si>
  <si>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</si>
  <si>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</si>
  <si>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</si>
  <si>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</si>
  <si>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</si>
  <si>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</si>
  <si>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</si>
  <si>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</si>
  <si>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</si>
  <si>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</si>
  <si>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</si>
  <si>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</si>
  <si>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</si>
  <si>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</si>
  <si>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</si>
  <si>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</si>
  <si>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</si>
  <si>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</si>
  <si>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</si>
  <si>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</si>
  <si>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</si>
  <si>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</si>
  <si>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</si>
  <si>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</si>
  <si>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</si>
  <si>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</si>
  <si>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</si>
  <si>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</si>
  <si>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</si>
  <si>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</si>
  <si>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</si>
  <si>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</si>
  <si>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</si>
  <si>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</si>
  <si>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</si>
  <si>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</si>
  <si>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</si>
  <si>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</si>
  <si>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</si>
  <si>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</si>
  <si>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</si>
  <si>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</si>
  <si>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</si>
  <si>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</si>
  <si>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</si>
  <si>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</si>
  <si>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</si>
  <si>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</si>
  <si>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</si>
  <si>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</si>
  <si>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</si>
  <si>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</si>
  <si>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</si>
  <si>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</si>
  <si>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</si>
  <si>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</si>
  <si>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</si>
  <si>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</si>
  <si>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</si>
  <si>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</si>
  <si>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</si>
  <si>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</si>
  <si>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</si>
  <si>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</si>
  <si>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</si>
  <si>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</si>
  <si>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</si>
  <si>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</si>
  <si>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</si>
  <si>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</si>
  <si>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</si>
  <si>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</si>
  <si>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</si>
  <si>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</si>
  <si>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</si>
  <si>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</si>
  <si>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</si>
  <si>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</si>
  <si>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</si>
  <si>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</si>
  <si>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</si>
  <si>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</si>
  <si>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</si>
  <si>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</si>
  <si>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</si>
  <si>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</si>
  <si>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</si>
  <si>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</si>
  <si>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</si>
  <si>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</si>
  <si>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</si>
  <si>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</si>
  <si>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</si>
  <si>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</si>
  <si>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</si>
  <si>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</si>
  <si>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</si>
  <si>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</si>
  <si>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</si>
  <si>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</si>
  <si>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</si>
  <si>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</si>
  <si>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</si>
  <si>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</si>
  <si>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</si>
  <si>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</si>
  <si>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</si>
  <si>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</si>
  <si>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</si>
  <si>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</si>
  <si>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</si>
  <si>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</si>
  <si>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</si>
  <si>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</si>
  <si>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</si>
  <si>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</si>
  <si>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</si>
  <si>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</si>
  <si>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</si>
  <si>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</si>
  <si>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</si>
  <si>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</si>
  <si>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</si>
  <si>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</si>
  <si>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</si>
  <si>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</si>
  <si>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</si>
  <si>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</si>
  <si>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</si>
  <si>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</si>
  <si>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</si>
  <si>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</si>
  <si>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</si>
  <si>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</si>
  <si>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</si>
  <si>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</si>
  <si>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</si>
  <si>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</si>
  <si>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</si>
  <si>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</si>
  <si>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</si>
  <si>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</si>
  <si>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</si>
  <si>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</si>
  <si>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</si>
  <si>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</si>
  <si>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</si>
  <si>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</si>
  <si>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</si>
  <si>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</si>
  <si>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</si>
  <si>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</si>
  <si>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</si>
  <si>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</si>
  <si>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</si>
  <si>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</si>
  <si>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</si>
  <si>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</si>
  <si>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</si>
  <si>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</si>
  <si>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</si>
  <si>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</si>
  <si>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</si>
  <si>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</si>
  <si>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</si>
  <si>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</si>
  <si>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</si>
  <si>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</si>
  <si>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</si>
  <si>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</si>
  <si>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</si>
  <si>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</si>
  <si>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</si>
  <si>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</si>
  <si>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</si>
  <si>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</si>
  <si>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</si>
  <si>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</si>
  <si>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</si>
  <si>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</si>
  <si>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</si>
  <si>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</si>
  <si>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</si>
  <si>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</si>
  <si>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</si>
  <si>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</si>
  <si>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</si>
  <si>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</si>
  <si>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</si>
  <si>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</si>
  <si>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</si>
  <si>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</si>
  <si>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</si>
  <si>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</si>
  <si>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</si>
  <si>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</si>
  <si>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</si>
  <si>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</si>
  <si>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</si>
  <si>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</si>
  <si>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</si>
  <si>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</si>
  <si>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</si>
  <si>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</si>
  <si>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</si>
  <si>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</si>
  <si>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</si>
  <si>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</si>
  <si>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</si>
  <si>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</si>
  <si>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</si>
  <si>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</si>
  <si>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</si>
  <si>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</si>
  <si>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</si>
  <si>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</si>
  <si>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</si>
  <si>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</si>
  <si>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</si>
  <si>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</si>
  <si>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</si>
  <si>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</si>
  <si>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</si>
  <si>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</si>
  <si>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</si>
  <si>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</si>
  <si>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</si>
  <si>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</si>
  <si>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</si>
  <si>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</si>
  <si>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</si>
  <si>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</si>
  <si>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</si>
  <si>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</si>
  <si>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</si>
  <si>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</si>
  <si>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</si>
  <si>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</si>
  <si>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</si>
  <si>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</si>
  <si>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</si>
  <si>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</si>
  <si>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</si>
  <si>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</si>
  <si>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</si>
  <si>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</si>
  <si>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</si>
  <si>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</si>
  <si>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</si>
  <si>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</si>
  <si>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</si>
  <si>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</si>
  <si>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</si>
  <si>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</si>
  <si>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</si>
  <si>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</si>
  <si>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</si>
  <si>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</si>
  <si>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</si>
  <si>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</si>
  <si>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</si>
  <si>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</si>
  <si>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</si>
  <si>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</si>
  <si>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</si>
  <si>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</si>
  <si>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</si>
  <si>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</si>
  <si>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</si>
  <si>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</si>
  <si>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</si>
  <si>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</si>
  <si>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</si>
  <si>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</si>
  <si>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</si>
  <si>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</si>
  <si>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</si>
  <si>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</si>
  <si>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</si>
  <si>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</si>
  <si>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</si>
  <si>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</si>
  <si>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</si>
  <si>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</si>
  <si>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</si>
  <si>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</si>
  <si>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</si>
  <si>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</si>
  <si>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</si>
  <si>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</si>
  <si>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</si>
  <si>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</si>
  <si>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</si>
  <si>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</si>
  <si>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</si>
  <si>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</si>
  <si>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</si>
  <si>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</si>
  <si>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</si>
  <si>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</si>
  <si>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</si>
  <si>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</si>
  <si>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</si>
  <si>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</si>
  <si>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</si>
  <si>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</si>
  <si>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</si>
  <si>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</si>
  <si>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</si>
  <si>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</si>
  <si>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</si>
  <si>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</si>
  <si>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</si>
  <si>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</si>
  <si>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</si>
  <si>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</si>
  <si>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</si>
  <si>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</si>
  <si>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</si>
  <si>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</si>
  <si>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</si>
  <si>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</si>
  <si>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</si>
  <si>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</si>
  <si>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</si>
  <si>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</si>
  <si>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</si>
  <si>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</si>
  <si>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</si>
  <si>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</si>
  <si>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</si>
  <si>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</si>
  <si>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</si>
  <si>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</si>
  <si>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</si>
  <si>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</si>
  <si>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</si>
  <si>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</si>
  <si>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</si>
  <si>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</si>
  <si>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</si>
  <si>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</si>
  <si>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</si>
  <si>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</si>
  <si>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</si>
  <si>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</si>
  <si>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</si>
  <si>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</si>
  <si>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</si>
  <si>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</si>
  <si>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</si>
  <si>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</si>
  <si>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</si>
  <si>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</si>
  <si>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</si>
  <si>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</si>
  <si>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</si>
  <si>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</si>
  <si>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</si>
  <si>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</si>
  <si>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</si>
  <si>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</si>
  <si>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</si>
  <si>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</si>
  <si>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</si>
  <si>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</si>
  <si>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</si>
  <si>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</si>
  <si>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</si>
  <si>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</si>
  <si>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</si>
  <si>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</si>
  <si>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</si>
  <si>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</si>
  <si>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</si>
  <si>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</si>
  <si>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</si>
  <si>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</si>
  <si>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</si>
  <si>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</si>
  <si>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</si>
  <si>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</si>
  <si>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</si>
  <si>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</si>
  <si>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</si>
  <si>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</si>
  <si>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</si>
  <si>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</si>
  <si>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</si>
  <si>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</si>
  <si>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</si>
  <si>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</si>
  <si>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</si>
  <si>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</si>
  <si>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</si>
  <si>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</si>
  <si>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</si>
  <si>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</si>
  <si>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</si>
  <si>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</si>
  <si>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</si>
  <si>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</si>
  <si>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</si>
  <si>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</si>
  <si>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</si>
  <si>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</si>
  <si>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</si>
  <si>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</si>
  <si>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</si>
  <si>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</si>
  <si>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</si>
  <si>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</si>
  <si>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</si>
  <si>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</si>
  <si>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</si>
  <si>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</si>
  <si>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</si>
  <si>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</si>
  <si>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</si>
  <si>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</si>
  <si>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</si>
  <si>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</si>
  <si>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</si>
  <si>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</si>
  <si>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</si>
  <si>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</si>
  <si>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</si>
  <si>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</si>
  <si>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</si>
  <si>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</si>
  <si>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</si>
  <si>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</si>
  <si>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</si>
  <si>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</si>
  <si>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</si>
  <si>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</si>
  <si>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</si>
  <si>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</si>
  <si>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</si>
  <si>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</si>
  <si>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</si>
  <si>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</si>
  <si>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</si>
  <si>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</si>
  <si>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</si>
  <si>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</si>
  <si>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</si>
  <si>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</si>
  <si>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</si>
  <si>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</si>
  <si>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</si>
  <si>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</si>
  <si>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</si>
  <si>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</si>
  <si>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</si>
  <si>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</si>
  <si>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</si>
  <si>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</si>
  <si>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</si>
  <si>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</si>
  <si>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</si>
  <si>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</si>
  <si>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</si>
  <si>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</si>
  <si>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</si>
  <si>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</si>
  <si>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</si>
  <si>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</si>
  <si>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</si>
  <si>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</si>
  <si>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</si>
  <si>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</si>
  <si>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</si>
  <si>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</si>
  <si>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</si>
  <si>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</si>
  <si>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</si>
  <si>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</si>
  <si>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</si>
  <si>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</si>
  <si>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</si>
  <si>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</si>
  <si>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</si>
  <si>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</si>
  <si>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</si>
  <si>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</si>
  <si>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</si>
  <si>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</si>
  <si>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</si>
  <si>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</si>
  <si>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</si>
  <si>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</si>
  <si>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</si>
  <si>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</si>
  <si>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</si>
  <si>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</si>
  <si>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</si>
  <si>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</si>
  <si>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</si>
  <si>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</si>
  <si>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</si>
  <si>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</si>
  <si>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</si>
  <si>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</si>
  <si>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</si>
  <si>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</si>
  <si>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</si>
  <si>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</si>
  <si>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</si>
  <si>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</si>
  <si>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</si>
  <si>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</si>
  <si>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</si>
  <si>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</si>
  <si>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</si>
  <si>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</si>
  <si>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</si>
  <si>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</si>
  <si>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</si>
  <si>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</si>
  <si>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</si>
  <si>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</si>
  <si>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</si>
  <si>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</si>
  <si>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</si>
  <si>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</si>
  <si>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</si>
  <si>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</si>
  <si>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</si>
  <si>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</si>
  <si>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</si>
  <si>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</si>
  <si>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</si>
  <si>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</si>
  <si>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</si>
  <si>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</si>
  <si>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</si>
  <si>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</si>
  <si>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</si>
  <si>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</si>
  <si>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</si>
  <si>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</si>
  <si>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</si>
  <si>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</si>
  <si>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</si>
  <si>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</si>
  <si>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</si>
  <si>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</si>
  <si>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</si>
  <si>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</si>
  <si>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</si>
  <si>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</si>
  <si>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</si>
  <si>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</si>
  <si>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</si>
  <si>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</si>
  <si>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</si>
  <si>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</si>
  <si>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</si>
  <si>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</si>
  <si>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</si>
  <si>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</si>
  <si>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</si>
  <si>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</si>
  <si>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</si>
  <si>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</si>
  <si>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</si>
  <si>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</si>
  <si>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</si>
  <si>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</si>
  <si>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</si>
  <si>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</si>
  <si>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</si>
  <si>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</si>
  <si>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</si>
  <si>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</si>
  <si>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</si>
  <si>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</si>
  <si>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</si>
  <si>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</si>
  <si>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</si>
  <si>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</si>
  <si>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</si>
  <si>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</si>
  <si>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</si>
  <si>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</si>
  <si>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</si>
  <si>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</si>
  <si>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</si>
  <si>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</si>
  <si>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</si>
  <si>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</si>
  <si>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</si>
  <si>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</si>
  <si>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</si>
  <si>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</si>
  <si>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</si>
  <si>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</si>
  <si>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</si>
  <si>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</si>
  <si>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</si>
  <si>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</si>
  <si>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</si>
  <si>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</si>
  <si>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</si>
  <si>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</si>
  <si>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</si>
  <si>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</si>
  <si>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</si>
  <si>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</si>
  <si>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</si>
  <si>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</si>
  <si>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</si>
  <si>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</si>
  <si>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</si>
  <si>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</si>
  <si>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</si>
  <si>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</si>
  <si>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</si>
  <si>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</si>
  <si>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</si>
  <si>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</si>
  <si>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</si>
  <si>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</si>
  <si>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</si>
  <si>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</si>
  <si>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</si>
  <si>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</si>
  <si>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</si>
  <si>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</si>
  <si>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</si>
  <si>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</si>
  <si>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</si>
  <si>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</si>
  <si>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</si>
  <si>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</si>
  <si>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</si>
  <si>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</si>
  <si>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</si>
  <si>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</si>
  <si>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</si>
  <si>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</si>
  <si>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</si>
  <si>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</si>
  <si>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</si>
  <si>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</si>
  <si>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</si>
  <si>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</si>
  <si>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</si>
  <si>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</si>
  <si>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</si>
  <si>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</si>
  <si>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</si>
  <si>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</si>
  <si>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</si>
  <si>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</si>
  <si>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</si>
  <si>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</si>
  <si>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</si>
  <si>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</si>
  <si>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</si>
  <si>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</si>
  <si>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</si>
  <si>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</si>
  <si>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</si>
  <si>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</si>
  <si>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</si>
  <si>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</si>
  <si>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</si>
  <si>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</si>
  <si>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</si>
  <si>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</si>
  <si>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</si>
  <si>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</si>
  <si>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</si>
  <si>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</si>
  <si>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</si>
  <si>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</si>
  <si>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</si>
  <si>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</si>
  <si>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</si>
  <si>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</si>
  <si>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</si>
  <si>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</si>
  <si>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</si>
  <si>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</si>
  <si>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</si>
  <si>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</si>
  <si>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</si>
  <si>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</si>
  <si>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</si>
  <si>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</si>
  <si>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</si>
  <si>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</si>
  <si>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</si>
  <si>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</si>
  <si>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</si>
  <si>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</si>
  <si>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</si>
  <si>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</si>
  <si>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</si>
  <si>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</si>
  <si>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</si>
  <si>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</si>
  <si>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</si>
  <si>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</si>
  <si>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</si>
  <si>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</si>
  <si>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</si>
  <si>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</si>
  <si>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</si>
  <si>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</si>
  <si>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</si>
  <si>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</si>
  <si>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</si>
  <si>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</si>
  <si>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</si>
  <si>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</si>
  <si>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</si>
  <si>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</si>
  <si>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</si>
  <si>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</si>
  <si>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</si>
  <si>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</si>
  <si>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</si>
  <si>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</si>
  <si>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</si>
  <si>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</si>
  <si>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</si>
  <si>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</si>
  <si>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</si>
  <si>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</si>
  <si>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</si>
  <si>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</si>
  <si>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</si>
  <si>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</si>
  <si>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</si>
  <si>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</si>
  <si>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</si>
  <si>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</si>
  <si>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</si>
  <si>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</si>
  <si>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</si>
  <si>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</si>
  <si>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</si>
  <si>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</si>
  <si>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</si>
  <si>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</si>
  <si>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</si>
  <si>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</si>
  <si>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</si>
  <si>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</si>
  <si>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</si>
  <si>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</si>
  <si>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</si>
  <si>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</si>
  <si>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</si>
  <si>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</si>
  <si>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</si>
  <si>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</si>
  <si>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</si>
  <si>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</si>
  <si>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</si>
  <si>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</si>
  <si>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</si>
  <si>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</si>
  <si>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</si>
  <si>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</si>
  <si>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</si>
  <si>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</si>
  <si>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</si>
  <si>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</si>
  <si>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</si>
  <si>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</si>
  <si>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</si>
  <si>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</si>
  <si>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</si>
  <si>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</si>
  <si>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</si>
  <si>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</si>
  <si>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</si>
  <si>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</si>
  <si>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</si>
  <si>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</si>
  <si>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</si>
  <si>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</si>
  <si>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</si>
  <si>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</si>
  <si>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</si>
  <si>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</si>
  <si>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</si>
  <si>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</si>
  <si>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</si>
  <si>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</si>
  <si>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</si>
  <si>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</si>
  <si>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</si>
  <si>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</si>
  <si>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</si>
  <si>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</si>
  <si>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</si>
  <si>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</si>
  <si>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</si>
  <si>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</si>
  <si>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</si>
  <si>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</si>
  <si>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</si>
  <si>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</si>
  <si>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</si>
  <si>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</si>
  <si>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</si>
  <si>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</si>
  <si>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</si>
  <si>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</si>
  <si>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</si>
  <si>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</si>
  <si>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</si>
  <si>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</si>
  <si>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</si>
  <si>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</si>
  <si>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</si>
  <si>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</si>
  <si>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</si>
  <si>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</si>
  <si>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</si>
  <si>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</si>
  <si>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</si>
  <si>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</si>
  <si>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</si>
  <si>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</si>
  <si>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</si>
  <si>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</si>
  <si>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</si>
  <si>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</si>
  <si>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</si>
  <si>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</si>
  <si>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</si>
  <si>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</si>
  <si>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</si>
  <si>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</si>
  <si>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</si>
  <si>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</si>
  <si>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</si>
  <si>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</si>
  <si>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</si>
  <si>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</si>
  <si>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</si>
  <si>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</si>
  <si>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</si>
  <si>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</si>
  <si>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</si>
  <si>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</si>
  <si>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</si>
  <si>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</si>
  <si>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</si>
  <si>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</si>
  <si>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</si>
  <si>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</si>
  <si>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</si>
  <si>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</si>
  <si>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</si>
  <si>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</si>
  <si>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</si>
  <si>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</si>
  <si>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</si>
  <si>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</si>
  <si>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</si>
  <si>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</si>
  <si>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</si>
  <si>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</si>
  <si>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</si>
  <si>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</si>
  <si>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</si>
  <si>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</si>
  <si>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</si>
  <si>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</si>
  <si>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</si>
  <si>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</si>
  <si>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</si>
  <si>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</si>
  <si>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</si>
  <si>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</si>
  <si>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</si>
  <si>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</si>
  <si>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</si>
  <si>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</si>
  <si>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</si>
  <si>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</si>
  <si>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</si>
  <si>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</si>
  <si>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</si>
  <si>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</si>
  <si>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</si>
  <si>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</si>
  <si>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</si>
  <si>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</si>
  <si>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</si>
  <si>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</si>
  <si>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</si>
  <si>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</si>
  <si>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</si>
  <si>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</si>
  <si>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</si>
  <si>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</si>
  <si>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</si>
  <si>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</si>
  <si>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</si>
  <si>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</si>
  <si>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</si>
  <si>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</si>
  <si>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</si>
  <si>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</si>
  <si>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</si>
  <si>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</si>
  <si>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</si>
  <si>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</si>
  <si>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</si>
  <si>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</si>
  <si>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</si>
  <si>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</si>
  <si>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</si>
  <si>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</si>
  <si>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</si>
  <si>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</si>
  <si>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</si>
  <si>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</si>
  <si>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</si>
  <si>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</si>
  <si>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</si>
  <si>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</si>
  <si>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</si>
  <si>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</si>
  <si>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</si>
  <si>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</si>
  <si>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</si>
  <si>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</si>
  <si>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</si>
  <si>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</si>
  <si>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</si>
  <si>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</si>
  <si>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</si>
  <si>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</si>
  <si>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</si>
  <si>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</si>
  <si>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</si>
  <si>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</si>
  <si>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</si>
  <si>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</si>
  <si>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</si>
  <si>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</si>
  <si>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</si>
  <si>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</si>
  <si>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</si>
  <si>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</si>
  <si>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</si>
  <si>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</si>
  <si>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</si>
  <si>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</si>
  <si>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</si>
  <si>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</si>
  <si>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</si>
  <si>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</si>
  <si>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</si>
  <si>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</si>
  <si>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</si>
  <si>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</si>
  <si>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</si>
  <si>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</si>
  <si>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</si>
  <si>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</si>
  <si>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</si>
  <si>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</si>
  <si>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</si>
  <si>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</si>
  <si>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</si>
  <si>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</si>
  <si>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</si>
  <si>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</si>
  <si>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</si>
  <si>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</si>
  <si>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</si>
  <si>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</si>
  <si>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</si>
  <si>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</si>
  <si>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</si>
  <si>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</si>
  <si>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</si>
  <si>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</si>
  <si>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</si>
  <si>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</si>
  <si>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</si>
  <si>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</si>
  <si>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</si>
  <si>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</si>
  <si>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</si>
  <si>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</si>
  <si>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</si>
  <si>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</si>
  <si>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</si>
  <si>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</si>
  <si>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</si>
  <si>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</si>
  <si>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</si>
  <si>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</si>
  <si>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</si>
  <si>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</si>
  <si>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</si>
  <si>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</si>
  <si>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</si>
  <si>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</si>
  <si>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</si>
  <si>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</si>
  <si>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</si>
  <si>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</si>
  <si>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</si>
  <si>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</si>
  <si>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</si>
  <si>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</si>
  <si>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</si>
  <si>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</si>
  <si>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</si>
  <si>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</si>
  <si>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</si>
  <si>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</si>
  <si>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</si>
  <si>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</si>
  <si>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</si>
  <si>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</si>
  <si>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</si>
  <si>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</si>
  <si>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</si>
  <si>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</si>
  <si>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</si>
  <si>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</si>
  <si>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</si>
  <si>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</si>
  <si>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</si>
  <si>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</si>
  <si>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</si>
  <si>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</si>
  <si>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</si>
  <si>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</si>
  <si>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</si>
  <si>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</si>
  <si>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</si>
  <si>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</si>
  <si>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</si>
  <si>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</si>
  <si>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</si>
  <si>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</si>
  <si>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</si>
  <si>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</si>
  <si>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</si>
  <si>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</si>
  <si>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</si>
  <si>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</si>
  <si>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</si>
  <si>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</si>
  <si>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</si>
  <si>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</si>
  <si>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</si>
  <si>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</si>
  <si>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</si>
  <si>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</si>
  <si>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</si>
  <si>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</si>
  <si>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</si>
  <si>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</si>
  <si>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</si>
  <si>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</si>
  <si>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</si>
  <si>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</si>
  <si>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</si>
  <si>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</si>
  <si>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</si>
  <si>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</si>
  <si>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</si>
  <si>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</si>
  <si>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</si>
  <si>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</si>
  <si>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</si>
  <si>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</si>
  <si>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</si>
  <si>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</si>
  <si>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</si>
  <si>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</si>
  <si>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</si>
  <si>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</si>
  <si>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</si>
  <si>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</si>
  <si>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</si>
  <si>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</si>
  <si>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</si>
  <si>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</si>
  <si>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</si>
  <si>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</si>
  <si>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</si>
  <si>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</si>
  <si>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</si>
  <si>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</si>
  <si>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</si>
  <si>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</si>
  <si>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</si>
  <si>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</si>
  <si>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</si>
  <si>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</si>
  <si>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</si>
  <si>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</si>
  <si>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</si>
  <si>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</si>
  <si>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</si>
  <si>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</si>
  <si>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</si>
  <si>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</si>
  <si>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</si>
  <si>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</si>
  <si>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</si>
  <si>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</si>
  <si>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</si>
  <si>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</si>
  <si>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</si>
  <si>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</si>
  <si>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</si>
  <si>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</si>
  <si>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</si>
  <si>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</si>
  <si>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</si>
  <si>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</si>
  <si>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</si>
  <si>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</si>
  <si>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</si>
  <si>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</si>
  <si>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</si>
  <si>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</si>
  <si>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</si>
  <si>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</si>
  <si>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</si>
  <si>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</si>
  <si>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</si>
  <si>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</si>
  <si>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</si>
  <si>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</si>
  <si>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</si>
  <si>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</si>
  <si>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</si>
  <si>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</si>
  <si>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</si>
  <si>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</si>
  <si>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</si>
  <si>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</si>
  <si>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</si>
  <si>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</si>
  <si>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</si>
  <si>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</si>
  <si>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</si>
  <si>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</si>
  <si>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</si>
  <si>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</si>
  <si>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</si>
  <si>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</si>
  <si>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</si>
  <si>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</si>
  <si>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</si>
  <si>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</si>
  <si>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</si>
  <si>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</si>
  <si>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</si>
  <si>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</si>
  <si>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</si>
  <si>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</si>
  <si>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</si>
  <si>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</si>
  <si>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</si>
  <si>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</si>
  <si>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</si>
  <si>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</si>
  <si>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</si>
  <si>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</si>
  <si>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</si>
  <si>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</si>
  <si>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</si>
  <si>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</si>
  <si>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</si>
  <si>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</si>
  <si>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</si>
  <si>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</si>
  <si>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</si>
  <si>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</si>
  <si>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</si>
  <si>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</si>
  <si>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</si>
  <si>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</si>
  <si>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</si>
  <si>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</si>
  <si>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</si>
  <si>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</si>
  <si>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</si>
  <si>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</si>
  <si>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</si>
  <si>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</si>
  <si>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</si>
  <si>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</si>
  <si>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</si>
  <si>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</si>
  <si>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</si>
  <si>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</si>
  <si>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</si>
  <si>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</si>
  <si>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</si>
  <si>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</si>
  <si>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</si>
  <si>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</si>
  <si>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</si>
  <si>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</si>
  <si>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</si>
  <si>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</si>
  <si>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</si>
  <si>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</si>
  <si>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</si>
  <si>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</si>
  <si>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</si>
  <si>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</si>
  <si>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</si>
  <si>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</si>
  <si>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</si>
  <si>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</si>
  <si>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</si>
  <si>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</si>
  <si>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</si>
  <si>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</si>
  <si>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</si>
  <si>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</si>
  <si>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</si>
  <si>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</si>
  <si>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</si>
  <si>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</si>
  <si>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</si>
  <si>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</si>
  <si>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</si>
  <si>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</si>
  <si>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</si>
  <si>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</si>
  <si>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</si>
  <si>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</si>
  <si>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</si>
  <si>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</si>
  <si>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</si>
  <si>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</si>
  <si>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</si>
  <si>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</si>
  <si>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</si>
  <si>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</si>
  <si>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</si>
  <si>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</si>
  <si>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</si>
  <si>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</si>
  <si>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</si>
  <si>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</si>
  <si>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</si>
  <si>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</si>
  <si>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</si>
  <si>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</si>
  <si>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</si>
  <si>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</si>
  <si>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</si>
  <si>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</si>
  <si>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</si>
  <si>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</si>
  <si>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</si>
  <si>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</si>
  <si>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</si>
  <si>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</si>
  <si>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</si>
  <si>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</si>
  <si>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</si>
  <si>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</si>
  <si>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</si>
  <si>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</si>
  <si>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</si>
  <si>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</si>
  <si>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</si>
  <si>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</si>
  <si>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</si>
  <si>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</si>
  <si>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</si>
  <si>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</si>
  <si>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</si>
  <si>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</si>
  <si>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</si>
  <si>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</si>
  <si>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</si>
  <si>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</si>
  <si>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</si>
  <si>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</si>
  <si>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</si>
  <si>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</si>
  <si>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</si>
  <si>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</si>
  <si>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</si>
  <si>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</si>
  <si>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</si>
  <si>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</si>
  <si>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</si>
  <si>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</si>
  <si>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</si>
  <si>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</si>
  <si>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</si>
  <si>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</si>
  <si>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</si>
  <si>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</si>
  <si>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</si>
  <si>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</si>
  <si>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</si>
  <si>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</si>
  <si>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</si>
  <si>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</si>
  <si>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</si>
  <si>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</si>
  <si>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</si>
  <si>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</si>
  <si>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</si>
  <si>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</si>
  <si>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</si>
  <si>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</si>
  <si>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</si>
  <si>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</si>
  <si>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</si>
  <si>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</si>
  <si>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</si>
  <si>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</si>
  <si>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</si>
  <si>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</si>
  <si>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</si>
  <si>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</si>
  <si>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</si>
  <si>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</si>
  <si>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</si>
  <si>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</si>
  <si>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</si>
  <si>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</si>
  <si>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</si>
  <si>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</si>
  <si>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</si>
  <si>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</si>
  <si>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</si>
  <si>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</si>
  <si>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</si>
  <si>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</si>
  <si>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</si>
  <si>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</si>
  <si>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</si>
  <si>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</si>
  <si>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</si>
  <si>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</si>
  <si>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</si>
  <si>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</si>
  <si>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</si>
  <si>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</si>
  <si>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</si>
  <si>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</si>
  <si>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</si>
  <si>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</si>
  <si>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</si>
  <si>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</si>
  <si>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</si>
  <si>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</si>
  <si>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</si>
  <si>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</si>
  <si>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</si>
  <si>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</si>
  <si>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</si>
  <si>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</si>
  <si>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</si>
  <si>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</si>
  <si>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</si>
  <si>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</si>
  <si>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</si>
  <si>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</si>
  <si>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</si>
  <si>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</si>
  <si>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</si>
  <si>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</si>
  <si>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</si>
  <si>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</si>
  <si>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</si>
  <si>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</si>
  <si>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</si>
  <si>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</si>
  <si>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</si>
  <si>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</si>
  <si>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</si>
  <si>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</si>
  <si>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</si>
  <si>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</si>
  <si>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</si>
  <si>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</si>
  <si>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</si>
  <si>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</si>
  <si>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</si>
  <si>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</si>
  <si>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</si>
  <si>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</si>
  <si>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</si>
  <si>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</si>
  <si>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</si>
  <si>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</si>
  <si>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</si>
  <si>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</si>
  <si>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</si>
  <si>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</si>
  <si>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</si>
  <si>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</si>
  <si>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</si>
  <si>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</si>
  <si>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</si>
  <si>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</si>
  <si>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</si>
  <si>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</si>
  <si>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</si>
  <si>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</si>
  <si>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</si>
  <si>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</si>
  <si>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</si>
  <si>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</si>
  <si>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</si>
  <si>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</si>
  <si>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</si>
  <si>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</si>
  <si>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</si>
  <si>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</si>
  <si>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</si>
  <si>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</si>
  <si>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</si>
  <si>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</si>
  <si>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</si>
  <si>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</si>
  <si>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</si>
  <si>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</si>
  <si>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</si>
  <si>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</si>
  <si>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</si>
  <si>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</si>
  <si>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</si>
  <si>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</si>
  <si>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</si>
  <si>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</si>
  <si>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</si>
  <si>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</si>
  <si>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</si>
  <si>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</si>
  <si>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</si>
  <si>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</si>
  <si>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</si>
  <si>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</si>
  <si>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</si>
  <si>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</si>
  <si>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</si>
  <si>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</si>
  <si>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</si>
  <si>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</si>
  <si>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</si>
  <si>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</si>
  <si>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</si>
  <si>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</si>
  <si>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</si>
  <si>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</si>
  <si>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</si>
  <si>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</si>
  <si>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</si>
  <si>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</si>
  <si>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</si>
  <si>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</si>
  <si>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</si>
  <si>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</si>
  <si>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</si>
  <si>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</si>
  <si>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</si>
  <si>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</si>
  <si>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</si>
  <si>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</si>
  <si>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</si>
  <si>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</si>
  <si>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</si>
  <si>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</si>
  <si>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</si>
  <si>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</si>
  <si>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</si>
  <si>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</si>
  <si>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</si>
  <si>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</si>
  <si>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</si>
  <si>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</si>
  <si>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</si>
  <si>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</si>
  <si>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</si>
  <si>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</si>
  <si>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</si>
  <si>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</si>
  <si>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</si>
  <si>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</si>
  <si>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</si>
  <si>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</si>
  <si>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</si>
  <si>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</si>
  <si>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</si>
  <si>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</si>
  <si>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</si>
  <si>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</si>
  <si>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</si>
  <si>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</si>
  <si>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</si>
  <si>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</si>
  <si>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</si>
  <si>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</si>
  <si>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</si>
  <si>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</si>
  <si>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</si>
  <si>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</si>
  <si>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</si>
  <si>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</si>
  <si>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</si>
  <si>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</si>
  <si>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</si>
  <si>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</si>
  <si>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</si>
  <si>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</si>
  <si>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</si>
  <si>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</si>
  <si>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</si>
  <si>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</si>
  <si>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</si>
  <si>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</si>
  <si>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</si>
  <si>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</si>
  <si>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</si>
  <si>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</si>
  <si>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</si>
  <si>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</si>
  <si>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</si>
  <si>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</si>
  <si>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</si>
  <si>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</si>
  <si>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</si>
  <si>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</si>
  <si>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</si>
  <si>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</si>
  <si>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</si>
  <si>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</si>
  <si>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</si>
  <si>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</si>
  <si>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</si>
  <si>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</si>
  <si>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</si>
  <si>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</si>
  <si>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</si>
  <si>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</si>
  <si>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</si>
  <si>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</si>
  <si>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</si>
  <si>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</si>
  <si>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</si>
  <si>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</si>
  <si>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</si>
  <si>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</si>
  <si>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</si>
  <si>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</si>
  <si>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</si>
  <si>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</si>
  <si>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</si>
  <si>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</si>
  <si>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</si>
  <si>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</si>
  <si>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</si>
  <si>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</si>
  <si>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</si>
  <si>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</si>
  <si>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</si>
  <si>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</si>
  <si>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</si>
  <si>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</si>
  <si>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</si>
  <si>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</si>
  <si>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</si>
  <si>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</si>
  <si>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</si>
  <si>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</si>
  <si>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</si>
  <si>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</si>
  <si>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</si>
  <si>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</si>
  <si>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</si>
  <si>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</si>
  <si>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</si>
  <si>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</si>
  <si>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</si>
  <si>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</si>
  <si>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</si>
  <si>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</si>
  <si>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</si>
  <si>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</si>
  <si>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</si>
  <si>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</si>
  <si>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</si>
  <si>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</si>
  <si>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</si>
  <si>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</si>
  <si>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</si>
  <si>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</si>
  <si>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</si>
  <si>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</si>
  <si>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</si>
  <si>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</si>
  <si>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</si>
  <si>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</si>
  <si>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</si>
  <si>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</si>
  <si>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</si>
  <si>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</si>
  <si>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</si>
  <si>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</si>
  <si>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</si>
  <si>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</si>
  <si>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</si>
  <si>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</si>
  <si>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</si>
  <si>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</si>
  <si>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</si>
  <si>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</si>
  <si>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</si>
  <si>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</si>
  <si>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</si>
  <si>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</si>
  <si>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</si>
  <si>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</si>
  <si>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</si>
  <si>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</si>
  <si>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</si>
  <si>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</si>
  <si>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</si>
  <si>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</si>
  <si>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</si>
  <si>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</si>
  <si>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</si>
  <si>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</si>
  <si>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</si>
  <si>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</si>
  <si>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</si>
  <si>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</si>
  <si>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</si>
  <si>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</si>
  <si>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</si>
  <si>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</si>
  <si>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</si>
  <si>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</si>
  <si>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</si>
  <si>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</si>
  <si>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</si>
  <si>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</si>
  <si>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</si>
  <si>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</si>
  <si>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</si>
  <si>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</si>
  <si>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</si>
  <si>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</si>
  <si>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</si>
  <si>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</si>
  <si>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</si>
  <si>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</si>
  <si>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</si>
  <si>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</si>
  <si>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</si>
  <si>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</si>
  <si>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</si>
  <si>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</si>
  <si>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</si>
  <si>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</si>
  <si>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</si>
  <si>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</si>
  <si>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</si>
  <si>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</si>
  <si>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</si>
  <si>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</si>
  <si>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</si>
  <si>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</si>
  <si>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</si>
  <si>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</si>
  <si>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</si>
  <si>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</si>
  <si>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</si>
  <si>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</si>
  <si>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</si>
  <si>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</si>
  <si>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</si>
  <si>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</si>
  <si>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</si>
  <si>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</si>
  <si>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</si>
  <si>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</si>
  <si>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</si>
  <si>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</si>
  <si>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</si>
  <si>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</si>
  <si>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</si>
  <si>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</si>
  <si>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</si>
  <si>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</si>
  <si>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</si>
  <si>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</si>
  <si>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</si>
  <si>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</si>
  <si>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</si>
  <si>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</si>
  <si>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</si>
  <si>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</si>
  <si>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</si>
  <si>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</si>
  <si>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</si>
  <si>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</si>
  <si>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</si>
  <si>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</si>
  <si>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</si>
  <si>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</si>
  <si>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</si>
  <si>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</si>
  <si>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</si>
  <si>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</si>
  <si>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</si>
  <si>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</si>
  <si>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</si>
  <si>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</si>
  <si>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</si>
  <si>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</si>
  <si>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</si>
  <si>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</si>
  <si>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</si>
  <si>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</si>
  <si>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</si>
  <si>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</si>
  <si>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</si>
  <si>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</si>
  <si>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</si>
  <si>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</si>
  <si>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</si>
  <si>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</si>
  <si>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</si>
  <si>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</si>
  <si>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</si>
  <si>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</si>
  <si>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</si>
  <si>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</si>
  <si>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</si>
  <si>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</si>
  <si>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</si>
  <si>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</si>
  <si>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</si>
  <si>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</si>
  <si>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</si>
  <si>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</si>
  <si>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</si>
  <si>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</si>
  <si>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</si>
  <si>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</si>
  <si>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</si>
  <si>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</si>
  <si>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</si>
  <si>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</si>
  <si>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</si>
  <si>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</si>
  <si>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</si>
  <si>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</si>
  <si>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</si>
  <si>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</si>
  <si>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</si>
  <si>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</si>
  <si>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</si>
  <si>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</si>
  <si>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</si>
  <si>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</si>
  <si>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</si>
  <si>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</si>
  <si>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</si>
  <si>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</si>
  <si>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</si>
  <si>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</si>
  <si>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</si>
  <si>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</si>
  <si>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</si>
  <si>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</si>
  <si>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</si>
  <si>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</si>
  <si>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</si>
  <si>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</si>
  <si>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</si>
  <si>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</si>
  <si>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</si>
  <si>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</si>
  <si>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</si>
  <si>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</si>
  <si>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</si>
  <si>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</si>
  <si>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</si>
  <si>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</si>
  <si>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</si>
  <si>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</si>
  <si>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</si>
  <si>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</si>
  <si>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</si>
  <si>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</si>
  <si>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</si>
  <si>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</si>
  <si>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</si>
  <si>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</si>
  <si>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</si>
  <si>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</si>
  <si>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</si>
  <si>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</si>
  <si>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</si>
  <si>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</si>
  <si>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</si>
  <si>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</si>
  <si>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</si>
  <si>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</si>
  <si>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</si>
  <si>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</si>
  <si>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</si>
  <si>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</si>
  <si>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</si>
  <si>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</si>
  <si>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</si>
  <si>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</si>
  <si>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</si>
  <si>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</si>
  <si>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</si>
  <si>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</si>
  <si>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</si>
  <si>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</si>
  <si>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</si>
  <si>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</si>
  <si>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</si>
  <si>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</si>
  <si>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</si>
  <si>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</si>
  <si>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</si>
  <si>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</si>
  <si>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</si>
  <si>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</si>
  <si>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</si>
  <si>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</si>
  <si>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</si>
  <si>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</si>
  <si>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</si>
  <si>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</si>
  <si>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</si>
  <si>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</si>
  <si>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</si>
  <si>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</si>
  <si>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</si>
  <si>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</si>
  <si>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</si>
  <si>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</si>
  <si>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</si>
  <si>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</si>
  <si>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</si>
  <si>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</si>
  <si>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</si>
  <si>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</si>
  <si>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</si>
  <si>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</si>
  <si>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</si>
  <si>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</si>
  <si>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</si>
  <si>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</si>
  <si>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</si>
  <si>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</si>
  <si>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</si>
  <si>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</si>
  <si>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</si>
  <si>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</si>
  <si>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</si>
  <si>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</si>
  <si>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</si>
  <si>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</si>
  <si>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</si>
  <si>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</si>
  <si>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</si>
  <si>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</si>
  <si>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</si>
  <si>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</si>
  <si>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</si>
  <si>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</si>
  <si>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</si>
  <si>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</si>
  <si>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</si>
  <si>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</si>
  <si>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</si>
  <si>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</si>
  <si>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</si>
  <si>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</si>
  <si>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</si>
  <si>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</si>
  <si>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</si>
  <si>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</si>
  <si>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</si>
  <si>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</si>
  <si>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</si>
  <si>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</si>
  <si>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</si>
  <si>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</si>
  <si>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</si>
  <si>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</si>
  <si>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</si>
  <si>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</si>
  <si>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</si>
  <si>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</si>
  <si>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</si>
  <si>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</si>
  <si>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</si>
  <si>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</si>
  <si>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</si>
  <si>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</si>
  <si>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</si>
  <si>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</si>
  <si>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</si>
  <si>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</si>
  <si>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</si>
  <si>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</si>
  <si>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</si>
  <si>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</si>
  <si>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</si>
  <si>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</si>
  <si>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</si>
  <si>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</si>
  <si>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</si>
  <si>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</si>
  <si>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</si>
  <si>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</si>
  <si>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</si>
  <si>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</si>
  <si>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</si>
  <si>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</si>
  <si>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</si>
  <si>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</si>
  <si>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</si>
  <si>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</si>
  <si>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</si>
  <si>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</si>
  <si>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</si>
  <si>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</si>
  <si>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</si>
  <si>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</si>
  <si>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</si>
  <si>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</si>
  <si>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</si>
  <si>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</si>
  <si>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</si>
  <si>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</si>
  <si>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</si>
  <si>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</si>
  <si>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</si>
  <si>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</si>
  <si>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</si>
  <si>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</si>
  <si>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</si>
  <si>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</si>
  <si>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</si>
  <si>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</si>
  <si>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</si>
  <si>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</si>
  <si>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</si>
  <si>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</si>
  <si>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</si>
  <si>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</si>
  <si>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</si>
  <si>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</si>
  <si>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</si>
  <si>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</si>
  <si>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</si>
  <si>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</si>
  <si>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</si>
  <si>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</si>
  <si>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</si>
  <si>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</si>
  <si>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</si>
  <si>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</si>
  <si>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</si>
  <si>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</si>
  <si>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</si>
  <si>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</si>
  <si>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</si>
  <si>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</si>
  <si>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</si>
  <si>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</si>
  <si>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</si>
  <si>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</si>
  <si>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</si>
  <si>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</si>
  <si>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</si>
  <si>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</si>
  <si>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</si>
  <si>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</si>
  <si>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</si>
  <si>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</si>
  <si>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</si>
  <si>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</si>
  <si>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</si>
  <si>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</si>
  <si>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</si>
  <si>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</si>
  <si>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</si>
  <si>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</si>
  <si>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</si>
  <si>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</si>
  <si>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</si>
  <si>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</si>
  <si>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</si>
  <si>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</si>
  <si>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</si>
  <si>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</si>
  <si>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</si>
  <si>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</si>
  <si>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</si>
  <si>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</si>
  <si>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</si>
  <si>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</si>
  <si>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</si>
  <si>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</si>
  <si>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</si>
  <si>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</si>
  <si>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</si>
  <si>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</si>
  <si>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</si>
  <si>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</si>
  <si>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</si>
  <si>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</si>
  <si>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</si>
  <si>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</si>
  <si>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</si>
  <si>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</si>
  <si>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</si>
  <si>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</si>
  <si>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</si>
  <si>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</si>
  <si>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</si>
  <si>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</si>
  <si>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</si>
  <si>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</si>
  <si>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</si>
  <si>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</si>
  <si>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</si>
  <si>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</si>
  <si>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</si>
  <si>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</si>
  <si>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</si>
  <si>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</si>
  <si>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</si>
  <si>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</si>
  <si>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</si>
  <si>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</si>
  <si>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</si>
  <si>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</si>
  <si>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</si>
  <si>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</si>
  <si>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</si>
  <si>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</si>
  <si>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</si>
  <si>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</si>
  <si>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</si>
  <si>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</si>
  <si>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</si>
  <si>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</si>
  <si>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</si>
  <si>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</si>
  <si>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</si>
  <si>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</si>
  <si>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</si>
  <si>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</si>
  <si>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</si>
  <si>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</si>
  <si>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</si>
  <si>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</si>
  <si>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</si>
  <si>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</si>
  <si>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</si>
  <si>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</si>
  <si>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</si>
  <si>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</si>
  <si>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</si>
  <si>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</si>
  <si>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</si>
  <si>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</si>
  <si>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</si>
  <si>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</si>
  <si>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</si>
  <si>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</si>
  <si>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</si>
  <si>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</si>
  <si>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</si>
  <si>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</si>
  <si>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</si>
  <si>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</si>
  <si>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</si>
  <si>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</si>
  <si>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</si>
  <si>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</si>
  <si>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</si>
  <si>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</si>
  <si>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</si>
  <si>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</si>
  <si>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</si>
  <si>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</si>
  <si>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</si>
  <si>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</si>
  <si>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</si>
  <si>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</si>
  <si>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</si>
  <si>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</si>
  <si>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</si>
  <si>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</si>
  <si>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</si>
  <si>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</si>
  <si>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</si>
  <si>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</si>
  <si>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</si>
  <si>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</si>
  <si>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</si>
  <si>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</si>
  <si>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</si>
  <si>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</si>
  <si>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</si>
  <si>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</si>
  <si>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</si>
  <si>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</si>
  <si>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</si>
  <si>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</si>
  <si>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</si>
  <si>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</si>
  <si>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</si>
  <si>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</si>
  <si>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</si>
  <si>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</si>
  <si>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</si>
  <si>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</si>
  <si>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</si>
  <si>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</si>
  <si>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</si>
  <si>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</si>
  <si>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</si>
  <si>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</si>
  <si>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</si>
  <si>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</si>
  <si>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</si>
  <si>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</si>
  <si>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</si>
  <si>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</si>
  <si>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</si>
  <si>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</si>
  <si>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</si>
  <si>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</si>
  <si>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</si>
  <si>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</si>
  <si>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</si>
  <si>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</si>
  <si>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</si>
  <si>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</si>
  <si>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</si>
  <si>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</si>
  <si>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</si>
  <si>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</si>
  <si>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</si>
  <si>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</si>
  <si>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</si>
  <si>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</si>
  <si>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</si>
  <si>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</si>
  <si>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</si>
  <si>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</si>
  <si>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</si>
  <si>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</si>
  <si>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</si>
  <si>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</si>
  <si>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</si>
  <si>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</si>
  <si>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</si>
  <si>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</si>
  <si>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</si>
  <si>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</si>
  <si>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</si>
  <si>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</si>
  <si>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</si>
  <si>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</si>
  <si>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</si>
  <si>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</si>
  <si>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</si>
  <si>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</si>
  <si>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</si>
  <si>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</si>
  <si>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</si>
  <si>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</si>
  <si>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</si>
  <si>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</si>
  <si>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</si>
  <si>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</si>
  <si>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</si>
  <si>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</si>
  <si>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</si>
  <si>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</si>
  <si>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</si>
  <si>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</si>
  <si>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</si>
  <si>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</si>
  <si>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</si>
  <si>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</si>
  <si>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</si>
  <si>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</si>
  <si>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</si>
  <si>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</si>
  <si>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</si>
  <si>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</si>
  <si>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</si>
  <si>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</si>
  <si>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</si>
  <si>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</si>
  <si>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</si>
  <si>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</si>
  <si>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</si>
  <si>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</si>
  <si>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</si>
  <si>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</si>
  <si>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</si>
  <si>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</si>
  <si>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</si>
  <si>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</si>
  <si>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</si>
  <si>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</si>
  <si>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</si>
  <si>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</si>
  <si>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</si>
  <si>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</si>
  <si>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</si>
  <si>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</si>
  <si>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</si>
  <si>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</si>
  <si>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</si>
  <si>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</si>
  <si>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</si>
  <si>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</si>
  <si>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</si>
  <si>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</si>
  <si>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</si>
  <si>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</si>
  <si>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</si>
  <si>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</si>
  <si>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</si>
  <si>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</si>
  <si>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</si>
  <si>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</si>
  <si>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</si>
  <si>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</si>
  <si>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</si>
  <si>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</si>
  <si>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</si>
  <si>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</si>
  <si>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</si>
  <si>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</si>
  <si>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</si>
  <si>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</si>
  <si>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</si>
  <si>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</si>
  <si>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</si>
  <si>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</si>
  <si>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</si>
  <si>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</si>
  <si>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</si>
  <si>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</si>
  <si>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</si>
  <si>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</si>
  <si>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</si>
  <si>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</si>
  <si>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</si>
  <si>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</si>
  <si>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</si>
  <si>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</si>
  <si>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</si>
  <si>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</si>
  <si>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</si>
  <si>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</si>
  <si>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</si>
  <si>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</si>
  <si>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</si>
  <si>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</si>
  <si>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</si>
  <si>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</si>
  <si>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</si>
  <si>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</si>
  <si>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</si>
  <si>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</si>
  <si>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</si>
  <si>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</si>
  <si>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</si>
  <si>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</si>
  <si>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</si>
  <si>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</si>
  <si>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</si>
  <si>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</si>
  <si>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</si>
  <si>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</si>
  <si>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</si>
  <si>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</si>
  <si>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</si>
  <si>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</si>
  <si>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</si>
  <si>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</si>
  <si>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</si>
  <si>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</si>
  <si>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</si>
  <si>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</si>
  <si>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</si>
  <si>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</si>
  <si>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</si>
  <si>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</si>
  <si>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</si>
  <si>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</si>
  <si>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</si>
  <si>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</si>
  <si>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</si>
  <si>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</si>
  <si>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</si>
  <si>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</si>
  <si>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</si>
  <si>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</si>
  <si>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</si>
  <si>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</si>
  <si>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</si>
  <si>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</si>
  <si>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</si>
  <si>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</si>
  <si>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</si>
  <si>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</si>
  <si>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</si>
  <si>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</si>
  <si>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</si>
  <si>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</si>
  <si>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</si>
  <si>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</si>
  <si>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</si>
  <si>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</si>
  <si>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</si>
  <si>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</si>
  <si>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</si>
  <si>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</si>
  <si>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</si>
  <si>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</si>
  <si>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</si>
  <si>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</si>
  <si>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</si>
  <si>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</si>
  <si>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</si>
  <si>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</si>
  <si>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</si>
  <si>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</si>
  <si>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</si>
  <si>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</si>
  <si>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</si>
  <si>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</si>
  <si>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</si>
  <si>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</si>
  <si>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</si>
  <si>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</si>
  <si>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</si>
  <si>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</si>
  <si>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</si>
  <si>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</si>
  <si>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</si>
  <si>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</si>
  <si>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</si>
  <si>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</si>
  <si>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</si>
  <si>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</si>
  <si>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</si>
  <si>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</si>
  <si>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</si>
  <si>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</si>
  <si>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</si>
  <si>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</si>
  <si>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</si>
  <si>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</si>
  <si>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</si>
  <si>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</si>
  <si>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</si>
  <si>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</si>
  <si>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</si>
  <si>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</si>
  <si>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</si>
  <si>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</si>
  <si>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</si>
  <si>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</si>
  <si>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</si>
  <si>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</si>
  <si>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</si>
  <si>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</si>
  <si>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</si>
  <si>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</si>
  <si>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</si>
  <si>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</si>
  <si>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</si>
  <si>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</si>
  <si>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</si>
  <si>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</si>
  <si>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</si>
  <si>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</si>
  <si>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</si>
  <si>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</si>
  <si>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</si>
  <si>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</si>
  <si>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</si>
  <si>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</si>
  <si>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</si>
  <si>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</si>
  <si>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</si>
  <si>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</si>
  <si>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</si>
  <si>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</si>
  <si>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</si>
  <si>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</si>
  <si>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</si>
  <si>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</si>
  <si>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</si>
  <si>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</si>
  <si>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</si>
  <si>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</si>
  <si>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</si>
  <si>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</si>
  <si>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</si>
  <si>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</si>
  <si>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</si>
  <si>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</si>
  <si>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</si>
  <si>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</si>
  <si>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</si>
  <si>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</si>
  <si>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</si>
  <si>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</si>
  <si>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</si>
  <si>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</si>
  <si>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</si>
  <si>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</si>
  <si>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</si>
  <si>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</si>
  <si>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</si>
  <si>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</si>
  <si>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</si>
  <si>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</si>
  <si>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</si>
  <si>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</si>
  <si>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</si>
  <si>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</si>
  <si>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</si>
  <si>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</si>
  <si>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</si>
  <si>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</si>
  <si>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</si>
  <si>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</si>
  <si>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</si>
  <si>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</si>
  <si>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</si>
  <si>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</si>
  <si>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</si>
  <si>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</si>
  <si>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</si>
  <si>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</si>
  <si>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</si>
  <si>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</si>
  <si>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</si>
  <si>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</si>
  <si>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</si>
  <si>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</si>
  <si>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</si>
  <si>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</si>
  <si>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</si>
  <si>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</si>
  <si>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</si>
  <si>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</si>
  <si>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</si>
  <si>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</si>
  <si>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</si>
  <si>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</si>
  <si>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</si>
  <si>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</si>
  <si>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</si>
  <si>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</si>
  <si>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</si>
  <si>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</si>
  <si>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</si>
  <si>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</si>
  <si>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</si>
  <si>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</si>
  <si>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</si>
  <si>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</si>
  <si>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</si>
  <si>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</si>
  <si>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</si>
  <si>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</si>
  <si>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</si>
  <si>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</si>
  <si>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</si>
  <si>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</si>
  <si>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</si>
  <si>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</si>
  <si>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</si>
  <si>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</si>
  <si>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</si>
  <si>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</si>
  <si>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</si>
  <si>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</si>
  <si>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</si>
  <si>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</si>
  <si>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</si>
  <si>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</si>
  <si>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</si>
  <si>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</si>
  <si>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</si>
  <si>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</si>
  <si>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</si>
  <si>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</si>
  <si>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</si>
  <si>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</si>
  <si>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</si>
  <si>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</si>
  <si>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</si>
  <si>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</si>
  <si>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</si>
  <si>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</si>
  <si>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</si>
  <si>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</si>
  <si>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</si>
  <si>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</si>
  <si>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</si>
  <si>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</si>
  <si>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</si>
  <si>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</si>
  <si>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</si>
  <si>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</si>
  <si>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</si>
  <si>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</si>
  <si>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</si>
  <si>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</si>
  <si>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</si>
  <si>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</si>
  <si>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</si>
  <si>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</si>
  <si>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</si>
  <si>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</si>
  <si>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</si>
  <si>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</si>
  <si>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</si>
  <si>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</si>
  <si>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</si>
  <si>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</si>
  <si>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</si>
  <si>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</si>
  <si>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</si>
  <si>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</si>
  <si>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</si>
  <si>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</si>
  <si>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</si>
  <si>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</si>
  <si>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</si>
  <si>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</si>
  <si>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</si>
  <si>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</si>
  <si>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</si>
  <si>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</si>
  <si>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</si>
  <si>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</si>
  <si>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</si>
  <si>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</si>
  <si>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</si>
  <si>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</si>
  <si>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</si>
  <si>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</si>
  <si>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</si>
  <si>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</si>
  <si>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</si>
  <si>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</si>
  <si>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</si>
  <si>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</si>
  <si>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</si>
  <si>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</si>
  <si>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</si>
  <si>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</si>
  <si>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</si>
  <si>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</si>
  <si>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</si>
  <si>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</si>
  <si>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</si>
  <si>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</si>
  <si>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</si>
  <si>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</si>
  <si>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</si>
  <si>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</si>
  <si>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</si>
  <si>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</si>
  <si>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</si>
  <si>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</si>
  <si>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</si>
  <si>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</si>
  <si>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</si>
  <si>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</si>
  <si>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</si>
  <si>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</si>
  <si>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</si>
  <si>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</si>
  <si>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</si>
  <si>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</si>
  <si>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</si>
  <si>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</si>
  <si>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</si>
  <si>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</si>
  <si>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</si>
  <si>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</si>
  <si>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</si>
  <si>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</si>
  <si>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</si>
  <si>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</si>
  <si>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</si>
  <si>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</si>
  <si>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</si>
  <si>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</si>
  <si>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</si>
  <si>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</si>
  <si>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</si>
  <si>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</si>
  <si>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</si>
  <si>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</si>
  <si>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</si>
  <si>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</si>
  <si>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</si>
  <si>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</si>
  <si>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</si>
  <si>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</si>
  <si>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</si>
  <si>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</si>
  <si>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</si>
  <si>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</si>
  <si>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</si>
  <si>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</si>
  <si>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</si>
  <si>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</si>
  <si>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</si>
  <si>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</si>
  <si>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</si>
  <si>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</si>
  <si>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</si>
  <si>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</si>
  <si>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</si>
  <si>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</si>
  <si>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</si>
  <si>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</si>
  <si>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</si>
  <si>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</si>
  <si>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</si>
  <si>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</si>
  <si>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</si>
  <si>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</si>
  <si>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</si>
  <si>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</si>
  <si>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</si>
  <si>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</si>
  <si>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</si>
  <si>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</si>
  <si>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</si>
  <si>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</si>
  <si>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</si>
  <si>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</si>
  <si>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</si>
  <si>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</si>
  <si>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</si>
  <si>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</si>
  <si>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</si>
  <si>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</si>
  <si>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</si>
  <si>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</si>
  <si>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</si>
  <si>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</si>
  <si>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</si>
  <si>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</si>
  <si>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</si>
  <si>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</si>
  <si>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</si>
  <si>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</si>
  <si>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</si>
  <si>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</si>
  <si>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</si>
  <si>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</si>
  <si>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</si>
  <si>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</si>
  <si>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</si>
  <si>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</si>
  <si>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</si>
  <si>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</si>
  <si>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</si>
  <si>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</si>
  <si>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</si>
  <si>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</si>
  <si>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</si>
  <si>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</si>
  <si>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</si>
  <si>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</si>
  <si>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</si>
  <si>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</si>
  <si>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</si>
  <si>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</si>
  <si>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</si>
  <si>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</si>
  <si>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</si>
  <si>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</si>
  <si>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</si>
  <si>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</si>
  <si>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</si>
  <si>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</si>
  <si>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</si>
  <si>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</si>
  <si>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</si>
  <si>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</si>
  <si>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</si>
  <si>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</si>
  <si>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</si>
  <si>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</si>
  <si>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</si>
  <si>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</si>
  <si>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</si>
  <si>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</si>
  <si>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</si>
  <si>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</si>
  <si>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</si>
  <si>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</si>
  <si>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</si>
  <si>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</si>
  <si>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</si>
  <si>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</si>
  <si>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</si>
  <si>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</si>
  <si>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</si>
  <si>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</si>
  <si>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</si>
  <si>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</si>
  <si>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</si>
  <si>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</si>
  <si>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</si>
  <si>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</si>
  <si>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</si>
  <si>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</si>
  <si>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</si>
  <si>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</si>
  <si>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</si>
  <si>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</si>
  <si>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</si>
  <si>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</si>
  <si>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</si>
  <si>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</si>
  <si>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</si>
  <si>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</si>
  <si>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</si>
  <si>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</si>
  <si>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</si>
  <si>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</si>
  <si>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</si>
  <si>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</si>
  <si>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</si>
  <si>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</si>
  <si>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</si>
  <si>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</si>
  <si>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</si>
  <si>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</si>
  <si>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</si>
  <si>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</si>
  <si>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</si>
  <si>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</si>
  <si>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</si>
  <si>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</si>
  <si>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</si>
  <si>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</si>
  <si>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</si>
  <si>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</si>
  <si>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</si>
  <si>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</si>
  <si>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</si>
  <si>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</si>
  <si>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</si>
  <si>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</si>
  <si>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</si>
  <si>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</si>
  <si>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</si>
  <si>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</si>
  <si>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</si>
  <si>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</si>
  <si>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</si>
  <si>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</si>
  <si>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</si>
  <si>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</si>
  <si>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</si>
  <si>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</si>
  <si>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</si>
  <si>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</si>
  <si>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</si>
  <si>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</si>
  <si>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</si>
  <si>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</si>
  <si>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</si>
  <si>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</si>
  <si>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</si>
  <si>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</si>
  <si>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</si>
  <si>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</si>
  <si>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</si>
  <si>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</si>
  <si>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</si>
  <si>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</si>
  <si>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</si>
  <si>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</si>
  <si>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</si>
  <si>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</si>
  <si>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</si>
  <si>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</si>
  <si>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</si>
  <si>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</si>
  <si>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</si>
  <si>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</si>
  <si>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</si>
  <si>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</si>
  <si>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</si>
  <si>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</si>
  <si>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</si>
  <si>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</si>
  <si>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</si>
  <si>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</si>
  <si>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</si>
  <si>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</si>
  <si>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</si>
  <si>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</si>
  <si>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</si>
  <si>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</si>
  <si>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</si>
  <si>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</si>
  <si>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</si>
  <si>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</si>
  <si>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</si>
  <si>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</si>
  <si>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</si>
  <si>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</si>
  <si>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</si>
  <si>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</si>
  <si>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</si>
  <si>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</si>
  <si>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</si>
  <si>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</si>
  <si>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</si>
  <si>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</si>
  <si>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</si>
  <si>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</si>
  <si>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</si>
  <si>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</si>
  <si>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</si>
  <si>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</si>
  <si>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</si>
  <si>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</si>
  <si>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</si>
  <si>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</si>
  <si>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</si>
  <si>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</si>
  <si>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</si>
  <si>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</si>
  <si>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</si>
  <si>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</si>
  <si>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</si>
  <si>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</si>
  <si>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</si>
  <si>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</si>
  <si>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</si>
  <si>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</si>
  <si>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</si>
  <si>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</si>
  <si>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</si>
  <si>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</si>
  <si>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</si>
  <si>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</si>
  <si>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</si>
  <si>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</si>
  <si>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</si>
  <si>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</si>
  <si>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</si>
  <si>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</si>
  <si>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</si>
  <si>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</si>
  <si>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</si>
  <si>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</si>
  <si>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</si>
  <si>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</si>
  <si>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</si>
  <si>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</si>
  <si>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</si>
  <si>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</si>
  <si>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</si>
  <si>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</si>
  <si>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</si>
  <si>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</si>
  <si>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</si>
  <si>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</si>
  <si>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</si>
  <si>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</si>
  <si>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</si>
  <si>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</si>
  <si>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</si>
  <si>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</si>
  <si>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</si>
  <si>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</si>
  <si>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</si>
  <si>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</si>
  <si>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</si>
  <si>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</si>
  <si>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</si>
  <si>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</si>
  <si>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</si>
  <si>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</si>
  <si>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</si>
  <si>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</si>
  <si>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</si>
  <si>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</si>
  <si>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</si>
  <si>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</si>
  <si>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</si>
  <si>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</si>
  <si>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</si>
  <si>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</si>
  <si>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</si>
  <si>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</si>
  <si>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</si>
  <si>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</si>
  <si>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</si>
  <si>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</si>
  <si>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</si>
  <si>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</si>
  <si>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</si>
  <si>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</si>
  <si>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</si>
  <si>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</si>
  <si>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</si>
  <si>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</si>
  <si>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</si>
  <si>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</si>
  <si>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</si>
  <si>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</si>
  <si>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</si>
  <si>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</si>
  <si>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</si>
  <si>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</si>
  <si>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</si>
  <si>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</si>
  <si>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</si>
  <si>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</si>
  <si>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</si>
  <si>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</si>
  <si>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</si>
  <si>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</si>
  <si>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</si>
  <si>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</si>
  <si>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</si>
  <si>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</si>
  <si>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</si>
  <si>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</si>
  <si>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</si>
  <si>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</si>
  <si>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</si>
  <si>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</si>
  <si>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</si>
  <si>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</si>
  <si>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</si>
  <si>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</si>
  <si>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</si>
  <si>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</si>
  <si>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方恒东景</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</si>
  <si>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</si>
  <si>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</si>
  <si>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</si>
  <si>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</si>
  <si>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</si>
  <si>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</si>
  <si>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</si>
  <si>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</si>
  <si>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</si>
  <si>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</si>
  <si>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</si>
  <si>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</si>
  <si>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</si>
  <si>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</si>
  <si>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</si>
  <si>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</si>
  <si>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</si>
  <si>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</si>
  <si>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</si>
  <si>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</si>
  <si>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</si>
  <si>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</si>
  <si>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</si>
  <si>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</si>
  <si>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</si>
  <si>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</si>
  <si>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</si>
  <si>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</si>
  <si>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</si>
  <si>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</si>
  <si>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</si>
  <si>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</si>
  <si>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</si>
  <si>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</si>
  <si>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</si>
  <si>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</si>
  <si>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</si>
  <si>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</si>
  <si>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</si>
  <si>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</si>
  <si>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</si>
  <si>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</si>
  <si>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</si>
  <si>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</si>
  <si>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</si>
  <si>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</si>
  <si>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</si>
  <si>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</si>
  <si>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</si>
  <si>
    <t>华联超市</t>
    <phoneticPr fontId="144" type="noConversion"/>
  </si>
  <si>
    <t>通州土桥地铁站东900米</t>
    <phoneticPr fontId="4" type="noConversion"/>
  </si>
  <si>
    <t>土桥中街和迎熏东路交叉口</t>
    <phoneticPr fontId="4" type="noConversion"/>
  </si>
  <si>
    <t>通州土桥地铁站对面</t>
    <phoneticPr fontId="4" type="noConversion"/>
  </si>
  <si>
    <t>序号</t>
  </si>
  <si>
    <t>所在楼层</t>
  </si>
  <si>
    <t>建筑面积（㎡）</t>
  </si>
  <si>
    <t>建筑面积修正系数</t>
  </si>
  <si>
    <t>楼层修正系数</t>
  </si>
  <si>
    <t>修正单价（元/㎡）</t>
  </si>
  <si>
    <t>临街状况修正系数</t>
    <phoneticPr fontId="144" type="noConversion"/>
  </si>
  <si>
    <t>可视性</t>
    <phoneticPr fontId="144" type="noConversion"/>
  </si>
  <si>
    <t>可视性修正系数</t>
    <phoneticPr fontId="144" type="noConversion"/>
  </si>
  <si>
    <t>内部装修</t>
    <phoneticPr fontId="144" type="noConversion"/>
  </si>
  <si>
    <t>内部装修修正系数</t>
    <phoneticPr fontId="144" type="noConversion"/>
  </si>
  <si>
    <t>——</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</si>
</sst>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
      <sz val="9"/>
      <color rgb="FF00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76" fontId="1" fillId="0" borderId="0" applyFont="0" applyFill="0" applyBorder="0" applyAlignment="0" applyProtection="0">
      <alignment vertical="center"/>
    </xf>
  </cellStyleXfs>
  <cellXfs count="34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5"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1"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80"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5"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7" fontId="267" fillId="0" borderId="1" xfId="14" applyNumberFormat="1" applyFont="1" applyBorder="1" applyAlignment="1">
      <alignment horizontal="center" vertical="center"/>
    </xf>
    <xf numFmtId="177" fontId="267" fillId="0" borderId="1" xfId="13" applyNumberFormat="1" applyFont="1" applyBorder="1" applyAlignment="1">
      <alignment horizontal="center" vertical="center"/>
    </xf>
    <xf numFmtId="177"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7" fontId="267" fillId="0" borderId="1" xfId="13" applyNumberFormat="1" applyFont="1" applyFill="1" applyBorder="1" applyAlignment="1">
      <alignment horizontal="center" vertical="center"/>
    </xf>
    <xf numFmtId="180" fontId="267" fillId="0" borderId="1" xfId="13" applyNumberFormat="1" applyFont="1" applyFill="1" applyBorder="1" applyAlignment="1">
      <alignment horizontal="center" vertical="center"/>
    </xf>
    <xf numFmtId="177"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7" fontId="268" fillId="0" borderId="1" xfId="13" applyNumberFormat="1" applyFont="1" applyBorder="1">
      <alignment vertical="center"/>
    </xf>
    <xf numFmtId="0" fontId="268" fillId="0" borderId="1" xfId="13" applyFont="1" applyBorder="1">
      <alignment vertical="center"/>
    </xf>
    <xf numFmtId="177"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2"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2"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183" fontId="23" fillId="0" borderId="5" xfId="10" applyNumberFormat="1" applyFont="1" applyFill="1" applyBorder="1" applyAlignment="1" applyProtection="1">
      <alignment horizontal="center" vertical="center" wrapText="1"/>
    </xf>
    <xf numFmtId="183" fontId="23" fillId="0" borderId="54" xfId="10" applyNumberFormat="1" applyFont="1" applyFill="1" applyBorder="1" applyAlignment="1" applyProtection="1">
      <alignment horizontal="center" vertical="center" wrapText="1"/>
    </xf>
    <xf numFmtId="183" fontId="23" fillId="0" borderId="3" xfId="10" applyNumberFormat="1" applyFont="1" applyFill="1" applyBorder="1" applyAlignment="1" applyProtection="1">
      <alignment horizontal="center" vertical="center" wrapText="1"/>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70" fillId="0" borderId="1" xfId="0" applyFont="1" applyBorder="1">
      <alignment vertical="center"/>
    </xf>
    <xf numFmtId="0" fontId="270" fillId="0" borderId="1" xfId="0" applyFont="1" applyBorder="1" applyAlignment="1">
      <alignment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8" customWidth="1"/>
    <col min="2" max="2" width="81" style="1595" customWidth="1"/>
    <col min="3" max="16384" width="9" style="1593"/>
  </cols>
  <sheetData>
    <row r="1" spans="1:2" s="1581" customFormat="1" ht="16.5" thickBot="1">
      <c r="A1" s="1580" t="s">
        <v>1217</v>
      </c>
      <c r="B1" s="1579" t="s">
        <v>1296</v>
      </c>
    </row>
    <row r="2" spans="1:2" s="1584" customFormat="1" ht="15" thickTop="1">
      <c r="A2" s="1582" t="s">
        <v>1218</v>
      </c>
      <c r="B2" s="1583" t="str">
        <f>'预评函-封皮'!B37:I37</f>
        <v>北京市通州区砖厂南里40、41、207号楼商业用房房地产抵押价值预评估</v>
      </c>
    </row>
    <row r="3" spans="1:2" s="1587" customFormat="1">
      <c r="A3" s="1585" t="s">
        <v>1219</v>
      </c>
      <c r="B3" s="1586" t="str">
        <f>'预评函-封皮'!B40</f>
        <v>北京华和房地产开发有限公司</v>
      </c>
    </row>
    <row r="4" spans="1:2" s="1587" customFormat="1">
      <c r="A4" s="1585" t="s">
        <v>1220</v>
      </c>
      <c r="B4" s="1586" t="str">
        <f ca="1">'预评函-封皮'!B46</f>
        <v>崔锴（注册号：1120100036)、欧红伟（注册号：1120000080)</v>
      </c>
    </row>
    <row r="5" spans="1:2" s="1581" customFormat="1" ht="15" thickBot="1">
      <c r="A5" s="1588" t="s">
        <v>1221</v>
      </c>
      <c r="B5" s="1589" t="str">
        <f>'预评函-封皮'!B49</f>
        <v>康正预评字2018-1-0168-P01DYGJ1号</v>
      </c>
    </row>
    <row r="6" spans="1:2" s="1584" customFormat="1" ht="15" thickTop="1">
      <c r="A6" s="1582" t="s">
        <v>1222</v>
      </c>
      <c r="B6" s="1583" t="str">
        <f>'预评函-1'!A4</f>
        <v>受贵公司委托，我公司对北京市通州区砖厂南里40、41、207号楼商业用房房地产抵押价值进行了预评估。</v>
      </c>
    </row>
    <row r="7" spans="1:2" s="1587" customFormat="1">
      <c r="A7" s="1585" t="s">
        <v>1262</v>
      </c>
      <c r="B7" s="1586" t="str">
        <f>'预评函-1'!A7</f>
        <v>估价对象为北京市通州区砖厂南里40、41、207号楼商业用房房地产，为所有。根据《国有土地使用证》[***]，估价对象（分摊）出让国有建设用地使用权面积为0平方米，建筑面积为17329.44平方米。</v>
      </c>
    </row>
    <row r="8" spans="1:2" s="1587" customFormat="1">
      <c r="A8" s="1585" t="s">
        <v>1263</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1264</v>
      </c>
      <c r="B9" s="1586" t="str">
        <f>'预评函-1'!A10</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0" spans="1:2" s="1587" customFormat="1">
      <c r="A10" s="1585" t="s">
        <v>1265</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1223</v>
      </c>
      <c r="B11" s="1586" t="str">
        <f>'预评函-1'!A13</f>
        <v>为估价委托人在向工商银行办理贷款手续过程中，确定房地产抵押贷款额度提供参考依据而评估房地产抵押价值。</v>
      </c>
    </row>
    <row r="12" spans="1:2" s="1587" customFormat="1">
      <c r="A12" s="1585" t="s">
        <v>1224</v>
      </c>
      <c r="B12" s="1586" t="str">
        <f>'预评函-1'!A15</f>
        <v>2018年3月26日（评估专业人员实地查勘之日）</v>
      </c>
    </row>
    <row r="13" spans="1:2" s="1587" customFormat="1">
      <c r="A13" s="1585" t="s">
        <v>1225</v>
      </c>
      <c r="B13" s="1586"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7" customFormat="1">
      <c r="A14" s="1585" t="s">
        <v>1226</v>
      </c>
      <c r="B14" s="1586"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1227</v>
      </c>
      <c r="B15" s="1586" t="str">
        <f>'预评函-1'!A20</f>
        <v>本次估价的“房地产抵押价值”是指估价对象在价值时点的“房地产价值”扣减估价师于价值时点所知悉的法定优先受偿款后的余额。</v>
      </c>
    </row>
    <row r="16" spans="1:2" s="1587" customFormat="1">
      <c r="A16" s="1585" t="s">
        <v>1228</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1229</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1230</v>
      </c>
      <c r="B18" s="1589" t="str">
        <f>'预评函-1'!A24</f>
        <v>本次评估采用的主估价方法为基准地价系数修正法和收益法。</v>
      </c>
    </row>
    <row r="19" spans="1:2" s="1584" customFormat="1" ht="15" thickTop="1">
      <c r="A19" s="1582" t="s">
        <v>1231</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1232</v>
      </c>
      <c r="B20" s="1586">
        <f ca="1">'预评函-2'!D5</f>
        <v>32995</v>
      </c>
    </row>
    <row r="21" spans="1:2" s="1587" customFormat="1">
      <c r="A21" s="1585" t="s">
        <v>1233</v>
      </c>
      <c r="B21" s="1586">
        <f ca="1">'预评函-2'!D7</f>
        <v>19040</v>
      </c>
    </row>
    <row r="22" spans="1:2" s="1587" customFormat="1">
      <c r="A22" s="1585" t="s">
        <v>1234</v>
      </c>
      <c r="B22" s="1586" t="str">
        <f ca="1">'预评函-2'!D6</f>
        <v>叁亿贰仟玖佰玖拾伍万元整</v>
      </c>
    </row>
    <row r="23" spans="1:2" s="1587" customFormat="1">
      <c r="A23" s="1585" t="s">
        <v>1285</v>
      </c>
      <c r="B23" s="1586" t="str">
        <f>'预评函-2'!B8</f>
        <v>2.估价师知悉的法定优先受偿款</v>
      </c>
    </row>
    <row r="24" spans="1:2" s="1587" customFormat="1">
      <c r="A24" s="1585" t="s">
        <v>1291</v>
      </c>
      <c r="B24" s="1586">
        <f>'预评函-2'!D8</f>
        <v>0</v>
      </c>
    </row>
    <row r="25" spans="1:2" s="1587" customFormat="1">
      <c r="A25" s="1585" t="s">
        <v>1235</v>
      </c>
      <c r="B25" s="1586" t="str">
        <f>'预评函-2'!D9</f>
        <v>零元整</v>
      </c>
    </row>
    <row r="26" spans="1:2" s="1587" customFormat="1">
      <c r="A26" s="1585" t="s">
        <v>1236</v>
      </c>
      <c r="B26" s="1586">
        <f>'预评函-2'!D10</f>
        <v>0</v>
      </c>
    </row>
    <row r="27" spans="1:2" s="1587" customFormat="1">
      <c r="A27" s="1585" t="s">
        <v>1237</v>
      </c>
      <c r="B27" s="1586">
        <f>'预评函-2'!D11</f>
        <v>0</v>
      </c>
    </row>
    <row r="28" spans="1:2" s="1587" customFormat="1">
      <c r="A28" s="1585" t="s">
        <v>1238</v>
      </c>
      <c r="B28" s="1586">
        <f>'预评函-2'!D12</f>
        <v>0</v>
      </c>
    </row>
    <row r="29" spans="1:2" s="1587" customFormat="1">
      <c r="A29" s="1585" t="s">
        <v>1289</v>
      </c>
      <c r="B29" s="1586" t="str">
        <f>'预评函-2'!B13</f>
        <v>3.房地产抵押价值</v>
      </c>
    </row>
    <row r="30" spans="1:2" s="1587" customFormat="1">
      <c r="A30" s="1585" t="s">
        <v>1290</v>
      </c>
      <c r="B30" s="1586">
        <f ca="1">'预评函-2'!D13</f>
        <v>32995</v>
      </c>
    </row>
    <row r="31" spans="1:2" s="1587" customFormat="1">
      <c r="A31" s="1585" t="s">
        <v>1272</v>
      </c>
      <c r="B31" s="1586">
        <f ca="1">'预评函-2'!D15</f>
        <v>19040</v>
      </c>
    </row>
    <row r="32" spans="1:2" s="1587" customFormat="1">
      <c r="A32" s="1585" t="s">
        <v>1239</v>
      </c>
      <c r="B32" s="1586" t="str">
        <f ca="1">'预评函-2'!D14</f>
        <v>叁亿贰仟玖佰玖拾伍万元整</v>
      </c>
    </row>
    <row r="33" spans="1:2" s="1587" customFormat="1">
      <c r="A33" s="1585" t="s">
        <v>1274</v>
      </c>
      <c r="B33" s="1586" t="str">
        <f>'预评函-2'!B16</f>
        <v>——</v>
      </c>
    </row>
    <row r="34" spans="1:2" s="1587" customFormat="1">
      <c r="A34" s="1585" t="s">
        <v>1292</v>
      </c>
      <c r="B34" s="1586" t="str">
        <f>'预评函-2'!D16</f>
        <v>——</v>
      </c>
    </row>
    <row r="35" spans="1:2" s="1587" customFormat="1">
      <c r="A35" s="1585" t="s">
        <v>1273</v>
      </c>
      <c r="B35" s="1586" t="str">
        <f>'预评函-2'!D18</f>
        <v>——</v>
      </c>
    </row>
    <row r="36" spans="1:2" s="1587" customFormat="1">
      <c r="A36" s="1585" t="s">
        <v>1240</v>
      </c>
      <c r="B36" s="1586" t="e">
        <f>'预评函-2'!D17</f>
        <v>#VALUE!</v>
      </c>
    </row>
    <row r="37" spans="1:2" s="1587" customFormat="1">
      <c r="A37" s="1585" t="s">
        <v>1275</v>
      </c>
      <c r="B37" s="1586" t="str">
        <f>'预评函-2'!B19</f>
        <v>——</v>
      </c>
    </row>
    <row r="38" spans="1:2" s="1587" customFormat="1">
      <c r="A38" s="1585" t="s">
        <v>1293</v>
      </c>
      <c r="B38" s="1586" t="str">
        <f>'预评函-2'!D19</f>
        <v>——</v>
      </c>
    </row>
    <row r="39" spans="1:2" s="1587" customFormat="1">
      <c r="A39" s="1585" t="s">
        <v>1241</v>
      </c>
      <c r="B39" s="1586" t="str">
        <f>'预评函-2'!D21</f>
        <v>——</v>
      </c>
    </row>
    <row r="40" spans="1:2" s="1587" customFormat="1">
      <c r="A40" s="1585" t="s">
        <v>1242</v>
      </c>
      <c r="B40" s="1586" t="e">
        <f>'预评函-2'!D20</f>
        <v>#VALUE!</v>
      </c>
    </row>
    <row r="41" spans="1:2" s="1587" customFormat="1">
      <c r="A41" s="1585" t="s">
        <v>1288</v>
      </c>
      <c r="B41" s="1586" t="str">
        <f>'预评函-3'!A4</f>
        <v>北京市通州区砖厂南里40、41、207号楼商业用房房地产</v>
      </c>
    </row>
    <row r="42" spans="1:2" s="1587" customFormat="1">
      <c r="A42" s="1585" t="s">
        <v>1286</v>
      </c>
      <c r="B42" s="1586" t="str">
        <f>'预评函-3'!B2</f>
        <v>建筑面积</v>
      </c>
    </row>
    <row r="43" spans="1:2" s="1587" customFormat="1">
      <c r="A43" s="1585" t="s">
        <v>1287</v>
      </c>
      <c r="B43" s="1586">
        <f>'预评函-3'!B4</f>
        <v>17329.439999999999</v>
      </c>
    </row>
    <row r="44" spans="1:2" s="1587" customFormat="1">
      <c r="A44" s="1585" t="s">
        <v>1271</v>
      </c>
      <c r="B44" s="1586" t="str">
        <f>'预评函-3'!C2</f>
        <v>(分摊)土地面积</v>
      </c>
    </row>
    <row r="45" spans="1:2" s="1587" customFormat="1">
      <c r="A45" s="1585" t="s">
        <v>1243</v>
      </c>
      <c r="B45" s="1586">
        <f>'预评函-3'!C4</f>
        <v>0</v>
      </c>
    </row>
    <row r="46" spans="1:2" s="1587" customFormat="1">
      <c r="A46" s="1585" t="s">
        <v>1269</v>
      </c>
      <c r="B46" s="1586" t="str">
        <f>'预评函-3'!D2</f>
        <v>出让国有建设用地使用权价值</v>
      </c>
    </row>
    <row r="47" spans="1:2" s="1587" customFormat="1">
      <c r="A47" s="1585" t="s">
        <v>1244</v>
      </c>
      <c r="B47" s="1586" t="e">
        <f ca="1">'预评函-3'!D4</f>
        <v>#N/A</v>
      </c>
    </row>
    <row r="48" spans="1:2" s="1587" customFormat="1">
      <c r="A48" s="1585" t="s">
        <v>1245</v>
      </c>
      <c r="B48" s="1586" t="e">
        <f ca="1">'预评函-3'!E4</f>
        <v>#N/A</v>
      </c>
    </row>
    <row r="49" spans="1:2" s="1587" customFormat="1">
      <c r="A49" s="1585" t="s">
        <v>1246</v>
      </c>
      <c r="B49" s="1586" t="e">
        <f ca="1">'预评函-3'!D5</f>
        <v>#N/A</v>
      </c>
    </row>
    <row r="50" spans="1:2" s="1587" customFormat="1">
      <c r="A50" s="1585" t="s">
        <v>1270</v>
      </c>
      <c r="B50" s="1586" t="str">
        <f>'预评函-3'!F2</f>
        <v>在建建筑物价值</v>
      </c>
    </row>
    <row r="51" spans="1:2" s="1587" customFormat="1">
      <c r="A51" s="1585" t="s">
        <v>1247</v>
      </c>
      <c r="B51" s="1586" t="e">
        <f ca="1">'预评函-3'!F4</f>
        <v>#N/A</v>
      </c>
    </row>
    <row r="52" spans="1:2" s="1587" customFormat="1">
      <c r="A52" s="1585" t="s">
        <v>1248</v>
      </c>
      <c r="B52" s="1586" t="e">
        <f ca="1">'预评函-3'!G4</f>
        <v>#N/A</v>
      </c>
    </row>
    <row r="53" spans="1:2" s="1587" customFormat="1">
      <c r="A53" s="1585" t="s">
        <v>1276</v>
      </c>
      <c r="B53" s="1586" t="e">
        <f ca="1">'预评函-3'!F5</f>
        <v>#N/A</v>
      </c>
    </row>
    <row r="54" spans="1:2" s="1587" customFormat="1">
      <c r="A54" s="1585" t="s">
        <v>1294</v>
      </c>
      <c r="B54" s="1586" t="str">
        <f>'预评函-3'!A8</f>
        <v>房地产抵押价值</v>
      </c>
    </row>
    <row r="55" spans="1:2" s="1587" customFormat="1">
      <c r="A55" s="1585" t="s">
        <v>1277</v>
      </c>
      <c r="B55" s="1586" t="str">
        <f>'预评函-3'!A10</f>
        <v/>
      </c>
    </row>
    <row r="56" spans="1:2" s="1587" customFormat="1">
      <c r="A56" s="1585" t="s">
        <v>1278</v>
      </c>
      <c r="B56" s="1586" t="str">
        <f>'预评函-3'!A12</f>
        <v/>
      </c>
    </row>
    <row r="57" spans="1:2" s="1581" customFormat="1" ht="15" thickBot="1">
      <c r="A57" s="1588" t="s">
        <v>1295</v>
      </c>
      <c r="B57" s="1589" t="str">
        <f>'预评函-3'!A6</f>
        <v>估价师知悉的法定优先受偿款</v>
      </c>
    </row>
    <row r="58" spans="1:2" s="1584" customFormat="1" ht="15" thickTop="1">
      <c r="A58" s="1582" t="s">
        <v>1249</v>
      </c>
      <c r="B58" s="1583" t="str">
        <f>'预评函-4'!A12</f>
        <v>2.本《评估意见函》仅供金融机构进行内部审核使用，不做其他目的之用。</v>
      </c>
    </row>
    <row r="59" spans="1:2" s="1587" customFormat="1">
      <c r="A59" s="1585" t="s">
        <v>1250</v>
      </c>
      <c r="B59" s="1586" t="str">
        <f>'预评函-4'!A13</f>
        <v>3.抵押双方在办理抵押登记手续时，应使用本公司出具的正式《房地产评估报告》，特提醒报告使用者注意。</v>
      </c>
    </row>
    <row r="60" spans="1:2" s="1587" customFormat="1">
      <c r="A60" s="1585" t="s">
        <v>1251</v>
      </c>
      <c r="B60" s="1586" t="str">
        <f>'预评函-4'!A14</f>
        <v>4.本次评估估价师所知悉的法定优先受偿款情况说明如下：</v>
      </c>
    </row>
    <row r="61" spans="1:2" s="1587" customFormat="1">
      <c r="A61" s="1585" t="s">
        <v>1252</v>
      </c>
      <c r="B61" s="1586"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1253</v>
      </c>
      <c r="B62" s="1586" t="str">
        <f>'预评函-4'!A16</f>
        <v>（2）根据《工程款支付情况说明》，截至价值时点，估价对象不存在应付未付工程款项。（只要没有施工方盖章的，均“设定”进行表述）</v>
      </c>
    </row>
    <row r="63" spans="1:2" s="1587" customFormat="1">
      <c r="A63" s="1585" t="s">
        <v>1254</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1266</v>
      </c>
      <c r="B64" s="1586" t="str">
        <f>'预评函-4'!A18</f>
        <v>故，本次评估不存在估价师知悉的法定优先受偿款</v>
      </c>
    </row>
    <row r="65" spans="1:2" s="1587" customFormat="1">
      <c r="A65" s="1585" t="s">
        <v>1255</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1256</v>
      </c>
      <c r="B66" s="1586" t="str">
        <f>'预评函-4'!A20</f>
        <v>——</v>
      </c>
    </row>
    <row r="67" spans="1:2" s="1587" customFormat="1">
      <c r="A67" s="1585" t="s">
        <v>1267</v>
      </c>
      <c r="B67" s="1586" t="str">
        <f>'预评函-4'!A21</f>
        <v>——</v>
      </c>
    </row>
    <row r="68" spans="1:2" s="1587" customFormat="1">
      <c r="A68" s="1585" t="s">
        <v>1268</v>
      </c>
      <c r="B68" s="1586" t="str">
        <f>'预评函-4'!A22</f>
        <v>8.其他需特殊说明事项：无（注意调整序号）</v>
      </c>
    </row>
    <row r="69" spans="1:2" s="1581" customFormat="1" ht="15" thickBot="1">
      <c r="A69" s="1588" t="s">
        <v>1257</v>
      </c>
      <c r="B69" s="1590">
        <f>'预评函-4'!C31</f>
        <v>42551</v>
      </c>
    </row>
    <row r="70" spans="1:2" ht="15" thickTop="1">
      <c r="A70" s="1591" t="s">
        <v>1258</v>
      </c>
      <c r="B70" s="1592" t="str">
        <f>'预评函-4'!A4</f>
        <v>崔锴</v>
      </c>
    </row>
    <row r="71" spans="1:2">
      <c r="A71" s="1585" t="s">
        <v>1259</v>
      </c>
      <c r="B71" s="1586">
        <f ca="1">'预评函-4'!B4</f>
        <v>1120100036</v>
      </c>
    </row>
    <row r="72" spans="1:2">
      <c r="A72" s="1585" t="s">
        <v>1260</v>
      </c>
      <c r="B72" s="1594" t="str">
        <f>'预评函-4'!A5</f>
        <v>欧红伟</v>
      </c>
    </row>
    <row r="73" spans="1:2" s="1581" customFormat="1" ht="15" thickBot="1">
      <c r="A73" s="1588" t="s">
        <v>1261</v>
      </c>
      <c r="B73" s="1589">
        <f ca="1">'预评函-4'!B5</f>
        <v>1120000080</v>
      </c>
    </row>
    <row r="74" spans="1:2" ht="15" thickTop="1">
      <c r="A74" s="1578" t="s">
        <v>1297</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1689</v>
      </c>
      <c r="C1" s="2003" t="s">
        <v>759</v>
      </c>
      <c r="D1" s="2004" t="s">
        <v>1690</v>
      </c>
      <c r="E1" s="2004" t="s">
        <v>1691</v>
      </c>
      <c r="F1" s="2004" t="s">
        <v>1692</v>
      </c>
      <c r="G1" s="2004" t="s">
        <v>1693</v>
      </c>
      <c r="H1" s="2004" t="s">
        <v>1694</v>
      </c>
      <c r="I1" s="2004" t="s">
        <v>1695</v>
      </c>
      <c r="J1" s="2004" t="s">
        <v>1696</v>
      </c>
      <c r="K1" s="2004" t="s">
        <v>1697</v>
      </c>
      <c r="L1" s="2004" t="s">
        <v>1698</v>
      </c>
      <c r="M1" s="2004" t="s">
        <v>1699</v>
      </c>
      <c r="N1" s="2004" t="s">
        <v>1700</v>
      </c>
      <c r="O1" s="2004" t="s">
        <v>1701</v>
      </c>
      <c r="P1" s="2005" t="s">
        <v>753</v>
      </c>
      <c r="Q1" s="2005" t="s">
        <v>1144</v>
      </c>
      <c r="R1" s="2004" t="s">
        <v>1138</v>
      </c>
      <c r="S1" s="2004" t="s">
        <v>1702</v>
      </c>
      <c r="T1" s="2006" t="s">
        <v>1703</v>
      </c>
      <c r="U1" s="2004" t="s">
        <v>1704</v>
      </c>
      <c r="V1" s="2004" t="s">
        <v>1705</v>
      </c>
      <c r="W1" s="2004" t="s">
        <v>755</v>
      </c>
    </row>
    <row r="2" spans="1:23">
      <c r="A2" s="2008" t="s">
        <v>22</v>
      </c>
      <c r="B2" s="2008" t="s">
        <v>1706</v>
      </c>
      <c r="C2" s="2009" t="s">
        <v>760</v>
      </c>
      <c r="D2" s="2010" t="s">
        <v>1707</v>
      </c>
      <c r="E2" s="2010" t="s">
        <v>1708</v>
      </c>
      <c r="F2" s="2010" t="s">
        <v>1709</v>
      </c>
      <c r="G2" s="2010">
        <v>40</v>
      </c>
      <c r="H2" s="2010" t="s">
        <v>1709</v>
      </c>
      <c r="I2" s="2010" t="s">
        <v>1710</v>
      </c>
      <c r="J2" s="2010" t="s">
        <v>1711</v>
      </c>
      <c r="K2" s="2010" t="s">
        <v>1712</v>
      </c>
      <c r="L2" s="2010" t="s">
        <v>1712</v>
      </c>
      <c r="M2" s="2010" t="s">
        <v>1712</v>
      </c>
      <c r="N2" s="2010" t="s">
        <v>1712</v>
      </c>
      <c r="O2" s="2010" t="s">
        <v>1712</v>
      </c>
      <c r="P2" s="2010" t="s">
        <v>1712</v>
      </c>
      <c r="Q2" s="2010" t="s">
        <v>1712</v>
      </c>
      <c r="R2" s="2010" t="s">
        <v>1140</v>
      </c>
      <c r="S2" s="2010" t="s">
        <v>1712</v>
      </c>
      <c r="T2" s="2010" t="s">
        <v>1713</v>
      </c>
      <c r="U2" s="2010" t="s">
        <v>1712</v>
      </c>
      <c r="V2" s="2010" t="s">
        <v>1714</v>
      </c>
      <c r="W2" s="2010" t="s">
        <v>1712</v>
      </c>
    </row>
    <row r="3" spans="1:23">
      <c r="A3" s="2008" t="s">
        <v>1715</v>
      </c>
      <c r="B3" s="2011" t="s">
        <v>1145</v>
      </c>
      <c r="C3" s="2012" t="s">
        <v>761</v>
      </c>
      <c r="D3" s="2010" t="s">
        <v>1716</v>
      </c>
      <c r="E3" s="2010" t="s">
        <v>16</v>
      </c>
      <c r="F3" s="2010" t="s">
        <v>1717</v>
      </c>
      <c r="G3" s="2010">
        <v>50</v>
      </c>
      <c r="H3" s="2010" t="s">
        <v>1717</v>
      </c>
      <c r="I3" s="2010" t="s">
        <v>1718</v>
      </c>
      <c r="J3" s="2010" t="s">
        <v>1719</v>
      </c>
      <c r="K3" s="2010" t="s">
        <v>1720</v>
      </c>
      <c r="L3" s="2010" t="s">
        <v>1720</v>
      </c>
      <c r="M3" s="2010" t="s">
        <v>1720</v>
      </c>
      <c r="N3" s="2010" t="s">
        <v>1720</v>
      </c>
      <c r="O3" s="2010" t="s">
        <v>1720</v>
      </c>
      <c r="P3" s="2010" t="s">
        <v>1720</v>
      </c>
      <c r="Q3" s="2010" t="s">
        <v>1720</v>
      </c>
      <c r="R3" s="2010" t="s">
        <v>1139</v>
      </c>
      <c r="S3" s="2010" t="s">
        <v>1720</v>
      </c>
      <c r="T3" s="2010" t="s">
        <v>1721</v>
      </c>
      <c r="U3" s="2010" t="s">
        <v>1720</v>
      </c>
      <c r="V3" s="2010" t="s">
        <v>1722</v>
      </c>
      <c r="W3" s="2010" t="s">
        <v>1720</v>
      </c>
    </row>
    <row r="4" spans="1:23">
      <c r="A4" s="2008" t="s">
        <v>1723</v>
      </c>
      <c r="B4" s="2008" t="s">
        <v>1724</v>
      </c>
      <c r="C4" s="2009" t="s">
        <v>762</v>
      </c>
      <c r="D4" s="2010" t="s">
        <v>868</v>
      </c>
      <c r="E4" s="2010" t="s">
        <v>1725</v>
      </c>
      <c r="F4" s="2010" t="s">
        <v>1726</v>
      </c>
      <c r="G4" s="2010">
        <v>70</v>
      </c>
      <c r="H4" s="2010" t="s">
        <v>1726</v>
      </c>
      <c r="I4" s="2010" t="s">
        <v>1727</v>
      </c>
      <c r="K4" s="2010" t="s">
        <v>1728</v>
      </c>
      <c r="L4" s="2010" t="s">
        <v>1728</v>
      </c>
      <c r="M4" s="2010" t="s">
        <v>1728</v>
      </c>
      <c r="N4" s="2010" t="s">
        <v>1728</v>
      </c>
      <c r="O4" s="2010" t="s">
        <v>1728</v>
      </c>
      <c r="P4" s="2010" t="s">
        <v>1728</v>
      </c>
      <c r="Q4" s="2010" t="s">
        <v>1728</v>
      </c>
      <c r="R4" s="2010" t="s">
        <v>1141</v>
      </c>
      <c r="S4" s="2010" t="s">
        <v>1728</v>
      </c>
      <c r="T4" s="2010" t="s">
        <v>1729</v>
      </c>
      <c r="U4" s="2010" t="s">
        <v>1728</v>
      </c>
      <c r="W4" s="2010" t="s">
        <v>1728</v>
      </c>
    </row>
    <row r="5" spans="1:23">
      <c r="A5" s="2008" t="s">
        <v>1730</v>
      </c>
      <c r="B5" s="2011" t="s">
        <v>3060</v>
      </c>
      <c r="C5" s="2009" t="s">
        <v>763</v>
      </c>
      <c r="F5" s="2010" t="s">
        <v>1731</v>
      </c>
      <c r="H5" s="2010" t="s">
        <v>1732</v>
      </c>
      <c r="I5" s="2010" t="s">
        <v>1733</v>
      </c>
      <c r="K5" s="2010" t="s">
        <v>1734</v>
      </c>
      <c r="L5" s="2010" t="s">
        <v>1734</v>
      </c>
      <c r="M5" s="2010" t="s">
        <v>1734</v>
      </c>
      <c r="N5" s="2010" t="s">
        <v>1734</v>
      </c>
      <c r="O5" s="2010" t="s">
        <v>1734</v>
      </c>
      <c r="P5" s="2010" t="s">
        <v>1734</v>
      </c>
      <c r="Q5" s="2010" t="s">
        <v>1734</v>
      </c>
      <c r="R5" s="2010" t="s">
        <v>1142</v>
      </c>
      <c r="S5" s="2010" t="s">
        <v>1734</v>
      </c>
      <c r="T5" s="2010" t="s">
        <v>1735</v>
      </c>
      <c r="U5" s="2010" t="s">
        <v>1734</v>
      </c>
      <c r="W5" s="2010" t="s">
        <v>1734</v>
      </c>
    </row>
    <row r="6" spans="1:23">
      <c r="A6" s="2008" t="s">
        <v>1736</v>
      </c>
      <c r="B6" s="2011" t="s">
        <v>3058</v>
      </c>
      <c r="C6" s="2014" t="s">
        <v>30</v>
      </c>
      <c r="F6" s="2010" t="s">
        <v>1732</v>
      </c>
      <c r="H6" s="2010" t="s">
        <v>1737</v>
      </c>
      <c r="I6" s="2010" t="s">
        <v>1738</v>
      </c>
      <c r="K6" s="2010" t="s">
        <v>1739</v>
      </c>
      <c r="L6" s="2010" t="s">
        <v>1739</v>
      </c>
      <c r="M6" s="2010" t="s">
        <v>1739</v>
      </c>
      <c r="N6" s="2010" t="s">
        <v>1739</v>
      </c>
      <c r="O6" s="2010" t="s">
        <v>1739</v>
      </c>
      <c r="P6" s="2010" t="s">
        <v>1739</v>
      </c>
      <c r="Q6" s="2010" t="s">
        <v>1739</v>
      </c>
      <c r="R6" s="2010" t="s">
        <v>1143</v>
      </c>
      <c r="S6" s="2010" t="s">
        <v>1739</v>
      </c>
      <c r="T6" s="2010"/>
      <c r="U6" s="2010" t="s">
        <v>1739</v>
      </c>
      <c r="W6" s="2010" t="s">
        <v>1739</v>
      </c>
    </row>
    <row r="7" spans="1:23">
      <c r="A7" s="2008" t="s">
        <v>1740</v>
      </c>
      <c r="B7" s="2011" t="s">
        <v>3062</v>
      </c>
      <c r="C7" s="2009" t="s">
        <v>31</v>
      </c>
      <c r="F7" s="2010" t="s">
        <v>1741</v>
      </c>
      <c r="H7" s="2010" t="s">
        <v>1742</v>
      </c>
      <c r="I7" s="2010" t="s">
        <v>1743</v>
      </c>
    </row>
    <row r="8" spans="1:23">
      <c r="A8" s="2008" t="s">
        <v>1744</v>
      </c>
      <c r="B8" s="2008" t="s">
        <v>1745</v>
      </c>
      <c r="C8" s="2009" t="s">
        <v>764</v>
      </c>
      <c r="F8" s="2010" t="s">
        <v>1746</v>
      </c>
      <c r="H8" s="2010"/>
      <c r="I8" s="2010" t="s">
        <v>1747</v>
      </c>
    </row>
    <row r="9" spans="1:23">
      <c r="A9" s="2008" t="s">
        <v>1748</v>
      </c>
      <c r="B9" s="2008" t="s">
        <v>1749</v>
      </c>
      <c r="C9" s="2009" t="s">
        <v>765</v>
      </c>
      <c r="F9" s="2010" t="s">
        <v>1750</v>
      </c>
      <c r="H9" s="2010"/>
    </row>
    <row r="10" spans="1:23">
      <c r="A10" s="2008" t="s">
        <v>1751</v>
      </c>
      <c r="B10" s="2008" t="s">
        <v>1752</v>
      </c>
      <c r="C10" s="2009" t="s">
        <v>766</v>
      </c>
      <c r="F10" s="2010" t="s">
        <v>16</v>
      </c>
    </row>
    <row r="11" spans="1:23">
      <c r="A11" s="2008" t="s">
        <v>1753</v>
      </c>
      <c r="B11" s="2008" t="s">
        <v>1754</v>
      </c>
      <c r="C11" s="2009" t="s">
        <v>767</v>
      </c>
    </row>
    <row r="12" spans="1:23">
      <c r="A12" s="2008" t="s">
        <v>1755</v>
      </c>
      <c r="B12" s="2008" t="s">
        <v>1756</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3064</v>
      </c>
      <c r="C17" s="2009"/>
    </row>
    <row r="18" spans="1:3">
      <c r="A18" s="2008" t="s">
        <v>1765</v>
      </c>
      <c r="B18" s="2008" t="s">
        <v>3151</v>
      </c>
      <c r="C18" s="2009"/>
    </row>
    <row r="19" spans="1:3">
      <c r="A19" s="2008" t="s">
        <v>1766</v>
      </c>
      <c r="B19" s="2008" t="s">
        <v>757</v>
      </c>
      <c r="C19" s="2009"/>
    </row>
    <row r="20" spans="1:3">
      <c r="A20" s="2008" t="s">
        <v>1767</v>
      </c>
      <c r="B20" s="2008" t="s">
        <v>757</v>
      </c>
      <c r="C20" s="2009"/>
    </row>
    <row r="21" spans="1:3">
      <c r="A21" s="2008" t="s">
        <v>1768</v>
      </c>
      <c r="B21" s="2008" t="s">
        <v>757</v>
      </c>
      <c r="C21" s="2009"/>
    </row>
    <row r="22" spans="1:3">
      <c r="A22" s="2008" t="s">
        <v>1769</v>
      </c>
      <c r="B22" s="2008" t="s">
        <v>757</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6" t="s">
        <v>1282</v>
      </c>
    </row>
    <row r="52" spans="1:4">
      <c r="A52" s="2015" t="s">
        <v>858</v>
      </c>
      <c r="B52" s="2015" t="s">
        <v>859</v>
      </c>
      <c r="C52" s="2013" t="s">
        <v>860</v>
      </c>
      <c r="D52" s="2013" t="s">
        <v>861</v>
      </c>
    </row>
    <row r="53" spans="1:4">
      <c r="A53" s="3119"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19"/>
      <c r="B54" s="2016" t="s">
        <v>864</v>
      </c>
      <c r="C54" s="2013" t="s">
        <v>1279</v>
      </c>
    </row>
    <row r="55" spans="1:4">
      <c r="A55" s="3119"/>
      <c r="B55" s="2016" t="s">
        <v>865</v>
      </c>
      <c r="C55" s="2013" t="s">
        <v>1280</v>
      </c>
    </row>
    <row r="56" spans="1:4">
      <c r="A56" s="3119"/>
      <c r="B56" s="2016" t="s">
        <v>866</v>
      </c>
      <c r="C56" s="2013" t="s">
        <v>1284</v>
      </c>
    </row>
    <row r="57" spans="1:4">
      <c r="A57" s="3119"/>
      <c r="B57" s="2016" t="s">
        <v>867</v>
      </c>
      <c r="C57" s="2013" t="s">
        <v>1281</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F47" sqref="F4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1774</v>
      </c>
      <c r="B1" s="3128"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9"/>
      <c r="D1" s="3129"/>
      <c r="E1" s="3129"/>
      <c r="F1" s="3129"/>
      <c r="G1" s="3129"/>
      <c r="H1" s="3129"/>
      <c r="I1" s="3130"/>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20" t="s">
        <v>1775</v>
      </c>
      <c r="B2" s="1035" t="s">
        <v>3322</v>
      </c>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9" t="s">
        <v>1776</v>
      </c>
      <c r="B3" s="2030">
        <v>43185</v>
      </c>
      <c r="C3" s="2031" t="s">
        <v>1777</v>
      </c>
      <c r="D3" s="2030">
        <f>B3</f>
        <v>43185</v>
      </c>
      <c r="E3" s="2020"/>
      <c r="F3" s="2020"/>
      <c r="G3" s="2020"/>
      <c r="H3" s="2020"/>
      <c r="I3" s="2020"/>
      <c r="J3" s="2020"/>
      <c r="K3" s="2021"/>
      <c r="L3" s="2022"/>
      <c r="M3" s="2022"/>
      <c r="N3" s="2023"/>
      <c r="O3" s="2024"/>
      <c r="P3" s="2023"/>
      <c r="Q3" s="2023"/>
      <c r="R3" s="2023"/>
      <c r="S3" s="2025"/>
    </row>
    <row r="4" spans="1:19" ht="18" customHeight="1" thickBot="1">
      <c r="A4" s="2032" t="s">
        <v>1778</v>
      </c>
      <c r="B4" s="2033" t="s">
        <v>3251</v>
      </c>
      <c r="C4" s="1033">
        <f ca="1">SUMIF(注册房地产估价师,B4,估价师及机构信息!B3:B24)</f>
        <v>1120100036</v>
      </c>
      <c r="D4" s="2033" t="s">
        <v>3033</v>
      </c>
      <c r="E4" s="1034">
        <f ca="1">SUMIF(注册房地产估价师,D4,估价师及机构信息!B3:B24)</f>
        <v>1120000080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崔锴（注册号：1120100036)、欧红伟（注册号：1120000080)</v>
      </c>
      <c r="L4" s="2022"/>
      <c r="M4" s="2022"/>
      <c r="N4" s="2023"/>
      <c r="O4" s="2024"/>
      <c r="P4" s="2023"/>
      <c r="Q4" s="2023"/>
      <c r="R4" s="2023"/>
      <c r="S4" s="2025"/>
    </row>
    <row r="5" spans="1:19" ht="18" customHeight="1" thickTop="1">
      <c r="A5" s="2038" t="s">
        <v>1779</v>
      </c>
      <c r="B5" s="2924" t="s">
        <v>3252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1780</v>
      </c>
      <c r="B6" s="2925" t="s">
        <v>3034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1781</v>
      </c>
      <c r="B7" s="2045" t="str">
        <f>B5</f>
        <v>北京华和房地产开发有限公司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1782</v>
      </c>
      <c r="B8" s="2047" t="s">
        <v>3035</v>
      </c>
      <c r="C8" s="2048"/>
      <c r="D8" s="3131" t="s">
        <v>1783</v>
      </c>
      <c r="E8" s="2049" t="s">
        <v>3036</v>
      </c>
      <c r="F8" s="2050"/>
      <c r="G8" s="2020"/>
      <c r="H8" s="2020"/>
      <c r="I8" s="2020"/>
      <c r="J8" s="2036"/>
      <c r="K8" s="2037"/>
      <c r="L8" s="2022"/>
      <c r="M8" s="2022"/>
      <c r="N8" s="2023"/>
      <c r="O8" s="2024"/>
      <c r="P8" s="2023"/>
      <c r="Q8" s="2023"/>
      <c r="R8" s="2023"/>
    </row>
    <row r="9" spans="1:19" ht="18" customHeight="1" thickBot="1">
      <c r="A9" s="2034" t="s">
        <v>1784</v>
      </c>
      <c r="B9" s="2051" t="s">
        <v>3036</v>
      </c>
      <c r="C9" s="2052"/>
      <c r="D9" s="3132"/>
      <c r="E9" s="2051"/>
      <c r="F9" s="2053"/>
      <c r="G9" s="2054"/>
      <c r="H9" s="2054"/>
      <c r="I9" s="2054"/>
      <c r="J9" s="2036"/>
      <c r="K9" s="2046"/>
      <c r="L9" s="2022"/>
      <c r="M9" s="2022"/>
      <c r="N9" s="2023"/>
      <c r="O9" s="2024"/>
      <c r="P9" s="2023"/>
      <c r="Q9" s="2023"/>
      <c r="R9" s="2023"/>
    </row>
    <row r="10" spans="1:19" ht="18" customHeight="1" thickTop="1">
      <c r="A10" s="2055" t="s">
        <v>1785</v>
      </c>
      <c r="B10" s="2056" t="s">
        <v>3037</v>
      </c>
      <c r="C10" s="2057"/>
      <c r="D10" s="2040"/>
      <c r="E10" s="2058" t="s">
        <v>1786</v>
      </c>
      <c r="F10" s="3053" t="s">
        <v>3321</v>
      </c>
      <c r="G10" s="2059"/>
      <c r="H10" s="2060"/>
      <c r="I10" s="2040"/>
      <c r="J10" s="2036"/>
      <c r="K10" s="2046"/>
      <c r="L10" s="2022"/>
      <c r="M10" s="2022"/>
      <c r="N10" s="2023"/>
      <c r="O10" s="2024"/>
      <c r="P10" s="2023"/>
      <c r="Q10" s="2023"/>
      <c r="R10" s="2023"/>
    </row>
    <row r="11" spans="1:19" ht="18" customHeight="1">
      <c r="A11" s="2061" t="s">
        <v>1787</v>
      </c>
      <c r="B11" s="2062" t="s">
        <v>3039</v>
      </c>
      <c r="C11" s="2063"/>
      <c r="D11" s="2064"/>
      <c r="E11" s="2036"/>
      <c r="F11" s="2036"/>
      <c r="G11" s="2036"/>
      <c r="H11" s="2036"/>
      <c r="I11" s="2036"/>
      <c r="J11" s="2036"/>
      <c r="K11" s="2046"/>
      <c r="L11" s="2022"/>
      <c r="M11" s="2022"/>
      <c r="N11" s="2023"/>
      <c r="O11" s="2024"/>
      <c r="P11" s="2023"/>
      <c r="Q11" s="2023"/>
      <c r="R11" s="2023"/>
    </row>
    <row r="12" spans="1:19" ht="18" customHeight="1">
      <c r="A12" s="2065" t="s">
        <v>1788</v>
      </c>
      <c r="B12" s="2062" t="s">
        <v>3038</v>
      </c>
      <c r="C12" s="2066" t="s">
        <v>1789</v>
      </c>
      <c r="D12" s="2067" t="s">
        <v>1790</v>
      </c>
      <c r="E12" s="2067" t="s">
        <v>1791</v>
      </c>
      <c r="F12" s="2067" t="s">
        <v>1792</v>
      </c>
      <c r="G12" s="2067" t="s">
        <v>1793</v>
      </c>
      <c r="H12" s="2067" t="s">
        <v>1794</v>
      </c>
      <c r="I12" s="2067" t="s">
        <v>1795</v>
      </c>
      <c r="J12" s="2036"/>
      <c r="K12" s="2046"/>
      <c r="L12" s="2022"/>
      <c r="M12" s="2022"/>
      <c r="N12" s="2023"/>
      <c r="O12" s="2024"/>
      <c r="P12" s="2023"/>
      <c r="Q12" s="2023"/>
      <c r="R12" s="2023"/>
    </row>
    <row r="13" spans="1:19" ht="18" customHeight="1">
      <c r="A13" s="2068"/>
      <c r="B13" s="2069"/>
      <c r="C13" s="2070" t="s">
        <v>1796</v>
      </c>
      <c r="D13" s="2071"/>
      <c r="E13" s="2071">
        <v>55908</v>
      </c>
      <c r="F13" s="2926"/>
      <c r="G13" s="2926"/>
      <c r="H13" s="2071"/>
      <c r="I13" s="1043">
        <v>49309</v>
      </c>
      <c r="J13" s="2036"/>
      <c r="K13" s="2046"/>
      <c r="L13" s="2022"/>
      <c r="M13" s="2022"/>
      <c r="N13" s="2023"/>
      <c r="O13" s="2024"/>
      <c r="P13" s="2023"/>
      <c r="Q13" s="2023"/>
      <c r="R13" s="2023"/>
    </row>
    <row r="14" spans="1:19" ht="18" customHeight="1">
      <c r="A14" s="2068"/>
      <c r="B14" s="2069"/>
      <c r="C14" s="2070" t="s">
        <v>1797</v>
      </c>
      <c r="D14" s="1046"/>
      <c r="E14" s="1046">
        <v>40</v>
      </c>
      <c r="F14" s="1046"/>
      <c r="G14" s="1046"/>
      <c r="H14" s="1046"/>
      <c r="I14" s="1046"/>
      <c r="J14" s="2036"/>
      <c r="K14" s="2072"/>
      <c r="L14" s="2022"/>
      <c r="M14" s="2022"/>
      <c r="N14" s="2023"/>
      <c r="O14" s="2024"/>
      <c r="P14" s="2023"/>
      <c r="Q14" s="2023"/>
      <c r="R14" s="2023"/>
    </row>
    <row r="15" spans="1:19" ht="18" customHeight="1">
      <c r="A15" s="2055"/>
      <c r="B15" s="2073"/>
      <c r="C15" s="2070" t="s">
        <v>1798</v>
      </c>
      <c r="D15" s="1045" t="str">
        <f>IF(B12="出让",IF(D13="","",ROUNDDOWN(MIN((D13-$D$3)/365,D14),2)),D14)</f>
        <v/>
      </c>
      <c r="E15" s="1045">
        <f>IF(B12="出让",IF(E13="","",ROUNDDOWN(MIN((E13-$D$3)/365,E14),2)),E14)</f>
        <v>34.85</v>
      </c>
      <c r="F15" s="1045" t="str">
        <f>IF(B12="出让",IF(F13="","",ROUNDDOWN(MIN((F13-$D$3)/365,F14),2)),F14)</f>
        <v/>
      </c>
      <c r="G15" s="1045" t="str">
        <f>IF(B12="出让",IF(G13="","",ROUNDDOWN(MIN((G13-$D$3)/365,G14),2)),G14)</f>
        <v/>
      </c>
      <c r="H15" s="1045" t="str">
        <f>IF(B12="出让",IF(H13="","",ROUNDDOWN(MIN((H13-$D$3)/365,H14),2)),H14)</f>
        <v/>
      </c>
      <c r="I15" s="1045">
        <f>IF(B12="出让",IF(I13="","",ROUNDDOWN(MIN((I13-$D$3)/365,I14),2)),I14)</f>
        <v>16.77</v>
      </c>
      <c r="J15" s="2036"/>
      <c r="K15" s="2074"/>
      <c r="L15" s="2075"/>
      <c r="M15" s="2075"/>
      <c r="N15" s="2076"/>
      <c r="O15" s="2075"/>
      <c r="P15" s="2076"/>
      <c r="Q15" s="2023"/>
      <c r="R15" s="2023"/>
    </row>
    <row r="16" spans="1:19" ht="30.75" customHeight="1">
      <c r="A16" s="2058" t="s">
        <v>1799</v>
      </c>
      <c r="B16" s="3138" t="s">
        <v>3253</v>
      </c>
      <c r="C16" s="3139"/>
      <c r="D16" s="3140"/>
      <c r="E16" s="2077" t="s">
        <v>1800</v>
      </c>
      <c r="F16" s="3141" t="s">
        <v>3319</v>
      </c>
      <c r="G16" s="3142"/>
      <c r="H16" s="3142"/>
      <c r="I16" s="3143"/>
      <c r="J16" s="2023"/>
      <c r="K16" s="2074"/>
      <c r="L16" s="2075"/>
      <c r="M16" s="2075"/>
      <c r="N16" s="2076"/>
      <c r="O16" s="2075"/>
      <c r="P16" s="2076"/>
      <c r="Q16" s="2023"/>
      <c r="R16" s="2023"/>
    </row>
    <row r="17" spans="1:22" ht="18" customHeight="1">
      <c r="A17" s="2078" t="s">
        <v>1801</v>
      </c>
      <c r="B17" s="2029" t="s">
        <v>1802</v>
      </c>
      <c r="C17" s="1050">
        <f>'数据-汇总表'!E3</f>
        <v>17329.439999999999</v>
      </c>
      <c r="D17" s="2079" t="s">
        <v>1803</v>
      </c>
      <c r="E17" s="3144" t="s">
        <v>3254</v>
      </c>
      <c r="F17" s="3145"/>
      <c r="G17" s="3145"/>
      <c r="H17" s="3145"/>
      <c r="I17" s="3146"/>
      <c r="J17" s="2023"/>
      <c r="K17" s="2080"/>
      <c r="L17" s="2075"/>
      <c r="M17" s="2075"/>
      <c r="N17" s="2076"/>
      <c r="O17" s="2075"/>
      <c r="P17" s="2076"/>
      <c r="Q17" s="2023"/>
      <c r="R17" s="2023"/>
      <c r="S17" s="2023"/>
      <c r="T17" s="2023"/>
      <c r="U17" s="2023"/>
      <c r="V17" s="2023"/>
    </row>
    <row r="18" spans="1:22" ht="36" customHeight="1" thickBot="1">
      <c r="A18" s="2081" t="s">
        <v>1804</v>
      </c>
      <c r="B18" s="2032" t="s">
        <v>1805</v>
      </c>
      <c r="C18" s="1438">
        <f>'数据-汇总表'!D3</f>
        <v>0</v>
      </c>
      <c r="D18" s="2082" t="s">
        <v>1803</v>
      </c>
      <c r="E18" s="3147" t="s">
        <v>3255</v>
      </c>
      <c r="F18" s="3148"/>
      <c r="G18" s="3148"/>
      <c r="H18" s="3148"/>
      <c r="I18" s="3149"/>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t="s">
        <v>70</v>
      </c>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134" t="s">
        <v>1810</v>
      </c>
      <c r="C20" s="3135"/>
      <c r="D20" s="3136" t="s">
        <v>1811</v>
      </c>
      <c r="E20" s="3137"/>
      <c r="F20" s="2089" t="s">
        <v>1812</v>
      </c>
      <c r="G20" s="2036"/>
      <c r="H20" s="2036"/>
      <c r="I20" s="2036"/>
      <c r="J20" s="2036"/>
      <c r="K20" s="3133" t="s">
        <v>1813</v>
      </c>
      <c r="L20" s="74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2"/>
      <c r="N20" s="2076"/>
      <c r="O20" s="2075"/>
      <c r="P20" s="2076"/>
      <c r="Q20" s="2023"/>
      <c r="R20" s="2023"/>
      <c r="S20" s="2023"/>
      <c r="T20" s="2023"/>
      <c r="U20" s="2023"/>
      <c r="V20" s="2023"/>
    </row>
    <row r="21" spans="1:22" ht="24.75" customHeight="1">
      <c r="A21" s="2088"/>
      <c r="B21" s="2090" t="s">
        <v>1814</v>
      </c>
      <c r="C21" s="2091" t="s">
        <v>3256</v>
      </c>
      <c r="D21" s="2092" t="s">
        <v>1816</v>
      </c>
      <c r="E21" s="2093" t="s">
        <v>1815</v>
      </c>
      <c r="F21" s="2094"/>
      <c r="G21" s="2036"/>
      <c r="H21" s="2036"/>
      <c r="I21" s="2036"/>
      <c r="J21" s="2036"/>
      <c r="K21" s="31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1817</v>
      </c>
      <c r="C22" s="2091" t="s">
        <v>70</v>
      </c>
      <c r="D22" s="2020"/>
      <c r="E22" s="2020"/>
      <c r="F22" s="2096"/>
      <c r="G22" s="2036"/>
      <c r="H22" s="2036"/>
      <c r="I22" s="2036"/>
      <c r="J22" s="2036"/>
      <c r="K22" s="31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2" t="s">
        <v>1819</v>
      </c>
      <c r="C23" s="2098"/>
      <c r="D23" s="2099" t="s">
        <v>1819</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1820</v>
      </c>
      <c r="C24" s="2103"/>
      <c r="D24" s="2097" t="s">
        <v>1820</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1821</v>
      </c>
      <c r="C25" s="2103"/>
      <c r="D25" s="2097" t="s">
        <v>1821</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121" t="s">
        <v>1824</v>
      </c>
      <c r="B27" s="2055" t="s">
        <v>1825</v>
      </c>
      <c r="C27" s="2111" t="s">
        <v>3041</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121"/>
      <c r="B28" s="2029" t="s">
        <v>1826</v>
      </c>
      <c r="C28" s="2113" t="s">
        <v>3042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21"/>
      <c r="B29" s="2029" t="s">
        <v>1827</v>
      </c>
      <c r="C29" s="2116" t="s">
        <v>3043</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22"/>
      <c r="B30" s="2029" t="s">
        <v>1828</v>
      </c>
      <c r="C30" s="3123"/>
      <c r="D30" s="3124"/>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25" t="s">
        <v>1829</v>
      </c>
      <c r="B31" s="2118" t="s">
        <v>3044</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126"/>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126"/>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927" t="s">
        <v>3045</v>
      </c>
      <c r="C34" s="2927" t="s">
        <v>3046</v>
      </c>
      <c r="D34" s="2927" t="s">
        <v>3047</v>
      </c>
      <c r="E34" s="2927" t="s">
        <v>3048</v>
      </c>
      <c r="F34" s="2927" t="s">
        <v>3049</v>
      </c>
      <c r="G34" s="2125" t="s">
        <v>3257</v>
      </c>
      <c r="H34" s="2125"/>
      <c r="I34" s="2036"/>
      <c r="J34" s="2036"/>
      <c r="K34" s="1789">
        <f>COUNTIF(B34:H34,"——")</f>
        <v>0</v>
      </c>
      <c r="L34" s="2066" t="s">
        <v>1831</v>
      </c>
      <c r="M34" s="2066" t="s">
        <v>1832</v>
      </c>
      <c r="N34" s="2066" t="s">
        <v>1833</v>
      </c>
      <c r="O34" s="2066" t="s">
        <v>1834</v>
      </c>
      <c r="P34" s="2066" t="s">
        <v>1835</v>
      </c>
      <c r="Q34" s="2066" t="s">
        <v>1836</v>
      </c>
      <c r="R34" s="2066" t="s">
        <v>1837</v>
      </c>
      <c r="S34" s="3120" t="s">
        <v>1838</v>
      </c>
      <c r="T34" s="2126" t="str">
        <f>NUMBERSTRING(7-K34,1)&amp;"通"</f>
        <v>七通</v>
      </c>
      <c r="U34" s="2023"/>
      <c r="V34" s="2023"/>
    </row>
    <row r="35" spans="1:22" ht="18" customHeight="1">
      <c r="A35" s="2127"/>
      <c r="B35" s="3127" t="s">
        <v>1839</v>
      </c>
      <c r="C35" s="3127"/>
      <c r="D35" s="3127"/>
      <c r="E35" s="3127"/>
      <c r="F35" s="2128">
        <f>C10</f>
        <v>0</v>
      </c>
      <c r="G35" s="2036"/>
      <c r="H35" s="2036"/>
      <c r="I35" s="2036"/>
      <c r="J35" s="2036"/>
      <c r="K35" s="2066"/>
      <c r="L35" s="2066"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120"/>
      <c r="T35" s="48" t="str">
        <f>IF(T34="一通",L35,IF(T34="二通",M35,IF(T34="三通",N35,IF(T34="四通",O35,IF(T34="五通",P35,IF(T34="六通",Q35,R35))))))</f>
        <v>通路、通电、通上水、通下水、通讯、燃气、</v>
      </c>
      <c r="U35" s="2023"/>
      <c r="V35" s="2023"/>
    </row>
    <row r="36" spans="1:22" ht="18" customHeight="1">
      <c r="A36" s="2129"/>
      <c r="B36" s="2128" t="s">
        <v>1840</v>
      </c>
      <c r="C36" s="2128" t="s">
        <v>1841</v>
      </c>
      <c r="D36" s="2128" t="s">
        <v>1842</v>
      </c>
      <c r="E36" s="2128" t="s">
        <v>1843</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1844</v>
      </c>
      <c r="B37" s="2132" t="s">
        <v>526</v>
      </c>
      <c r="C37" s="2928"/>
      <c r="D37" s="2132"/>
      <c r="E37" s="2132"/>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1845</v>
      </c>
      <c r="B38" s="2134" t="s">
        <v>3258</v>
      </c>
      <c r="C38" s="2929"/>
      <c r="D38" s="2134"/>
      <c r="E38" s="2134"/>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5"/>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89" t="s">
        <v>1849</v>
      </c>
      <c r="C42" s="1789" t="s">
        <v>1850</v>
      </c>
      <c r="D42" s="1789" t="s">
        <v>1851</v>
      </c>
      <c r="E42" s="1789" t="s">
        <v>1852</v>
      </c>
      <c r="F42" s="1789" t="s">
        <v>1853</v>
      </c>
      <c r="G42" s="1789" t="s">
        <v>1854</v>
      </c>
      <c r="H42" s="1789" t="s">
        <v>1855</v>
      </c>
      <c r="I42" s="1789" t="s">
        <v>1856</v>
      </c>
      <c r="J42" s="2144" t="s">
        <v>1857</v>
      </c>
      <c r="K42" s="2067" t="s">
        <v>1858</v>
      </c>
      <c r="L42" s="2067" t="s">
        <v>1859</v>
      </c>
      <c r="M42" s="2067" t="s">
        <v>1860</v>
      </c>
      <c r="N42" s="1789" t="s">
        <v>1861</v>
      </c>
      <c r="O42" s="1789" t="s">
        <v>1862</v>
      </c>
      <c r="P42" s="1789" t="s">
        <v>1863</v>
      </c>
      <c r="Q42" s="2066" t="s">
        <v>1864</v>
      </c>
      <c r="R42" s="2066" t="s">
        <v>1865</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topLeftCell="G13" workbookViewId="0">
      <selection activeCell="U24" sqref="U24"/>
    </sheetView>
  </sheetViews>
  <sheetFormatPr defaultRowHeight="15.75"/>
  <cols>
    <col min="1" max="1" width="9.25" style="3052" customWidth="1"/>
    <col min="2" max="2" width="18.75" style="3052" customWidth="1"/>
    <col min="3" max="3" width="19.75" style="3039" customWidth="1"/>
    <col min="4" max="20" width="9.375" style="3039" customWidth="1"/>
    <col min="21" max="16384" width="9" style="3051"/>
  </cols>
  <sheetData>
    <row r="1" spans="1:24" s="3032" customFormat="1" ht="31.5">
      <c r="A1" s="3030" t="s">
        <v>3209</v>
      </c>
      <c r="B1" s="3029" t="s">
        <v>3210</v>
      </c>
      <c r="C1" s="3031" t="s">
        <v>3211</v>
      </c>
      <c r="D1" s="3031" t="s">
        <v>3212</v>
      </c>
      <c r="E1" s="3031" t="s">
        <v>3213</v>
      </c>
      <c r="F1" s="3031" t="s">
        <v>3214</v>
      </c>
      <c r="G1" s="3031" t="s">
        <v>3215</v>
      </c>
      <c r="H1" s="3031" t="s">
        <v>3216</v>
      </c>
      <c r="I1" s="3031" t="s">
        <v>3217</v>
      </c>
      <c r="J1" s="3031" t="s">
        <v>3218</v>
      </c>
      <c r="K1" s="3031"/>
      <c r="L1" s="3031" t="s">
        <v>3219</v>
      </c>
      <c r="M1" s="3031" t="s">
        <v>3220</v>
      </c>
      <c r="N1" s="3031" t="s">
        <v>3221</v>
      </c>
      <c r="O1" s="3031" t="s">
        <v>3222</v>
      </c>
      <c r="P1" s="3031" t="s">
        <v>3223</v>
      </c>
      <c r="Q1" s="3031" t="s">
        <v>3224</v>
      </c>
      <c r="R1" s="3031" t="s">
        <v>3225</v>
      </c>
      <c r="S1" s="3031" t="s">
        <v>3226</v>
      </c>
      <c r="T1" s="3031" t="s">
        <v>3227</v>
      </c>
      <c r="U1" s="3032" t="s">
        <v>3228</v>
      </c>
    </row>
    <row r="2" spans="1:24" s="3039" customFormat="1" ht="14.25">
      <c r="A2" s="3034">
        <v>5414.13</v>
      </c>
      <c r="B2" s="3035">
        <v>47613</v>
      </c>
      <c r="C2" s="3036">
        <f>3430891.84/A2/365</f>
        <v>1.7361429576373075</v>
      </c>
      <c r="D2" s="3037">
        <f>3492524.76/A2/365</f>
        <v>1.7673312215076789</v>
      </c>
      <c r="E2" s="3037">
        <f>3492524.76/A2/365</f>
        <v>1.7673312215076789</v>
      </c>
      <c r="F2" s="3037">
        <f>3492524.76/365/A2</f>
        <v>1.7673312215076786</v>
      </c>
      <c r="G2" s="3037">
        <v>1.7673312215076786</v>
      </c>
      <c r="H2" s="3037">
        <v>1.7673312215076786</v>
      </c>
      <c r="I2" s="3037">
        <v>1.7673312215076786</v>
      </c>
      <c r="J2" s="3037">
        <v>1.7673312215076786</v>
      </c>
      <c r="K2" s="3037"/>
      <c r="L2" s="3037">
        <v>1.7673312215076786</v>
      </c>
      <c r="M2" s="3037">
        <v>1.7673312215076786</v>
      </c>
      <c r="N2" s="3037">
        <v>1.7673312215076786</v>
      </c>
      <c r="O2" s="3037">
        <v>1.7673312215076786</v>
      </c>
      <c r="P2" s="3037">
        <v>1.7673312215076786</v>
      </c>
      <c r="Q2" s="3037"/>
      <c r="R2" s="3037"/>
      <c r="S2" s="3037"/>
      <c r="T2" s="3033"/>
      <c r="U2" s="3038">
        <f>SUM(C2:P2)/13</f>
        <v>1.7649321242868807</v>
      </c>
      <c r="V2" s="3034">
        <v>5414.13</v>
      </c>
      <c r="W2" s="3039">
        <v>0.5</v>
      </c>
      <c r="X2" s="3033" t="s">
        <v>3229</v>
      </c>
    </row>
    <row r="3" spans="1:24" s="3039" customFormat="1" ht="14.25">
      <c r="A3" s="3034">
        <v>7686.99</v>
      </c>
      <c r="B3" s="3035">
        <v>49309</v>
      </c>
      <c r="C3" s="3036">
        <f>5237783.2/A3/365</f>
        <v>1.866802345118715</v>
      </c>
      <c r="D3" s="3037">
        <f>5429152.72/A3/365</f>
        <v>1.9350085031590558</v>
      </c>
      <c r="E3" s="3037">
        <f>5601385.28/365/A3</f>
        <v>1.9963940425440767</v>
      </c>
      <c r="F3" s="3037">
        <f>5792754.76/365/A3</f>
        <v>2.0646001863279864</v>
      </c>
      <c r="G3" s="3037">
        <f>5984124.28/365/A3</f>
        <v>2.1328063443683276</v>
      </c>
      <c r="H3" s="3037">
        <f>6175493.76/365/A3</f>
        <v>2.2010124881522377</v>
      </c>
      <c r="I3" s="3037">
        <f>6366863.28/365/A3</f>
        <v>2.269218646192579</v>
      </c>
      <c r="J3" s="3037">
        <f>6577369.72/7686.99/365</f>
        <v>2.3442454086318092</v>
      </c>
      <c r="K3" s="3037"/>
      <c r="L3" s="3037">
        <f>6787876.16/7686.99/365</f>
        <v>2.4192721710710394</v>
      </c>
      <c r="M3" s="3037">
        <f>7017519.56/7686.99/365</f>
        <v>2.5011195521655902</v>
      </c>
      <c r="N3" s="3037">
        <f>7228026.04/7686.99/365</f>
        <v>2.5761463288612516</v>
      </c>
      <c r="O3" s="3037">
        <f>7476806.36/7686.99/365</f>
        <v>2.6648143143546914</v>
      </c>
      <c r="P3" s="3037">
        <f>7706449.76/7686.99/365</f>
        <v>2.7466616954492422</v>
      </c>
      <c r="Q3" s="3041">
        <f>7955230.12/7686.99/365</f>
        <v>2.8353296951991132</v>
      </c>
      <c r="R3" s="3041">
        <f>8204010.48/7686.99/365</f>
        <v>2.9239976949489841</v>
      </c>
      <c r="S3" s="3041">
        <f>8471927.76/7686.99/365</f>
        <v>3.0194862990977445</v>
      </c>
      <c r="T3" s="3042">
        <f>8739845.08/7686.99/365</f>
        <v>3.114974917502936</v>
      </c>
      <c r="U3" s="3038">
        <f>SUM(C3:T3)/17</f>
        <v>2.4477582725379636</v>
      </c>
      <c r="V3" s="3034">
        <v>7686.99</v>
      </c>
      <c r="W3" s="3039">
        <v>0.5</v>
      </c>
      <c r="X3" s="3040" t="s">
        <v>3230</v>
      </c>
    </row>
    <row r="4" spans="1:24" s="3039" customFormat="1" ht="14.25">
      <c r="A4" s="3034">
        <v>1311.02</v>
      </c>
      <c r="B4" s="3035">
        <v>46490</v>
      </c>
      <c r="C4" s="3036">
        <f>1588694.01/A4/365</f>
        <v>3.3199999456660643</v>
      </c>
      <c r="D4" s="3037">
        <f>1607834.88/1311.02/365</f>
        <v>3.3599998996911946</v>
      </c>
      <c r="E4" s="3037">
        <f>1607834.88/1311.02/365</f>
        <v>3.3599998996911946</v>
      </c>
      <c r="F4" s="3037">
        <f>1668846.51/1311.02/365</f>
        <v>3.487499976490124</v>
      </c>
      <c r="G4" s="3037">
        <f>1689183.72/1311.02/365</f>
        <v>3.5300000020897668</v>
      </c>
      <c r="H4" s="3037">
        <f>1689183.72/1311.02/365</f>
        <v>3.5300000020897668</v>
      </c>
      <c r="I4" s="3037">
        <f>1753784.19/1311.02/365</f>
        <v>3.6649999174542125</v>
      </c>
      <c r="J4" s="3037">
        <f>1775317.68/1311.02/365</f>
        <v>3.7099998892423613</v>
      </c>
      <c r="K4" s="3037"/>
      <c r="L4" s="3037">
        <f>1775317.68/1311.02/365</f>
        <v>3.7099998892423613</v>
      </c>
      <c r="M4" s="3037">
        <f>443829.42/1311.02/365</f>
        <v>0.92749997231059034</v>
      </c>
      <c r="N4" s="3037"/>
      <c r="O4" s="3037"/>
      <c r="P4" s="3037"/>
      <c r="Q4" s="3037"/>
      <c r="R4" s="3037"/>
      <c r="S4" s="3037"/>
      <c r="T4" s="3033"/>
      <c r="U4" s="3038">
        <f>SUM(C4:M4)/10</f>
        <v>3.2599999393967636</v>
      </c>
      <c r="V4" s="3034">
        <v>1311.02</v>
      </c>
      <c r="W4" s="3039" t="s">
        <v>3231</v>
      </c>
      <c r="X4" s="3033" t="s">
        <v>3232</v>
      </c>
    </row>
    <row r="5" spans="1:24" s="3039" customFormat="1" ht="14.25">
      <c r="A5" s="3034">
        <v>1272.28</v>
      </c>
      <c r="B5" s="3035">
        <v>46702</v>
      </c>
      <c r="C5" s="3036">
        <f>1168665.5/A5/365</f>
        <v>2.5166027035489305</v>
      </c>
      <c r="D5" s="3037">
        <f>1207342.8/A5/365</f>
        <v>2.5998903489410234</v>
      </c>
      <c r="E5" s="3037">
        <f>1215383.6/A5/365</f>
        <v>2.617205396761547</v>
      </c>
      <c r="F5" s="3037">
        <f>1255587.6/1272.28/365</f>
        <v>2.7037806358641654</v>
      </c>
      <c r="G5" s="3037">
        <f>1266071.2/1272.28/365</f>
        <v>2.7263560058934213</v>
      </c>
      <c r="H5" s="3037">
        <f>1318489.2/1272.28/365</f>
        <v>2.8392328560397013</v>
      </c>
      <c r="I5" s="3037">
        <f>1331670.02/1272.28/365</f>
        <v>2.8676164159608186</v>
      </c>
      <c r="J5" s="3037">
        <f>1397574.12/1272.28/365</f>
        <v>3.0095342155664024</v>
      </c>
      <c r="K5" s="3037"/>
      <c r="L5" s="3037">
        <f>1413884.76/1272.28/365</f>
        <v>3.0446575256329806</v>
      </c>
      <c r="M5" s="3037">
        <f>1246198.3/1272.28/365</f>
        <v>2.6835617299715624</v>
      </c>
      <c r="N5" s="3037"/>
      <c r="O5" s="3037"/>
      <c r="P5" s="3037"/>
      <c r="Q5" s="3037"/>
      <c r="R5" s="3037"/>
      <c r="S5" s="3037"/>
      <c r="T5" s="3033"/>
      <c r="U5" s="3038">
        <f>SUM(C5:M5)/10</f>
        <v>2.7608437834180548</v>
      </c>
      <c r="V5" s="3034">
        <v>1272.28</v>
      </c>
      <c r="W5" s="3039">
        <v>0.6</v>
      </c>
      <c r="X5" s="3033" t="s">
        <v>3233</v>
      </c>
    </row>
    <row r="6" spans="1:24" s="3039" customFormat="1" ht="14.25">
      <c r="A6" s="3034">
        <v>872.03</v>
      </c>
      <c r="B6" s="3035">
        <v>45290</v>
      </c>
      <c r="C6" s="3037">
        <f>798406.75/A6/365</f>
        <v>2.5084180056014791</v>
      </c>
      <c r="D6" s="3037">
        <f>827568.96/872.03/365</f>
        <v>2.6000392408266713</v>
      </c>
      <c r="E6" s="3037">
        <f>830324.74/872.03/365</f>
        <v>2.6086972940952298</v>
      </c>
      <c r="F6" s="3037">
        <f>860638.32/872.03/365</f>
        <v>2.7039358800493698</v>
      </c>
      <c r="G6" s="3037">
        <f>863507.46/872.03/365</f>
        <v>2.7129500854485493</v>
      </c>
      <c r="H6" s="3037">
        <f>820479/872.03/365</f>
        <v>2.5777641494362316</v>
      </c>
      <c r="I6" s="3037"/>
      <c r="J6" s="3037"/>
      <c r="K6" s="3037"/>
      <c r="L6" s="3037"/>
      <c r="M6" s="3037"/>
      <c r="N6" s="3037"/>
      <c r="O6" s="3037"/>
      <c r="P6" s="3037"/>
      <c r="Q6" s="3037"/>
      <c r="R6" s="3037"/>
      <c r="S6" s="3037"/>
      <c r="T6" s="3033"/>
      <c r="U6" s="3038">
        <f>SUM(C6:H6)/6</f>
        <v>2.6186341092429219</v>
      </c>
      <c r="V6" s="3034">
        <v>872.03</v>
      </c>
      <c r="W6" s="3039">
        <v>0.6</v>
      </c>
      <c r="X6" s="3033" t="s">
        <v>3234</v>
      </c>
    </row>
    <row r="7" spans="1:24" s="3039" customFormat="1" ht="14.25">
      <c r="A7" s="3034">
        <v>421.09</v>
      </c>
      <c r="B7" s="3035">
        <v>45290</v>
      </c>
      <c r="C7" s="3043">
        <f>535129.6/A7/365</f>
        <v>3.4816986704758719</v>
      </c>
      <c r="D7" s="3043">
        <f>554676.6/421.09/365</f>
        <v>3.6088767669814512</v>
      </c>
      <c r="E7" s="3043">
        <f>556525.18/421.09/365</f>
        <v>3.620904131059739</v>
      </c>
      <c r="F7" s="3043">
        <f>576859.56/421.09/365</f>
        <v>3.7532051359209002</v>
      </c>
      <c r="G7" s="3043">
        <f>578783.95/421.09/365</f>
        <v>3.7657257404706703</v>
      </c>
      <c r="H7" s="3043">
        <f>549956.22/421.09/365</f>
        <v>3.5781646913083041</v>
      </c>
      <c r="I7" s="3043"/>
      <c r="J7" s="3043"/>
      <c r="K7" s="3043"/>
      <c r="L7" s="3043"/>
      <c r="M7" s="3043"/>
      <c r="N7" s="3043"/>
      <c r="O7" s="3037"/>
      <c r="P7" s="3037"/>
      <c r="Q7" s="3037"/>
      <c r="R7" s="3037"/>
      <c r="S7" s="3037"/>
      <c r="T7" s="3033"/>
      <c r="U7" s="3038">
        <f>SUM(C7:H7)/6</f>
        <v>3.6347625227028231</v>
      </c>
      <c r="V7" s="3034">
        <v>421.09</v>
      </c>
      <c r="W7" s="3039">
        <v>0.6</v>
      </c>
      <c r="X7" s="3033" t="s">
        <v>3234</v>
      </c>
    </row>
    <row r="8" spans="1:24" s="3039" customFormat="1" ht="14.25">
      <c r="A8" s="3034">
        <v>351.9</v>
      </c>
      <c r="B8" s="3035">
        <v>43616</v>
      </c>
      <c r="C8" s="3037">
        <f>282575.76/A8/365</f>
        <v>2.2000004671314626</v>
      </c>
      <c r="D8" s="3037"/>
      <c r="E8" s="3037"/>
      <c r="F8" s="3037"/>
      <c r="G8" s="3037"/>
      <c r="H8" s="3037"/>
      <c r="I8" s="3037"/>
      <c r="J8" s="3037"/>
      <c r="K8" s="3037"/>
      <c r="L8" s="3037"/>
      <c r="M8" s="3037"/>
      <c r="N8" s="3037"/>
      <c r="O8" s="3037"/>
      <c r="P8" s="3037"/>
      <c r="Q8" s="3037"/>
      <c r="R8" s="3037"/>
      <c r="S8" s="3037"/>
      <c r="T8" s="3033"/>
      <c r="U8" s="3038">
        <v>2.2000000000000002</v>
      </c>
      <c r="V8" s="3034">
        <v>351.9</v>
      </c>
      <c r="W8" s="3039">
        <v>0.5</v>
      </c>
      <c r="X8" s="3040" t="s">
        <v>3235</v>
      </c>
    </row>
    <row r="9" spans="1:24" s="3049" customFormat="1">
      <c r="A9" s="3044"/>
      <c r="B9" s="3045"/>
      <c r="C9" s="3046"/>
      <c r="D9" s="3046"/>
      <c r="E9" s="3046"/>
      <c r="F9" s="3046"/>
      <c r="G9" s="3046"/>
      <c r="H9" s="3046"/>
      <c r="I9" s="3046"/>
      <c r="J9" s="3046"/>
      <c r="K9" s="3046"/>
      <c r="L9" s="3046"/>
      <c r="M9" s="3046"/>
      <c r="N9" s="3046"/>
      <c r="O9" s="3046"/>
      <c r="P9" s="3046"/>
      <c r="Q9" s="3046"/>
      <c r="R9" s="3046"/>
      <c r="S9" s="3046"/>
      <c r="T9" s="3047"/>
      <c r="U9" s="3048">
        <f>SUMPRODUCT(U2:U8*V2:V8)/V9</f>
        <v>2.3512719642276396</v>
      </c>
      <c r="V9" s="3049">
        <f>SUM(V2:V8)</f>
        <v>17329.440000000002</v>
      </c>
      <c r="W9" s="3050">
        <v>1</v>
      </c>
      <c r="X9" s="3033" t="s">
        <v>3236</v>
      </c>
    </row>
    <row r="10" spans="1:24">
      <c r="A10" s="3044"/>
      <c r="B10" s="3045"/>
      <c r="C10" s="3046"/>
      <c r="D10" s="3046"/>
      <c r="E10" s="3046"/>
      <c r="F10" s="3046"/>
      <c r="G10" s="3046"/>
      <c r="H10" s="3046"/>
      <c r="I10" s="3046"/>
      <c r="J10" s="3046"/>
      <c r="K10" s="3046"/>
      <c r="L10" s="3046"/>
      <c r="M10" s="3046"/>
      <c r="N10" s="3046"/>
      <c r="O10" s="3046"/>
      <c r="P10" s="3046"/>
      <c r="Q10" s="3046"/>
      <c r="R10" s="3046"/>
      <c r="S10" s="3046"/>
      <c r="T10" s="3047"/>
      <c r="X10" s="3033" t="s">
        <v>3234</v>
      </c>
    </row>
    <row r="11" spans="1:24">
      <c r="A11" s="3044"/>
      <c r="B11" s="3045"/>
      <c r="C11" s="3046"/>
      <c r="D11" s="3046"/>
      <c r="E11" s="3046"/>
      <c r="F11" s="3046"/>
      <c r="G11" s="3046"/>
      <c r="H11" s="3046"/>
      <c r="I11" s="3046"/>
      <c r="J11" s="3046"/>
      <c r="K11" s="3046"/>
      <c r="L11" s="3046"/>
      <c r="M11" s="3046"/>
      <c r="N11" s="3046"/>
      <c r="O11" s="3046"/>
      <c r="P11" s="3046"/>
      <c r="Q11" s="3046"/>
      <c r="R11" s="3046"/>
      <c r="S11" s="3046"/>
      <c r="T11" s="3047"/>
      <c r="X11" s="3033" t="s">
        <v>3234</v>
      </c>
    </row>
    <row r="12" spans="1:24">
      <c r="A12" s="3044"/>
      <c r="B12" s="3045"/>
      <c r="C12" s="3047"/>
      <c r="D12" s="3047"/>
      <c r="E12" s="3047"/>
      <c r="F12" s="3047"/>
      <c r="G12" s="3047"/>
      <c r="H12" s="3047"/>
      <c r="I12" s="3047"/>
      <c r="J12" s="3047"/>
      <c r="K12" s="3047"/>
      <c r="L12" s="3047"/>
      <c r="M12" s="3047"/>
      <c r="N12" s="3047"/>
      <c r="O12" s="3047"/>
      <c r="P12" s="3047"/>
      <c r="Q12" s="3047"/>
      <c r="R12" s="3047"/>
      <c r="S12" s="3047"/>
      <c r="T12" s="3047"/>
      <c r="X12" s="3033" t="s">
        <v>3234</v>
      </c>
    </row>
    <row r="13" spans="1:24">
      <c r="A13" s="3044"/>
      <c r="B13" s="3045"/>
      <c r="C13" s="3047"/>
      <c r="D13" s="3047"/>
      <c r="E13" s="3047"/>
      <c r="F13" s="3047"/>
      <c r="G13" s="3047"/>
      <c r="H13" s="3047"/>
      <c r="I13" s="3047"/>
      <c r="J13" s="3047"/>
      <c r="K13" s="3047"/>
      <c r="L13" s="3047"/>
      <c r="M13" s="3047"/>
      <c r="N13" s="3047"/>
      <c r="O13" s="3047"/>
      <c r="P13" s="3047"/>
      <c r="Q13" s="3047"/>
      <c r="R13" s="3047"/>
      <c r="S13" s="3047"/>
      <c r="T13" s="3047"/>
      <c r="X13" s="3033" t="s">
        <v>3236</v>
      </c>
    </row>
    <row r="14" spans="1:24">
      <c r="A14" s="3052">
        <f>SUM(A2:A13)</f>
        <v>17329.440000000002</v>
      </c>
    </row>
    <row r="15" spans="1:24">
      <c r="B15" s="3052">
        <f>A14-C15</f>
        <v>9290.5500000000029</v>
      </c>
      <c r="C15" s="3039">
        <f>A3+A8</f>
        <v>8038.8899999999994</v>
      </c>
    </row>
    <row r="17" spans="1:21">
      <c r="A17" s="3051"/>
      <c r="B17" s="3051"/>
      <c r="C17" s="3051"/>
      <c r="D17" s="3051"/>
      <c r="E17" s="3051"/>
      <c r="F17" s="3051"/>
      <c r="G17" s="3051"/>
      <c r="H17" s="3051"/>
      <c r="I17" s="3045" t="s">
        <v>3259</v>
      </c>
      <c r="J17" s="3045" t="s">
        <v>3260</v>
      </c>
      <c r="K17" s="3045" t="s">
        <v>3263</v>
      </c>
      <c r="L17" s="3045" t="s">
        <v>3261</v>
      </c>
      <c r="M17" s="3045" t="s">
        <v>3262</v>
      </c>
      <c r="N17" s="3045"/>
      <c r="O17" s="3051"/>
      <c r="P17" s="3051"/>
      <c r="Q17" s="3051"/>
      <c r="R17" s="3051"/>
      <c r="S17" s="3051"/>
      <c r="T17" s="3051"/>
    </row>
    <row r="18" spans="1:21">
      <c r="A18" s="3051"/>
      <c r="B18" s="3051"/>
      <c r="C18" s="3051"/>
      <c r="D18" s="3051"/>
      <c r="E18" s="3051"/>
      <c r="F18" s="3051"/>
      <c r="G18" s="3051"/>
      <c r="H18" s="3051"/>
      <c r="I18" s="3057">
        <v>1</v>
      </c>
      <c r="J18" s="3057">
        <v>41</v>
      </c>
      <c r="K18" s="3057">
        <v>1</v>
      </c>
      <c r="L18" s="3057">
        <v>101</v>
      </c>
      <c r="M18" s="3057">
        <v>117.95</v>
      </c>
      <c r="N18" s="3153" t="s">
        <v>3323</v>
      </c>
      <c r="O18" s="3051"/>
      <c r="P18" s="3051"/>
      <c r="Q18" s="3051"/>
      <c r="R18" s="3051"/>
      <c r="S18" s="3051"/>
      <c r="T18" s="3045" t="s">
        <v>3318</v>
      </c>
      <c r="U18" s="3045"/>
    </row>
    <row r="19" spans="1:21">
      <c r="I19" s="3057">
        <v>2</v>
      </c>
      <c r="J19" s="3057">
        <v>41</v>
      </c>
      <c r="K19" s="3057">
        <v>1</v>
      </c>
      <c r="L19" s="3057">
        <v>102</v>
      </c>
      <c r="M19" s="3057">
        <v>212.21</v>
      </c>
      <c r="N19" s="3154"/>
      <c r="Q19" s="3045" t="s">
        <v>3268</v>
      </c>
      <c r="R19" s="3045">
        <f>M18+M19</f>
        <v>330.16</v>
      </c>
      <c r="S19" s="3045">
        <v>1</v>
      </c>
      <c r="T19" s="3045">
        <v>5</v>
      </c>
      <c r="U19" s="3045">
        <f ca="1">U23/S23</f>
        <v>34254.021992649738</v>
      </c>
    </row>
    <row r="20" spans="1:21">
      <c r="I20" s="3057">
        <v>3</v>
      </c>
      <c r="J20" s="3057">
        <v>41</v>
      </c>
      <c r="K20" s="3057">
        <v>2</v>
      </c>
      <c r="L20" s="3057">
        <v>201</v>
      </c>
      <c r="M20" s="3057">
        <v>487.19</v>
      </c>
      <c r="N20" s="3154"/>
      <c r="Q20" s="3045" t="s">
        <v>3269</v>
      </c>
      <c r="R20" s="3045">
        <f>M20+M21+M22+M23+M25+M26+M27+M28+M29</f>
        <v>3546.26</v>
      </c>
      <c r="S20" s="3045">
        <v>0.65</v>
      </c>
      <c r="T20" s="3045"/>
      <c r="U20" s="3045"/>
    </row>
    <row r="21" spans="1:21">
      <c r="B21" s="3045"/>
      <c r="C21" s="3047" t="s">
        <v>3237</v>
      </c>
      <c r="D21" s="3039" t="s">
        <v>3238</v>
      </c>
      <c r="E21" s="3039" t="s">
        <v>3239</v>
      </c>
      <c r="I21" s="3057">
        <v>4</v>
      </c>
      <c r="J21" s="3057">
        <v>41</v>
      </c>
      <c r="K21" s="3057">
        <v>2</v>
      </c>
      <c r="L21" s="3057">
        <v>202</v>
      </c>
      <c r="M21" s="3057">
        <v>493.67</v>
      </c>
      <c r="N21" s="3155"/>
      <c r="Q21" s="3045" t="s">
        <v>3270</v>
      </c>
      <c r="R21" s="3045">
        <f>M24</f>
        <v>5414.13</v>
      </c>
      <c r="S21" s="3045">
        <v>0.55000000000000004</v>
      </c>
      <c r="T21" s="3045"/>
      <c r="U21" s="3045"/>
    </row>
    <row r="22" spans="1:21">
      <c r="B22" s="3045" t="s">
        <v>3240</v>
      </c>
      <c r="C22" s="3047">
        <v>330.16</v>
      </c>
      <c r="D22" s="3039">
        <v>1</v>
      </c>
      <c r="E22" s="3039">
        <v>4.5</v>
      </c>
      <c r="G22" s="3039">
        <f>SUMPRODUCT(C22:C32*D22:D32/C33)</f>
        <v>0.5299897746263007</v>
      </c>
      <c r="I22" s="3059">
        <v>5</v>
      </c>
      <c r="J22" s="3059">
        <v>41</v>
      </c>
      <c r="K22" s="3059">
        <v>2</v>
      </c>
      <c r="L22" s="3059">
        <v>212</v>
      </c>
      <c r="M22" s="3059">
        <v>424.89</v>
      </c>
      <c r="N22" s="3153" t="s">
        <v>3315</v>
      </c>
      <c r="Q22" s="3066" t="s">
        <v>3271</v>
      </c>
      <c r="R22" s="3045">
        <f>SUM(M30:M39)</f>
        <v>8038.8899999999985</v>
      </c>
      <c r="S22" s="3045">
        <v>0.5</v>
      </c>
      <c r="T22" s="3074"/>
      <c r="U22" s="3074"/>
    </row>
    <row r="23" spans="1:21">
      <c r="B23" s="3045" t="s">
        <v>3241</v>
      </c>
      <c r="C23" s="3047">
        <v>5414.13</v>
      </c>
      <c r="D23" s="3039">
        <v>0.5</v>
      </c>
      <c r="E23" s="3039">
        <f>$E$22*D23</f>
        <v>2.25</v>
      </c>
      <c r="I23" s="3059">
        <v>6</v>
      </c>
      <c r="J23" s="3059">
        <v>41</v>
      </c>
      <c r="K23" s="3059">
        <v>2</v>
      </c>
      <c r="L23" s="3059">
        <v>213</v>
      </c>
      <c r="M23" s="3059">
        <v>447.14</v>
      </c>
      <c r="N23" s="3155"/>
      <c r="Q23" s="3066"/>
      <c r="R23" s="3045">
        <f>SUM(R19:R22)</f>
        <v>17329.439999999999</v>
      </c>
      <c r="S23" s="3074">
        <f>SUMPRODUCT(S19:S22,R19:R22)/SUM(R19:R22)</f>
        <v>0.55584286047327558</v>
      </c>
      <c r="T23" s="3045">
        <f>T19*S23</f>
        <v>2.7792143023663778</v>
      </c>
      <c r="U23" s="3075">
        <f ca="1">结果表!G20</f>
        <v>19039.853567108923</v>
      </c>
    </row>
    <row r="24" spans="1:21">
      <c r="B24" s="3045" t="s">
        <v>3242</v>
      </c>
      <c r="C24" s="3047">
        <v>7686.99</v>
      </c>
      <c r="D24" s="3039">
        <v>0.5</v>
      </c>
      <c r="E24" s="3039">
        <f t="shared" ref="E24:E32" si="0">$E$22*D24</f>
        <v>2.25</v>
      </c>
      <c r="I24" s="3055">
        <v>7</v>
      </c>
      <c r="J24" s="3055">
        <v>41</v>
      </c>
      <c r="K24" s="3055">
        <v>3</v>
      </c>
      <c r="L24" s="3055">
        <v>301</v>
      </c>
      <c r="M24" s="3055">
        <v>5414.13</v>
      </c>
      <c r="N24" s="3054" t="s">
        <v>3316</v>
      </c>
      <c r="Q24" s="3066"/>
      <c r="R24" s="3045"/>
      <c r="S24" s="3045"/>
      <c r="T24" s="3045"/>
      <c r="U24" s="3045"/>
    </row>
    <row r="25" spans="1:21">
      <c r="B25" s="3045" t="s">
        <v>3243</v>
      </c>
      <c r="C25" s="3047">
        <v>980.86</v>
      </c>
      <c r="D25" s="3039">
        <v>0.6</v>
      </c>
      <c r="E25" s="3039">
        <f t="shared" si="0"/>
        <v>2.6999999999999997</v>
      </c>
      <c r="G25" s="3039">
        <f>[2]结果表!$G$20/G22</f>
        <v>35134.640122311401</v>
      </c>
      <c r="I25" s="3060">
        <v>8</v>
      </c>
      <c r="J25" s="3060">
        <v>40</v>
      </c>
      <c r="K25" s="3060">
        <v>2</v>
      </c>
      <c r="L25" s="3060">
        <v>201</v>
      </c>
      <c r="M25" s="3060">
        <v>421.09</v>
      </c>
      <c r="N25" s="3054" t="s">
        <v>3314</v>
      </c>
    </row>
    <row r="26" spans="1:21">
      <c r="B26" s="3045" t="s">
        <v>3244</v>
      </c>
      <c r="C26" s="3047">
        <v>176.09</v>
      </c>
      <c r="D26" s="3039">
        <v>0.6</v>
      </c>
      <c r="E26" s="3039">
        <f t="shared" si="0"/>
        <v>2.6999999999999997</v>
      </c>
      <c r="I26" s="3058">
        <v>9</v>
      </c>
      <c r="J26" s="3058">
        <v>40</v>
      </c>
      <c r="K26" s="3058">
        <v>2</v>
      </c>
      <c r="L26" s="3058">
        <v>205</v>
      </c>
      <c r="M26" s="3058">
        <f>C26</f>
        <v>176.09</v>
      </c>
      <c r="N26" s="3153" t="s">
        <v>3317</v>
      </c>
    </row>
    <row r="27" spans="1:21">
      <c r="B27" s="3045" t="s">
        <v>3245</v>
      </c>
      <c r="C27" s="3047">
        <v>389.8</v>
      </c>
      <c r="D27" s="3039">
        <v>0.6</v>
      </c>
      <c r="E27" s="3039">
        <f t="shared" si="0"/>
        <v>2.6999999999999997</v>
      </c>
      <c r="G27" s="3039">
        <f>G22*[2]结果表!$G$19</f>
        <v>17101.710047641471</v>
      </c>
      <c r="I27" s="3058">
        <v>10</v>
      </c>
      <c r="J27" s="3058">
        <v>40</v>
      </c>
      <c r="K27" s="3058">
        <v>2</v>
      </c>
      <c r="L27" s="3058">
        <v>206</v>
      </c>
      <c r="M27" s="3058">
        <f t="shared" ref="M27:M29" si="1">C27</f>
        <v>389.8</v>
      </c>
      <c r="N27" s="3154"/>
    </row>
    <row r="28" spans="1:21">
      <c r="B28" s="3045" t="s">
        <v>3246</v>
      </c>
      <c r="C28" s="3047">
        <v>495.92</v>
      </c>
      <c r="D28" s="3039">
        <v>0.6</v>
      </c>
      <c r="E28" s="3039">
        <f t="shared" si="0"/>
        <v>2.6999999999999997</v>
      </c>
      <c r="I28" s="3058">
        <v>11</v>
      </c>
      <c r="J28" s="3058">
        <v>40</v>
      </c>
      <c r="K28" s="3058">
        <v>2</v>
      </c>
      <c r="L28" s="3058">
        <v>207</v>
      </c>
      <c r="M28" s="3058">
        <f t="shared" si="1"/>
        <v>495.92</v>
      </c>
      <c r="N28" s="3154"/>
    </row>
    <row r="29" spans="1:21">
      <c r="B29" s="3045" t="s">
        <v>3247</v>
      </c>
      <c r="C29" s="3047">
        <v>210.47</v>
      </c>
      <c r="D29" s="3039">
        <v>0.6</v>
      </c>
      <c r="E29" s="3039">
        <f t="shared" si="0"/>
        <v>2.6999999999999997</v>
      </c>
      <c r="I29" s="3058">
        <v>12</v>
      </c>
      <c r="J29" s="3058">
        <v>40</v>
      </c>
      <c r="K29" s="3058">
        <v>2</v>
      </c>
      <c r="L29" s="3058">
        <v>208</v>
      </c>
      <c r="M29" s="3058">
        <f t="shared" si="1"/>
        <v>210.47</v>
      </c>
      <c r="N29" s="3155"/>
    </row>
    <row r="30" spans="1:21">
      <c r="B30" s="3045" t="s">
        <v>3248</v>
      </c>
      <c r="C30" s="3047">
        <v>872.03</v>
      </c>
      <c r="D30" s="3039">
        <v>0.6</v>
      </c>
      <c r="E30" s="3039">
        <f t="shared" si="0"/>
        <v>2.6999999999999997</v>
      </c>
      <c r="I30" s="3056">
        <v>13</v>
      </c>
      <c r="J30" s="3056">
        <v>207</v>
      </c>
      <c r="K30" s="3056">
        <v>-1</v>
      </c>
      <c r="L30" s="3056">
        <v>-101</v>
      </c>
      <c r="M30" s="3056">
        <v>7686.99</v>
      </c>
      <c r="N30" s="3054" t="s">
        <v>3312</v>
      </c>
    </row>
    <row r="31" spans="1:21">
      <c r="B31" s="3045" t="s">
        <v>3249</v>
      </c>
      <c r="C31" s="3047">
        <v>421.09</v>
      </c>
      <c r="D31" s="3039">
        <v>0.6</v>
      </c>
      <c r="E31" s="3039">
        <f t="shared" si="0"/>
        <v>2.6999999999999997</v>
      </c>
      <c r="I31" s="3061">
        <v>14</v>
      </c>
      <c r="J31" s="3061">
        <v>207</v>
      </c>
      <c r="K31" s="3061">
        <v>-1</v>
      </c>
      <c r="L31" s="3061">
        <v>-102</v>
      </c>
      <c r="M31" s="3061">
        <v>26.76</v>
      </c>
      <c r="N31" s="3153" t="s">
        <v>3313</v>
      </c>
    </row>
    <row r="32" spans="1:21">
      <c r="B32" s="3045" t="s">
        <v>3250</v>
      </c>
      <c r="C32" s="3047">
        <v>351.90000000000003</v>
      </c>
      <c r="D32" s="3039">
        <v>0.5</v>
      </c>
      <c r="E32" s="3039">
        <f t="shared" si="0"/>
        <v>2.25</v>
      </c>
      <c r="I32" s="3061">
        <v>15</v>
      </c>
      <c r="J32" s="3061">
        <v>207</v>
      </c>
      <c r="K32" s="3061">
        <v>-1</v>
      </c>
      <c r="L32" s="3061">
        <v>-103</v>
      </c>
      <c r="M32" s="3061">
        <v>33.29</v>
      </c>
      <c r="N32" s="3154"/>
    </row>
    <row r="33" spans="2:14">
      <c r="B33" s="3045"/>
      <c r="C33" s="3047">
        <f>SUM(C22:C32)</f>
        <v>17329.439999999999</v>
      </c>
      <c r="E33" s="3039">
        <f>SUMPRODUCT(C22:C32*E22:E32/C33)</f>
        <v>2.3849539858183535</v>
      </c>
      <c r="I33" s="3061">
        <v>16</v>
      </c>
      <c r="J33" s="3061">
        <v>207</v>
      </c>
      <c r="K33" s="3061">
        <v>-1</v>
      </c>
      <c r="L33" s="3061">
        <v>-104</v>
      </c>
      <c r="M33" s="3061">
        <v>49.94</v>
      </c>
      <c r="N33" s="3154"/>
    </row>
    <row r="34" spans="2:14">
      <c r="I34" s="3061">
        <v>17</v>
      </c>
      <c r="J34" s="3061">
        <v>207</v>
      </c>
      <c r="K34" s="3061">
        <v>-1</v>
      </c>
      <c r="L34" s="3061">
        <v>-105</v>
      </c>
      <c r="M34" s="3061">
        <v>62.02</v>
      </c>
      <c r="N34" s="3154"/>
    </row>
    <row r="35" spans="2:14">
      <c r="I35" s="3061">
        <v>18</v>
      </c>
      <c r="J35" s="3061">
        <v>207</v>
      </c>
      <c r="K35" s="3061">
        <v>-1</v>
      </c>
      <c r="L35" s="3061">
        <v>-106</v>
      </c>
      <c r="M35" s="3061">
        <v>41.8</v>
      </c>
      <c r="N35" s="3154"/>
    </row>
    <row r="36" spans="2:14">
      <c r="I36" s="3061">
        <v>19</v>
      </c>
      <c r="J36" s="3061">
        <v>207</v>
      </c>
      <c r="K36" s="3061">
        <v>-1</v>
      </c>
      <c r="L36" s="3061">
        <v>-107</v>
      </c>
      <c r="M36" s="3061">
        <v>33.15</v>
      </c>
      <c r="N36" s="3154"/>
    </row>
    <row r="37" spans="2:14">
      <c r="I37" s="3061">
        <v>20</v>
      </c>
      <c r="J37" s="3061">
        <v>207</v>
      </c>
      <c r="K37" s="3061">
        <v>-1</v>
      </c>
      <c r="L37" s="3061">
        <v>-108</v>
      </c>
      <c r="M37" s="3061">
        <v>34.979999999999997</v>
      </c>
      <c r="N37" s="3154"/>
    </row>
    <row r="38" spans="2:14">
      <c r="I38" s="3061">
        <v>21</v>
      </c>
      <c r="J38" s="3061">
        <v>207</v>
      </c>
      <c r="K38" s="3061">
        <v>-1</v>
      </c>
      <c r="L38" s="3061">
        <v>-109</v>
      </c>
      <c r="M38" s="3061">
        <v>34.979999999999997</v>
      </c>
      <c r="N38" s="3154"/>
    </row>
    <row r="39" spans="2:14">
      <c r="I39" s="3061">
        <v>22</v>
      </c>
      <c r="J39" s="3061">
        <v>207</v>
      </c>
      <c r="K39" s="3061">
        <v>-1</v>
      </c>
      <c r="L39" s="3061">
        <v>-110</v>
      </c>
      <c r="M39" s="3061">
        <v>34.979999999999997</v>
      </c>
      <c r="N39" s="3155"/>
    </row>
    <row r="40" spans="2:14">
      <c r="I40" s="3150" t="s">
        <v>3264</v>
      </c>
      <c r="J40" s="3151"/>
      <c r="K40" s="3151"/>
      <c r="L40" s="3152"/>
      <c r="M40" s="3054">
        <f>SUM(M18:M39)</f>
        <v>17329.439999999999</v>
      </c>
      <c r="N40" s="3054"/>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1871</v>
      </c>
      <c r="AZ2" s="1264"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17329.439999999999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7"/>
      <c r="C5" s="1797"/>
      <c r="D5" s="1800"/>
      <c r="E5" s="16" t="s">
        <v>1</v>
      </c>
      <c r="F5" s="16">
        <f>SUM(F13:F587)</f>
        <v>0</v>
      </c>
      <c r="G5" s="16">
        <f>SUM(G13:G587)</f>
        <v>17329.439999999999</v>
      </c>
      <c r="H5" s="16">
        <f t="shared" ref="H5:AT5" si="0">SUM(H13:H656)</f>
        <v>17329.439999999999</v>
      </c>
      <c r="I5" s="16">
        <f t="shared" si="0"/>
        <v>9290.5499999999993</v>
      </c>
      <c r="J5" s="16">
        <f t="shared" si="0"/>
        <v>0</v>
      </c>
      <c r="K5" s="16">
        <f t="shared" si="0"/>
        <v>8038.8899999999985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17329.439999999999</v>
      </c>
      <c r="BA5" s="18">
        <f t="shared" si="1"/>
        <v>17329.439999999999</v>
      </c>
      <c r="BB5" s="18">
        <f t="shared" si="1"/>
        <v>9290.5499999999993</v>
      </c>
      <c r="BC5" s="18">
        <f t="shared" si="1"/>
        <v>8038.8899999999985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1884</v>
      </c>
      <c r="AV7" s="23" t="s">
        <v>1885</v>
      </c>
      <c r="AW7" s="2158" t="s">
        <v>1886</v>
      </c>
      <c r="AX7" s="23" t="s">
        <v>1879</v>
      </c>
      <c r="AY7" s="1797"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2"/>
      <c r="K8" s="1812"/>
      <c r="L8" s="1812"/>
      <c r="M8" s="1812"/>
      <c r="N8" s="1812"/>
      <c r="O8" s="1812"/>
      <c r="P8" s="1812"/>
      <c r="Q8" s="1812"/>
      <c r="R8" s="1812"/>
      <c r="S8" s="1812"/>
      <c r="T8" s="1812"/>
      <c r="U8" s="1812"/>
      <c r="V8" s="2178"/>
      <c r="W8" s="1812"/>
      <c r="X8" s="1812"/>
      <c r="Y8" s="1812"/>
      <c r="Z8" s="1812"/>
      <c r="AA8" s="2178"/>
      <c r="AB8" s="2179"/>
      <c r="AC8" s="977" t="s">
        <v>1890</v>
      </c>
      <c r="AD8" s="2180"/>
      <c r="AE8" s="2172"/>
      <c r="AF8" s="1812"/>
      <c r="AG8" s="1812"/>
      <c r="AH8" s="1812"/>
      <c r="AI8" s="1812"/>
      <c r="AJ8" s="1812"/>
      <c r="AK8" s="1812"/>
      <c r="AL8" s="1812"/>
      <c r="AM8" s="1812"/>
      <c r="AN8" s="1812"/>
      <c r="AO8" s="1812"/>
      <c r="AP8" s="1812"/>
      <c r="AQ8" s="1812"/>
      <c r="AR8" s="1812"/>
      <c r="AS8" s="1812"/>
      <c r="AT8" s="1286" t="s">
        <v>1891</v>
      </c>
      <c r="AU8" s="2174" t="s">
        <v>1892</v>
      </c>
      <c r="AV8" s="1286"/>
      <c r="AW8" s="2157"/>
      <c r="AX8" s="1286"/>
      <c r="AY8" s="2158"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1895</v>
      </c>
      <c r="I9" s="2932" t="s">
        <v>3051</v>
      </c>
      <c r="J9" s="977"/>
      <c r="K9" s="2932" t="s">
        <v>3052</v>
      </c>
      <c r="L9" s="977"/>
      <c r="M9" s="2183"/>
      <c r="N9" s="977"/>
      <c r="O9" s="2183"/>
      <c r="P9" s="977"/>
      <c r="Q9" s="2183"/>
      <c r="R9" s="977"/>
      <c r="S9" s="2183"/>
      <c r="T9" s="977"/>
      <c r="U9" s="2183"/>
      <c r="V9" s="977"/>
      <c r="W9" s="2183"/>
      <c r="X9" s="2184"/>
      <c r="Y9" s="2183"/>
      <c r="Z9" s="977"/>
      <c r="AA9" s="2183"/>
      <c r="AB9" s="977"/>
      <c r="AC9" s="2175"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5"/>
      <c r="AT9" s="2174"/>
      <c r="AU9" s="2174" t="s">
        <v>1898</v>
      </c>
      <c r="AV9" s="1286"/>
      <c r="AW9" s="2157"/>
      <c r="AX9" s="1286"/>
      <c r="AY9" s="28"/>
      <c r="AZ9" s="28" t="s">
        <v>1888</v>
      </c>
      <c r="BA9" s="2186" t="s">
        <v>1899</v>
      </c>
      <c r="BB9" s="2187"/>
      <c r="BC9" s="1332"/>
      <c r="BD9" s="1332"/>
      <c r="BE9" s="1332"/>
      <c r="BF9" s="1332"/>
      <c r="BG9" s="1332"/>
      <c r="BH9" s="1332"/>
      <c r="BI9" s="1332"/>
      <c r="BJ9" s="1332"/>
      <c r="BK9" s="2188"/>
      <c r="BL9" s="15" t="s">
        <v>1900</v>
      </c>
      <c r="BM9" s="1812"/>
      <c r="BN9" s="2177"/>
      <c r="BO9" s="1812"/>
      <c r="BP9" s="1812"/>
      <c r="BQ9" s="1812"/>
      <c r="BR9" s="1812"/>
      <c r="BS9" s="1812"/>
      <c r="BT9" s="26"/>
    </row>
    <row r="10" spans="1:72" s="2181" customFormat="1" ht="12.75">
      <c r="A10" s="2174"/>
      <c r="B10" s="2174"/>
      <c r="C10" s="2174"/>
      <c r="D10" s="2174"/>
      <c r="E10" s="2174"/>
      <c r="F10" s="2174"/>
      <c r="G10" s="1286"/>
      <c r="H10" s="28"/>
      <c r="I10" s="2932" t="s">
        <v>1375</v>
      </c>
      <c r="J10" s="977"/>
      <c r="K10" s="2934" t="s">
        <v>1375</v>
      </c>
      <c r="L10" s="977"/>
      <c r="M10" s="2189"/>
      <c r="N10" s="977"/>
      <c r="O10" s="2189"/>
      <c r="P10" s="977"/>
      <c r="Q10" s="2189"/>
      <c r="R10" s="977"/>
      <c r="S10" s="2189"/>
      <c r="T10" s="977"/>
      <c r="U10" s="2189"/>
      <c r="V10" s="977"/>
      <c r="W10" s="2189"/>
      <c r="X10" s="977"/>
      <c r="Y10" s="2189"/>
      <c r="Z10" s="977"/>
      <c r="AA10" s="2189"/>
      <c r="AB10" s="977"/>
      <c r="AC10" s="1286"/>
      <c r="AD10" s="15" t="s">
        <v>1901</v>
      </c>
      <c r="AE10" s="2190"/>
      <c r="AF10" s="15" t="s">
        <v>1901</v>
      </c>
      <c r="AG10" s="2190"/>
      <c r="AH10" s="15" t="s">
        <v>1902</v>
      </c>
      <c r="AI10" s="2190"/>
      <c r="AJ10" s="15" t="s">
        <v>1902</v>
      </c>
      <c r="AK10" s="2190"/>
      <c r="AL10" s="15" t="s">
        <v>1903</v>
      </c>
      <c r="AM10" s="1292"/>
      <c r="AN10" s="15" t="s">
        <v>1903</v>
      </c>
      <c r="AO10" s="1292"/>
      <c r="AP10" s="15" t="s">
        <v>1904</v>
      </c>
      <c r="AQ10" s="1292"/>
      <c r="AR10" s="15" t="s">
        <v>1904</v>
      </c>
      <c r="AS10" s="1292"/>
      <c r="AT10" s="2174"/>
      <c r="AU10" s="2174"/>
      <c r="AV10" s="1286"/>
      <c r="AW10" s="2157"/>
      <c r="AX10" s="1286"/>
      <c r="AY10" s="28"/>
      <c r="AZ10" s="28"/>
      <c r="BA10" s="2191" t="s">
        <v>1895</v>
      </c>
      <c r="BB10" s="2192" t="str">
        <f>I9</f>
        <v>地上</v>
      </c>
      <c r="BC10" s="29" t="str">
        <f>K9</f>
        <v>地下</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933" t="s">
        <v>3265</v>
      </c>
      <c r="J11" s="2195"/>
      <c r="K11" s="2933" t="s">
        <v>3265</v>
      </c>
      <c r="L11" s="2195"/>
      <c r="M11" s="2194"/>
      <c r="N11" s="2195"/>
      <c r="O11" s="2194"/>
      <c r="P11" s="2195"/>
      <c r="Q11" s="2194"/>
      <c r="R11" s="2195"/>
      <c r="S11" s="2194"/>
      <c r="T11" s="2195"/>
      <c r="U11" s="2194"/>
      <c r="V11" s="2195"/>
      <c r="W11" s="2194"/>
      <c r="X11" s="2195"/>
      <c r="Y11" s="2194"/>
      <c r="Z11" s="2195"/>
      <c r="AA11" s="2194"/>
      <c r="AB11" s="2195"/>
      <c r="AC11" s="1286"/>
      <c r="AD11" s="2196" t="s">
        <v>1905</v>
      </c>
      <c r="AE11" s="1813"/>
      <c r="AF11" s="2196" t="s">
        <v>1905</v>
      </c>
      <c r="AG11" s="1813"/>
      <c r="AH11" s="2196" t="s">
        <v>1906</v>
      </c>
      <c r="AI11" s="2197"/>
      <c r="AJ11" s="2196" t="s">
        <v>1906</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1"/>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独立商业</v>
      </c>
      <c r="BC12" s="2204" t="str">
        <f>K11</f>
        <v>独立商业</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2930">
        <f>面积表!J18</f>
        <v>41</v>
      </c>
      <c r="C13" s="2930">
        <f>面积表!L18</f>
        <v>101</v>
      </c>
      <c r="D13" s="2931" t="s">
        <v>3040</v>
      </c>
      <c r="E13" s="16">
        <f>IF($C$3="是",ROUND($A$3*G13/$B$3,2),ROUND($A$3*(G13-AT13)/$B$3,2))</f>
        <v>0</v>
      </c>
      <c r="F13" s="32"/>
      <c r="G13" s="33">
        <f>H13+AC13+AT13</f>
        <v>117.95</v>
      </c>
      <c r="H13" s="20">
        <f>SUMIF(I$12:AB$12,"总值",I13:AB13)</f>
        <v>117.95</v>
      </c>
      <c r="I13" s="2930">
        <f>面积表!M18</f>
        <v>117.95</v>
      </c>
      <c r="J13" s="2930"/>
      <c r="K13" s="2930"/>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935"/>
      <c r="AO13" s="2206"/>
      <c r="AP13" s="2206"/>
      <c r="AQ13" s="2206"/>
      <c r="AR13" s="2206"/>
      <c r="AS13" s="2206"/>
      <c r="AT13" s="2207"/>
      <c r="AU13" s="2208"/>
      <c r="AV13" s="11">
        <f t="shared" ref="AV13:AX17" si="6">A13</f>
        <v>0</v>
      </c>
      <c r="AW13" s="11">
        <f t="shared" si="6"/>
        <v>41</v>
      </c>
      <c r="AX13" s="11">
        <f t="shared" si="6"/>
        <v>101</v>
      </c>
      <c r="AY13" s="1800">
        <f>ROUND($AY$6*AZ13/$AZ$5,2)</f>
        <v>0</v>
      </c>
      <c r="AZ13" s="16">
        <f>BA13+BL13</f>
        <v>117.95</v>
      </c>
      <c r="BA13" s="16">
        <f>SUM(BB13:BK13)</f>
        <v>117.95</v>
      </c>
      <c r="BB13" s="16">
        <f>IF($D13="是",I13-J13,0)</f>
        <v>117.95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2930">
        <f>面积表!J19</f>
        <v>41</v>
      </c>
      <c r="C14" s="2930">
        <f>面积表!L19</f>
        <v>102</v>
      </c>
      <c r="D14" s="2931" t="s">
        <v>3040</v>
      </c>
      <c r="E14" s="16">
        <f>IF($C$3="是",ROUND($A$3*G14/$B$3,2),ROUND($A$3*(G14-AT14)/$B$3,2))</f>
        <v>0</v>
      </c>
      <c r="F14" s="32"/>
      <c r="G14" s="33">
        <f>H14+AC14+AT14</f>
        <v>212.21</v>
      </c>
      <c r="H14" s="20">
        <f>SUMIF(I$12:AB$12,"总值",I14:AB14)</f>
        <v>212.21</v>
      </c>
      <c r="I14" s="2930">
        <f>面积表!M19</f>
        <v>212.21</v>
      </c>
      <c r="J14" s="2930"/>
      <c r="K14" s="2930"/>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935"/>
      <c r="AO14" s="2206"/>
      <c r="AP14" s="2206"/>
      <c r="AQ14" s="2206"/>
      <c r="AR14" s="2206"/>
      <c r="AS14" s="2206"/>
      <c r="AT14" s="2207"/>
      <c r="AU14" s="2208"/>
      <c r="AV14" s="11">
        <f t="shared" si="6"/>
        <v>0</v>
      </c>
      <c r="AW14" s="11">
        <f t="shared" si="6"/>
        <v>41</v>
      </c>
      <c r="AX14" s="11">
        <f t="shared" si="6"/>
        <v>102</v>
      </c>
      <c r="AY14" s="1800">
        <f>ROUND($AY$6*AZ14/$AZ$5,2)</f>
        <v>0</v>
      </c>
      <c r="AZ14" s="16">
        <f>BA14+BL14</f>
        <v>212.21</v>
      </c>
      <c r="BA14" s="16">
        <f>SUM(BB14:BK14)</f>
        <v>212.21</v>
      </c>
      <c r="BB14" s="16">
        <f>IF($D14="是",I14-J14,0)</f>
        <v>212.21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2930">
        <f>面积表!J20</f>
        <v>41</v>
      </c>
      <c r="C15" s="2930">
        <f>面积表!L20</f>
        <v>201</v>
      </c>
      <c r="D15" s="2931" t="s">
        <v>3040</v>
      </c>
      <c r="E15" s="16">
        <f>IF($C$3="是",ROUND($A$3*G15/$B$3,2),ROUND($A$3*(G15-AT15)/$B$3,2))</f>
        <v>0</v>
      </c>
      <c r="F15" s="32"/>
      <c r="G15" s="33">
        <f>H15+AC15+AT15</f>
        <v>487.19</v>
      </c>
      <c r="H15" s="20">
        <f>SUMIF(I$12:AB$12,"总值",I15:AB15)</f>
        <v>487.19</v>
      </c>
      <c r="I15" s="2930">
        <f>面积表!M20</f>
        <v>487.19</v>
      </c>
      <c r="J15" s="2930"/>
      <c r="K15" s="2930"/>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935"/>
      <c r="AO15" s="2206"/>
      <c r="AP15" s="2206"/>
      <c r="AQ15" s="2206"/>
      <c r="AR15" s="2206"/>
      <c r="AS15" s="2206"/>
      <c r="AT15" s="2207"/>
      <c r="AU15" s="2208"/>
      <c r="AV15" s="11">
        <f t="shared" si="6"/>
        <v>0</v>
      </c>
      <c r="AW15" s="11">
        <f t="shared" si="6"/>
        <v>41</v>
      </c>
      <c r="AX15" s="11">
        <f t="shared" si="6"/>
        <v>201</v>
      </c>
      <c r="AY15" s="1800">
        <f>ROUND($AY$6*AZ15/$AZ$5,2)</f>
        <v>0</v>
      </c>
      <c r="AZ15" s="16">
        <f>BA15+BL15</f>
        <v>487.19</v>
      </c>
      <c r="BA15" s="16">
        <f>SUM(BB15:BK15)</f>
        <v>487.19</v>
      </c>
      <c r="BB15" s="16">
        <f>IF($D15="是",I15-J15,0)</f>
        <v>487.19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2930">
        <f>面积表!J21</f>
        <v>41</v>
      </c>
      <c r="C16" s="2930">
        <f>面积表!L21</f>
        <v>202</v>
      </c>
      <c r="D16" s="2931" t="s">
        <v>3040</v>
      </c>
      <c r="E16" s="16">
        <f>IF($C$3="是",ROUND($A$3*G16/$B$3,2),ROUND($A$3*(G16-AT16)/$B$3,2))</f>
        <v>0</v>
      </c>
      <c r="F16" s="32"/>
      <c r="G16" s="33">
        <f>H16+AC16+AT16</f>
        <v>493.67</v>
      </c>
      <c r="H16" s="20">
        <f>SUMIF(I$12:AB$12,"总值",I16:AB16)</f>
        <v>493.67</v>
      </c>
      <c r="I16" s="2930">
        <f>面积表!M21</f>
        <v>493.67</v>
      </c>
      <c r="J16" s="2930"/>
      <c r="K16" s="2930"/>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935"/>
      <c r="AO16" s="2206"/>
      <c r="AP16" s="2206"/>
      <c r="AQ16" s="2206"/>
      <c r="AR16" s="2206"/>
      <c r="AS16" s="2206"/>
      <c r="AT16" s="2935"/>
      <c r="AU16" s="2208"/>
      <c r="AV16" s="11">
        <f t="shared" si="6"/>
        <v>0</v>
      </c>
      <c r="AW16" s="11">
        <f t="shared" si="6"/>
        <v>41</v>
      </c>
      <c r="AX16" s="11">
        <f t="shared" si="6"/>
        <v>202</v>
      </c>
      <c r="AY16" s="1800">
        <f>ROUND($AY$6*AZ16/$AZ$5,2)</f>
        <v>0</v>
      </c>
      <c r="AZ16" s="16">
        <f>BA16+BL16</f>
        <v>493.67</v>
      </c>
      <c r="BA16" s="16">
        <f>SUM(BB16:BK16)</f>
        <v>493.67</v>
      </c>
      <c r="BB16" s="16">
        <f>IF($D16="是",I16-J16,0)</f>
        <v>493.67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2930">
        <f>面积表!J22</f>
        <v>41</v>
      </c>
      <c r="C17" s="2930">
        <f>面积表!L22</f>
        <v>212</v>
      </c>
      <c r="D17" s="2931" t="s">
        <v>3040</v>
      </c>
      <c r="E17" s="16">
        <f>IF($C$3="是",ROUND($A$3*G17/$B$3,2),ROUND($A$3*(G17-AT17)/$B$3,2))</f>
        <v>0</v>
      </c>
      <c r="F17" s="32"/>
      <c r="G17" s="33">
        <f>H17+AC17+AT17</f>
        <v>424.89</v>
      </c>
      <c r="H17" s="20">
        <f>SUMIF(I$12:AB$12,"总值",I17:AB17)</f>
        <v>424.89</v>
      </c>
      <c r="I17" s="2930">
        <f>面积表!M22</f>
        <v>424.89</v>
      </c>
      <c r="J17" s="2930"/>
      <c r="K17" s="2930"/>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935"/>
      <c r="AO17" s="2206"/>
      <c r="AP17" s="2206"/>
      <c r="AQ17" s="2206"/>
      <c r="AR17" s="2206"/>
      <c r="AS17" s="2206"/>
      <c r="AT17" s="2207"/>
      <c r="AU17" s="2208"/>
      <c r="AV17" s="11">
        <f t="shared" si="6"/>
        <v>0</v>
      </c>
      <c r="AW17" s="11">
        <f t="shared" si="6"/>
        <v>41</v>
      </c>
      <c r="AX17" s="11">
        <f t="shared" si="6"/>
        <v>212</v>
      </c>
      <c r="AY17" s="1800">
        <f>ROUND($AY$6*AZ17/$AZ$5,2)</f>
        <v>0</v>
      </c>
      <c r="AZ17" s="16">
        <f>BA17+BL17</f>
        <v>424.89</v>
      </c>
      <c r="BA17" s="16">
        <f>SUM(BB17:BK17)</f>
        <v>424.89</v>
      </c>
      <c r="BB17" s="16">
        <f>IF($D17="是",I17-J17,0)</f>
        <v>424.89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30">
        <f>面积表!J23</f>
        <v>41</v>
      </c>
      <c r="C18" s="2930">
        <f>面积表!L23</f>
        <v>213</v>
      </c>
      <c r="D18" s="2931" t="s">
        <v>3040</v>
      </c>
      <c r="E18" s="35">
        <f t="shared" ref="E18:E112" si="7">IF($C$3="是",ROUND($A$3*G18/$B$3,2),ROUND($A$3*(G18-AT18)/$B$3,2))</f>
        <v>0</v>
      </c>
      <c r="F18" s="36"/>
      <c r="G18" s="37">
        <f t="shared" ref="G18:G109" si="8">H18+AC18+AT18</f>
        <v>447.14</v>
      </c>
      <c r="H18" s="38">
        <f t="shared" ref="H18:H109" si="9">SUMIF(I$12:AB$12,"总值",I18:AB18)</f>
        <v>447.14</v>
      </c>
      <c r="I18" s="2930">
        <f>面积表!M23</f>
        <v>447.14</v>
      </c>
      <c r="J18" s="2930"/>
      <c r="K18" s="293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41</v>
      </c>
      <c r="AX18" s="1789">
        <f t="shared" ref="AX18:AX112" si="13">C18</f>
        <v>213</v>
      </c>
      <c r="AY18" s="42">
        <f t="shared" ref="AY18:AY109" si="14">ROUND($AY$6*AZ18/$AZ$5,2)</f>
        <v>0</v>
      </c>
      <c r="AZ18" s="35">
        <f t="shared" ref="AZ18:AZ109" si="15">BA18+BL18</f>
        <v>447.14</v>
      </c>
      <c r="BA18" s="35">
        <f t="shared" ref="BA18:BA109" si="16">SUM(BB18:BK18)</f>
        <v>447.14</v>
      </c>
      <c r="BB18" s="35">
        <f t="shared" ref="BB18:BB109" si="17">IF($D18="是",I18-J18,0)</f>
        <v>447.14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0">
        <f>面积表!J24</f>
        <v>41</v>
      </c>
      <c r="C19" s="2930">
        <f>面积表!L24</f>
        <v>301</v>
      </c>
      <c r="D19" s="2931" t="s">
        <v>3040</v>
      </c>
      <c r="E19" s="35">
        <f t="shared" si="7"/>
        <v>0</v>
      </c>
      <c r="F19" s="36"/>
      <c r="G19" s="37">
        <f t="shared" si="8"/>
        <v>5414.13</v>
      </c>
      <c r="H19" s="38">
        <f t="shared" si="9"/>
        <v>5414.13</v>
      </c>
      <c r="I19" s="2930">
        <f>面积表!M24</f>
        <v>5414.13</v>
      </c>
      <c r="J19" s="2930"/>
      <c r="K19" s="293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935"/>
      <c r="AO19" s="40"/>
      <c r="AP19" s="40"/>
      <c r="AQ19" s="40"/>
      <c r="AR19" s="40"/>
      <c r="AS19" s="40"/>
      <c r="AT19" s="41"/>
      <c r="AU19" s="2210"/>
      <c r="AV19" s="1789">
        <f t="shared" si="11"/>
        <v>0</v>
      </c>
      <c r="AW19" s="1789">
        <f t="shared" si="12"/>
        <v>41</v>
      </c>
      <c r="AX19" s="1789">
        <f t="shared" si="13"/>
        <v>301</v>
      </c>
      <c r="AY19" s="42">
        <f t="shared" si="14"/>
        <v>0</v>
      </c>
      <c r="AZ19" s="35">
        <f t="shared" si="15"/>
        <v>5414.13</v>
      </c>
      <c r="BA19" s="35">
        <f t="shared" si="16"/>
        <v>5414.13</v>
      </c>
      <c r="BB19" s="35">
        <f t="shared" si="17"/>
        <v>5414.13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30">
        <f>面积表!J25</f>
        <v>40</v>
      </c>
      <c r="C20" s="2930">
        <f>面积表!L25</f>
        <v>201</v>
      </c>
      <c r="D20" s="2931" t="s">
        <v>3040</v>
      </c>
      <c r="E20" s="35">
        <f t="shared" si="7"/>
        <v>0</v>
      </c>
      <c r="F20" s="36"/>
      <c r="G20" s="37">
        <f t="shared" si="8"/>
        <v>421.09</v>
      </c>
      <c r="H20" s="38">
        <f t="shared" si="9"/>
        <v>421.09</v>
      </c>
      <c r="I20" s="2930">
        <f>面积表!M25</f>
        <v>421.09</v>
      </c>
      <c r="J20" s="2930"/>
      <c r="K20" s="293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40</v>
      </c>
      <c r="AX20" s="1789">
        <f t="shared" si="13"/>
        <v>201</v>
      </c>
      <c r="AY20" s="42">
        <f t="shared" si="14"/>
        <v>0</v>
      </c>
      <c r="AZ20" s="35">
        <f t="shared" si="15"/>
        <v>421.09</v>
      </c>
      <c r="BA20" s="35">
        <f t="shared" si="16"/>
        <v>421.09</v>
      </c>
      <c r="BB20" s="35">
        <f t="shared" si="17"/>
        <v>421.09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0">
        <f>面积表!J26</f>
        <v>40</v>
      </c>
      <c r="C21" s="2930">
        <f>面积表!L26</f>
        <v>205</v>
      </c>
      <c r="D21" s="2931" t="s">
        <v>3040</v>
      </c>
      <c r="E21" s="35">
        <f t="shared" si="7"/>
        <v>0</v>
      </c>
      <c r="F21" s="36"/>
      <c r="G21" s="37">
        <f t="shared" si="8"/>
        <v>176.09</v>
      </c>
      <c r="H21" s="38">
        <f t="shared" si="9"/>
        <v>176.09</v>
      </c>
      <c r="I21" s="2930">
        <f>面积表!M26</f>
        <v>176.09</v>
      </c>
      <c r="J21" s="2930"/>
      <c r="K21" s="293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40</v>
      </c>
      <c r="AX21" s="1789">
        <f t="shared" si="13"/>
        <v>205</v>
      </c>
      <c r="AY21" s="42">
        <f t="shared" si="14"/>
        <v>0</v>
      </c>
      <c r="AZ21" s="35">
        <f t="shared" si="15"/>
        <v>176.09</v>
      </c>
      <c r="BA21" s="35">
        <f t="shared" si="16"/>
        <v>176.09</v>
      </c>
      <c r="BB21" s="35">
        <f t="shared" si="17"/>
        <v>176.09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0">
        <f>面积表!J27</f>
        <v>40</v>
      </c>
      <c r="C22" s="2930">
        <f>面积表!L27</f>
        <v>206</v>
      </c>
      <c r="D22" s="2931" t="s">
        <v>3040</v>
      </c>
      <c r="E22" s="35">
        <f t="shared" si="7"/>
        <v>0</v>
      </c>
      <c r="F22" s="36"/>
      <c r="G22" s="37">
        <f t="shared" si="8"/>
        <v>389.8</v>
      </c>
      <c r="H22" s="38">
        <f t="shared" si="9"/>
        <v>389.8</v>
      </c>
      <c r="I22" s="2930">
        <f>面积表!M27</f>
        <v>389.8</v>
      </c>
      <c r="J22" s="2930"/>
      <c r="K22" s="293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40</v>
      </c>
      <c r="AX22" s="1789">
        <f t="shared" si="13"/>
        <v>206</v>
      </c>
      <c r="AY22" s="42">
        <f t="shared" si="14"/>
        <v>0</v>
      </c>
      <c r="AZ22" s="35">
        <f t="shared" si="15"/>
        <v>389.8</v>
      </c>
      <c r="BA22" s="35">
        <f t="shared" si="16"/>
        <v>389.8</v>
      </c>
      <c r="BB22" s="35">
        <f t="shared" si="17"/>
        <v>389.8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0">
        <f>面积表!J28</f>
        <v>40</v>
      </c>
      <c r="C23" s="2930">
        <f>面积表!L28</f>
        <v>207</v>
      </c>
      <c r="D23" s="2931" t="s">
        <v>3040</v>
      </c>
      <c r="E23" s="35">
        <f t="shared" si="7"/>
        <v>0</v>
      </c>
      <c r="F23" s="36"/>
      <c r="G23" s="37">
        <f t="shared" si="8"/>
        <v>495.92</v>
      </c>
      <c r="H23" s="38">
        <f t="shared" si="9"/>
        <v>495.92</v>
      </c>
      <c r="I23" s="2930">
        <f>面积表!M28</f>
        <v>495.92</v>
      </c>
      <c r="J23" s="2930"/>
      <c r="K23" s="293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40</v>
      </c>
      <c r="AX23" s="1789">
        <f t="shared" si="13"/>
        <v>207</v>
      </c>
      <c r="AY23" s="42">
        <f t="shared" si="14"/>
        <v>0</v>
      </c>
      <c r="AZ23" s="35">
        <f t="shared" si="15"/>
        <v>495.92</v>
      </c>
      <c r="BA23" s="35">
        <f t="shared" si="16"/>
        <v>495.92</v>
      </c>
      <c r="BB23" s="35">
        <f t="shared" si="17"/>
        <v>495.92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0">
        <f>面积表!J29</f>
        <v>40</v>
      </c>
      <c r="C24" s="2930">
        <f>面积表!L29</f>
        <v>208</v>
      </c>
      <c r="D24" s="2931" t="s">
        <v>3040</v>
      </c>
      <c r="E24" s="35">
        <f t="shared" si="7"/>
        <v>0</v>
      </c>
      <c r="F24" s="36"/>
      <c r="G24" s="37">
        <f t="shared" si="8"/>
        <v>210.47</v>
      </c>
      <c r="H24" s="38">
        <f t="shared" si="9"/>
        <v>210.47</v>
      </c>
      <c r="I24" s="2930">
        <f>面积表!M29</f>
        <v>210.47</v>
      </c>
      <c r="J24" s="2930"/>
      <c r="K24" s="293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40</v>
      </c>
      <c r="AX24" s="1789">
        <f t="shared" si="13"/>
        <v>208</v>
      </c>
      <c r="AY24" s="42">
        <f t="shared" si="14"/>
        <v>0</v>
      </c>
      <c r="AZ24" s="35">
        <f t="shared" si="15"/>
        <v>210.47</v>
      </c>
      <c r="BA24" s="35">
        <f t="shared" si="16"/>
        <v>210.47</v>
      </c>
      <c r="BB24" s="35">
        <f t="shared" si="17"/>
        <v>210.47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0">
        <f>面积表!J30</f>
        <v>207</v>
      </c>
      <c r="C25" s="2930">
        <f>面积表!L30</f>
        <v>-101</v>
      </c>
      <c r="D25" s="2931" t="s">
        <v>3040</v>
      </c>
      <c r="E25" s="35">
        <f t="shared" si="7"/>
        <v>0</v>
      </c>
      <c r="F25" s="36"/>
      <c r="G25" s="37">
        <f t="shared" si="8"/>
        <v>7686.99</v>
      </c>
      <c r="H25" s="38">
        <f t="shared" si="9"/>
        <v>7686.99</v>
      </c>
      <c r="I25" s="2930"/>
      <c r="J25" s="2930"/>
      <c r="K25" s="2930">
        <f>面积表!M30</f>
        <v>7686.99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207</v>
      </c>
      <c r="AX25" s="1789">
        <f t="shared" si="13"/>
        <v>-101</v>
      </c>
      <c r="AY25" s="42">
        <f t="shared" si="14"/>
        <v>0</v>
      </c>
      <c r="AZ25" s="35">
        <f t="shared" si="15"/>
        <v>7686.99</v>
      </c>
      <c r="BA25" s="35">
        <f t="shared" si="16"/>
        <v>7686.99</v>
      </c>
      <c r="BB25" s="35">
        <f t="shared" si="17"/>
        <v>0</v>
      </c>
      <c r="BC25" s="35">
        <f t="shared" si="18"/>
        <v>7686.99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0">
        <f>面积表!J31</f>
        <v>207</v>
      </c>
      <c r="C26" s="2930">
        <f>面积表!L31</f>
        <v>-102</v>
      </c>
      <c r="D26" s="2931" t="s">
        <v>3040</v>
      </c>
      <c r="E26" s="35">
        <f t="shared" si="7"/>
        <v>0</v>
      </c>
      <c r="F26" s="36"/>
      <c r="G26" s="37">
        <f t="shared" si="8"/>
        <v>26.76</v>
      </c>
      <c r="H26" s="38">
        <f t="shared" si="9"/>
        <v>26.76</v>
      </c>
      <c r="I26" s="2930"/>
      <c r="J26" s="2930"/>
      <c r="K26" s="2930">
        <f>面积表!M31</f>
        <v>26.76</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207</v>
      </c>
      <c r="AX26" s="1789">
        <f t="shared" si="13"/>
        <v>-102</v>
      </c>
      <c r="AY26" s="42">
        <f t="shared" si="14"/>
        <v>0</v>
      </c>
      <c r="AZ26" s="35">
        <f t="shared" si="15"/>
        <v>26.76</v>
      </c>
      <c r="BA26" s="35">
        <f t="shared" si="16"/>
        <v>26.76</v>
      </c>
      <c r="BB26" s="35">
        <f t="shared" si="17"/>
        <v>0</v>
      </c>
      <c r="BC26" s="35">
        <f t="shared" si="18"/>
        <v>26.76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0">
        <f>面积表!J32</f>
        <v>207</v>
      </c>
      <c r="C27" s="2930">
        <f>面积表!L32</f>
        <v>-103</v>
      </c>
      <c r="D27" s="2931" t="s">
        <v>3040</v>
      </c>
      <c r="E27" s="35">
        <f t="shared" si="7"/>
        <v>0</v>
      </c>
      <c r="F27" s="36"/>
      <c r="G27" s="37">
        <f t="shared" si="8"/>
        <v>33.29</v>
      </c>
      <c r="H27" s="38">
        <f t="shared" si="9"/>
        <v>33.29</v>
      </c>
      <c r="I27" s="2930"/>
      <c r="J27" s="2930"/>
      <c r="K27" s="2930">
        <f>面积表!M32</f>
        <v>33.29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207</v>
      </c>
      <c r="AX27" s="1789">
        <f t="shared" si="13"/>
        <v>-103</v>
      </c>
      <c r="AY27" s="42">
        <f t="shared" si="14"/>
        <v>0</v>
      </c>
      <c r="AZ27" s="35">
        <f t="shared" si="15"/>
        <v>33.29</v>
      </c>
      <c r="BA27" s="35">
        <f t="shared" si="16"/>
        <v>33.29</v>
      </c>
      <c r="BB27" s="35">
        <f t="shared" si="17"/>
        <v>0</v>
      </c>
      <c r="BC27" s="35">
        <f t="shared" si="18"/>
        <v>33.29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0">
        <f>面积表!J33</f>
        <v>207</v>
      </c>
      <c r="C28" s="2930">
        <f>面积表!L33</f>
        <v>-104</v>
      </c>
      <c r="D28" s="2931" t="s">
        <v>3040</v>
      </c>
      <c r="E28" s="35">
        <f t="shared" si="7"/>
        <v>0</v>
      </c>
      <c r="F28" s="36"/>
      <c r="G28" s="37">
        <f t="shared" si="8"/>
        <v>49.94</v>
      </c>
      <c r="H28" s="38">
        <f t="shared" si="9"/>
        <v>49.94</v>
      </c>
      <c r="I28" s="2930"/>
      <c r="J28" s="2930"/>
      <c r="K28" s="2930">
        <f>面积表!M33</f>
        <v>49.94</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207</v>
      </c>
      <c r="AX28" s="1789">
        <f t="shared" si="13"/>
        <v>-104</v>
      </c>
      <c r="AY28" s="42">
        <f t="shared" si="14"/>
        <v>0</v>
      </c>
      <c r="AZ28" s="35">
        <f t="shared" si="15"/>
        <v>49.94</v>
      </c>
      <c r="BA28" s="35">
        <f t="shared" si="16"/>
        <v>49.94</v>
      </c>
      <c r="BB28" s="35">
        <f t="shared" si="17"/>
        <v>0</v>
      </c>
      <c r="BC28" s="35">
        <f t="shared" si="18"/>
        <v>49.94</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0">
        <f>面积表!J34</f>
        <v>207</v>
      </c>
      <c r="C29" s="2930">
        <f>面积表!L34</f>
        <v>-105</v>
      </c>
      <c r="D29" s="2931" t="s">
        <v>3040</v>
      </c>
      <c r="E29" s="35">
        <f t="shared" si="7"/>
        <v>0</v>
      </c>
      <c r="F29" s="36"/>
      <c r="G29" s="37">
        <f t="shared" si="8"/>
        <v>62.02</v>
      </c>
      <c r="H29" s="38">
        <f t="shared" si="9"/>
        <v>62.02</v>
      </c>
      <c r="I29" s="2930"/>
      <c r="J29" s="2930"/>
      <c r="K29" s="2930">
        <f>面积表!M34</f>
        <v>62.02</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207</v>
      </c>
      <c r="AX29" s="1789">
        <f t="shared" si="13"/>
        <v>-105</v>
      </c>
      <c r="AY29" s="42">
        <f t="shared" si="14"/>
        <v>0</v>
      </c>
      <c r="AZ29" s="35">
        <f t="shared" si="15"/>
        <v>62.02</v>
      </c>
      <c r="BA29" s="35">
        <f t="shared" si="16"/>
        <v>62.02</v>
      </c>
      <c r="BB29" s="35">
        <f t="shared" si="17"/>
        <v>0</v>
      </c>
      <c r="BC29" s="35">
        <f t="shared" si="18"/>
        <v>62.02</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0">
        <f>面积表!J35</f>
        <v>207</v>
      </c>
      <c r="C30" s="2930">
        <f>面积表!L35</f>
        <v>-106</v>
      </c>
      <c r="D30" s="2931" t="s">
        <v>3040</v>
      </c>
      <c r="E30" s="35">
        <f t="shared" si="7"/>
        <v>0</v>
      </c>
      <c r="F30" s="36"/>
      <c r="G30" s="37">
        <f t="shared" si="8"/>
        <v>41.8</v>
      </c>
      <c r="H30" s="38">
        <f t="shared" si="9"/>
        <v>41.8</v>
      </c>
      <c r="I30" s="2930"/>
      <c r="J30" s="2930"/>
      <c r="K30" s="2930">
        <f>面积表!M35</f>
        <v>41.8</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207</v>
      </c>
      <c r="AX30" s="1789">
        <f t="shared" si="13"/>
        <v>-106</v>
      </c>
      <c r="AY30" s="42">
        <f t="shared" si="14"/>
        <v>0</v>
      </c>
      <c r="AZ30" s="35">
        <f t="shared" si="15"/>
        <v>41.8</v>
      </c>
      <c r="BA30" s="35">
        <f t="shared" si="16"/>
        <v>41.8</v>
      </c>
      <c r="BB30" s="35">
        <f t="shared" si="17"/>
        <v>0</v>
      </c>
      <c r="BC30" s="35">
        <f t="shared" si="18"/>
        <v>41.8</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0">
        <f>面积表!J36</f>
        <v>207</v>
      </c>
      <c r="C31" s="2930">
        <f>面积表!L36</f>
        <v>-107</v>
      </c>
      <c r="D31" s="2931" t="s">
        <v>3040</v>
      </c>
      <c r="E31" s="35">
        <f t="shared" si="7"/>
        <v>0</v>
      </c>
      <c r="F31" s="36"/>
      <c r="G31" s="37">
        <f t="shared" si="8"/>
        <v>33.15</v>
      </c>
      <c r="H31" s="38">
        <f t="shared" si="9"/>
        <v>33.15</v>
      </c>
      <c r="I31" s="2930"/>
      <c r="J31" s="2930"/>
      <c r="K31" s="2930">
        <f>面积表!M36</f>
        <v>33.15</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207</v>
      </c>
      <c r="AX31" s="1789">
        <f t="shared" si="13"/>
        <v>-107</v>
      </c>
      <c r="AY31" s="42">
        <f t="shared" si="14"/>
        <v>0</v>
      </c>
      <c r="AZ31" s="35">
        <f t="shared" si="15"/>
        <v>33.15</v>
      </c>
      <c r="BA31" s="35">
        <f t="shared" si="16"/>
        <v>33.15</v>
      </c>
      <c r="BB31" s="35">
        <f t="shared" si="17"/>
        <v>0</v>
      </c>
      <c r="BC31" s="35">
        <f t="shared" si="18"/>
        <v>33.15</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0">
        <f>面积表!J37</f>
        <v>207</v>
      </c>
      <c r="C32" s="2930">
        <f>面积表!L37</f>
        <v>-108</v>
      </c>
      <c r="D32" s="2931" t="s">
        <v>3040</v>
      </c>
      <c r="E32" s="35">
        <f t="shared" si="7"/>
        <v>0</v>
      </c>
      <c r="F32" s="36"/>
      <c r="G32" s="37">
        <f t="shared" si="8"/>
        <v>34.979999999999997</v>
      </c>
      <c r="H32" s="38">
        <f t="shared" si="9"/>
        <v>34.979999999999997</v>
      </c>
      <c r="I32" s="2930"/>
      <c r="J32" s="2930"/>
      <c r="K32" s="2930">
        <f>面积表!M37</f>
        <v>34.979999999999997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207</v>
      </c>
      <c r="AX32" s="1789">
        <f t="shared" si="13"/>
        <v>-108</v>
      </c>
      <c r="AY32" s="42">
        <f t="shared" si="14"/>
        <v>0</v>
      </c>
      <c r="AZ32" s="35">
        <f t="shared" si="15"/>
        <v>34.979999999999997</v>
      </c>
      <c r="BA32" s="35">
        <f t="shared" si="16"/>
        <v>34.979999999999997</v>
      </c>
      <c r="BB32" s="35">
        <f t="shared" si="17"/>
        <v>0</v>
      </c>
      <c r="BC32" s="35">
        <f t="shared" si="18"/>
        <v>34.979999999999997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0">
        <f>面积表!J38</f>
        <v>207</v>
      </c>
      <c r="C33" s="2930">
        <f>面积表!L38</f>
        <v>-109</v>
      </c>
      <c r="D33" s="2931" t="s">
        <v>3040</v>
      </c>
      <c r="E33" s="35">
        <f t="shared" si="7"/>
        <v>0</v>
      </c>
      <c r="F33" s="36"/>
      <c r="G33" s="37">
        <f t="shared" si="8"/>
        <v>34.979999999999997</v>
      </c>
      <c r="H33" s="38">
        <f t="shared" si="9"/>
        <v>34.979999999999997</v>
      </c>
      <c r="I33" s="2930"/>
      <c r="J33" s="2930"/>
      <c r="K33" s="2930">
        <f>面积表!M38</f>
        <v>34.979999999999997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207</v>
      </c>
      <c r="AX33" s="1789">
        <f t="shared" si="13"/>
        <v>-109</v>
      </c>
      <c r="AY33" s="42">
        <f t="shared" si="14"/>
        <v>0</v>
      </c>
      <c r="AZ33" s="35">
        <f t="shared" si="15"/>
        <v>34.979999999999997</v>
      </c>
      <c r="BA33" s="35">
        <f t="shared" si="16"/>
        <v>34.979999999999997</v>
      </c>
      <c r="BB33" s="35">
        <f t="shared" si="17"/>
        <v>0</v>
      </c>
      <c r="BC33" s="35">
        <f t="shared" si="18"/>
        <v>34.979999999999997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0">
        <f>面积表!J39</f>
        <v>207</v>
      </c>
      <c r="C34" s="2930">
        <f>面积表!L39</f>
        <v>-110</v>
      </c>
      <c r="D34" s="2931" t="s">
        <v>3040</v>
      </c>
      <c r="E34" s="35">
        <f t="shared" si="7"/>
        <v>0</v>
      </c>
      <c r="F34" s="36"/>
      <c r="G34" s="37">
        <f t="shared" si="8"/>
        <v>34.979999999999997</v>
      </c>
      <c r="H34" s="38">
        <f t="shared" si="9"/>
        <v>34.979999999999997</v>
      </c>
      <c r="I34" s="2930"/>
      <c r="J34" s="2930"/>
      <c r="K34" s="2930">
        <f>面积表!M39</f>
        <v>34.979999999999997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207</v>
      </c>
      <c r="AX34" s="1789">
        <f t="shared" si="13"/>
        <v>-110</v>
      </c>
      <c r="AY34" s="42">
        <f t="shared" si="14"/>
        <v>0</v>
      </c>
      <c r="AZ34" s="35">
        <f t="shared" si="15"/>
        <v>34.979999999999997</v>
      </c>
      <c r="BA34" s="35">
        <f t="shared" si="16"/>
        <v>34.979999999999997</v>
      </c>
      <c r="BB34" s="35">
        <f t="shared" si="17"/>
        <v>0</v>
      </c>
      <c r="BC34" s="35">
        <f t="shared" si="18"/>
        <v>34.979999999999997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0"/>
      <c r="C35" s="2930"/>
      <c r="D35" s="2931"/>
      <c r="E35" s="35">
        <f t="shared" si="7"/>
        <v>0</v>
      </c>
      <c r="F35" s="36"/>
      <c r="G35" s="37">
        <f t="shared" si="8"/>
        <v>0</v>
      </c>
      <c r="H35" s="38">
        <f t="shared" si="9"/>
        <v>0</v>
      </c>
      <c r="I35" s="2930"/>
      <c r="J35" s="2930"/>
      <c r="K35" s="293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0"/>
      <c r="C36" s="2930"/>
      <c r="D36" s="2931"/>
      <c r="E36" s="35">
        <f t="shared" si="7"/>
        <v>0</v>
      </c>
      <c r="F36" s="36"/>
      <c r="G36" s="37">
        <f t="shared" si="8"/>
        <v>0</v>
      </c>
      <c r="H36" s="38">
        <f t="shared" si="9"/>
        <v>0</v>
      </c>
      <c r="I36" s="2930"/>
      <c r="J36" s="2930"/>
      <c r="K36" s="293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0"/>
      <c r="C37" s="2930"/>
      <c r="D37" s="2931"/>
      <c r="E37" s="35">
        <f t="shared" si="7"/>
        <v>0</v>
      </c>
      <c r="F37" s="36"/>
      <c r="G37" s="37">
        <f t="shared" si="8"/>
        <v>0</v>
      </c>
      <c r="H37" s="38">
        <f t="shared" si="9"/>
        <v>0</v>
      </c>
      <c r="I37" s="2930"/>
      <c r="J37" s="2930"/>
      <c r="K37" s="293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0"/>
      <c r="C38" s="2930"/>
      <c r="D38" s="2931"/>
      <c r="E38" s="35">
        <f t="shared" si="7"/>
        <v>0</v>
      </c>
      <c r="F38" s="36"/>
      <c r="G38" s="37">
        <f t="shared" si="8"/>
        <v>0</v>
      </c>
      <c r="H38" s="38">
        <f t="shared" si="9"/>
        <v>0</v>
      </c>
      <c r="I38" s="2930"/>
      <c r="J38" s="2930"/>
      <c r="K38" s="293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167" t="s">
        <v>1935</v>
      </c>
      <c r="B2" s="3167"/>
      <c r="C2" s="3167"/>
      <c r="D2" s="963" t="s">
        <v>1911</v>
      </c>
      <c r="E2" s="2218" t="s">
        <v>1912</v>
      </c>
      <c r="F2" s="1386"/>
      <c r="G2" s="2219"/>
      <c r="H2" s="2220"/>
      <c r="I2" s="2221" t="s">
        <v>1936</v>
      </c>
      <c r="J2" s="1386"/>
      <c r="K2" s="1386"/>
      <c r="L2" s="1386"/>
      <c r="M2" s="1386"/>
      <c r="N2" s="1421"/>
      <c r="O2" s="1386"/>
      <c r="P2" s="1386"/>
    </row>
    <row r="3" spans="1:16" ht="15.75" thickBot="1">
      <c r="A3" s="3168" t="s">
        <v>1909</v>
      </c>
      <c r="B3" s="3168"/>
      <c r="C3" s="3168"/>
      <c r="D3" s="46">
        <f>'数据-基础表'!AY6</f>
        <v>0</v>
      </c>
      <c r="E3" s="46">
        <f>'数据-基础表'!AZ5</f>
        <v>17329.439999999999</v>
      </c>
      <c r="F3" s="1386"/>
      <c r="G3" s="1393"/>
      <c r="H3" s="1241" t="s">
        <v>1910</v>
      </c>
      <c r="I3" s="55" t="e">
        <f>ROUND('数据-基础表'!B3/'数据-基础表'!A3,2)</f>
        <v>#DIV/0!</v>
      </c>
      <c r="J3" s="1386"/>
      <c r="K3" s="1386"/>
      <c r="L3" s="1386"/>
      <c r="M3" s="1386"/>
      <c r="N3" s="1421"/>
      <c r="O3" s="1386"/>
      <c r="P3" s="1386"/>
    </row>
    <row r="4" spans="1:16" ht="15">
      <c r="A4" s="3169"/>
      <c r="B4" s="3170"/>
      <c r="C4" s="3171"/>
      <c r="D4" s="2222" t="s">
        <v>1911</v>
      </c>
      <c r="E4" s="2223" t="s">
        <v>1912</v>
      </c>
      <c r="F4" s="1386"/>
      <c r="G4" s="2224" t="s">
        <v>1937</v>
      </c>
      <c r="H4" s="1241" t="s">
        <v>1917</v>
      </c>
      <c r="I4" s="55" t="e">
        <f>ROUND(SUMIF('数据-基础表'!I9:AS9,"地上",'数据-基础表'!I5:AS5)/'数据-基础表'!A3,2)</f>
        <v>#DIV/0!</v>
      </c>
      <c r="J4" s="1386"/>
      <c r="K4" s="1386"/>
      <c r="L4" s="1386"/>
      <c r="M4" s="1386"/>
      <c r="N4" s="1421"/>
      <c r="O4" s="1386"/>
      <c r="P4" s="1386"/>
    </row>
    <row r="5" spans="1:16">
      <c r="A5" s="47" t="s">
        <v>1913</v>
      </c>
      <c r="B5" s="3172" t="s">
        <v>1914</v>
      </c>
      <c r="C5" s="3172"/>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5"/>
      <c r="B6" s="3172" t="s">
        <v>1915</v>
      </c>
      <c r="C6" s="3172"/>
      <c r="D6" s="48">
        <f>ROUND($D$3*E6/$E$3,2)</f>
        <v>0</v>
      </c>
      <c r="E6" s="49">
        <f>E3-E5</f>
        <v>17329.439999999999</v>
      </c>
      <c r="F6" s="1386"/>
      <c r="G6" s="2226" t="s">
        <v>1916</v>
      </c>
      <c r="H6" s="1393" t="s">
        <v>1917</v>
      </c>
      <c r="I6" s="935" t="e">
        <f>ROUND(F31/D31,2)</f>
        <v>#DIV/0!</v>
      </c>
      <c r="J6" s="1386"/>
      <c r="K6" s="1386"/>
      <c r="L6" s="1386"/>
      <c r="M6" s="1386"/>
      <c r="N6" s="1386"/>
      <c r="O6" s="1386"/>
      <c r="P6" s="1386"/>
    </row>
    <row r="7" spans="1:16" ht="15">
      <c r="A7" s="3164"/>
      <c r="B7" s="3165"/>
      <c r="C7" s="3166"/>
      <c r="D7" s="2222" t="s">
        <v>1911</v>
      </c>
      <c r="E7" s="2227" t="s">
        <v>1918</v>
      </c>
      <c r="F7" s="1386"/>
      <c r="G7" s="2219" t="s">
        <v>1919</v>
      </c>
      <c r="H7" s="63"/>
      <c r="I7" s="419" t="e">
        <f>I6</f>
        <v>#DIV/0!</v>
      </c>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9290.5499999999993</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0</v>
      </c>
      <c r="E10" s="51">
        <f>SUMPRODUCT(('数据-基础表'!BB10:BK10="地下")*('数据-基础表'!BB11:BK11="商业")*('数据-基础表'!BB5:BK5))</f>
        <v>8038.8899999999985</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0</v>
      </c>
      <c r="E13" s="51">
        <f>SUMPRODUCT(('数据-基础表'!BB10:BK10="地下")*('数据-基础表'!BB11:BK11="车库")*('数据-基础表'!BB5:BK5))</f>
        <v>0</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0</v>
      </c>
      <c r="E16" s="53">
        <f>SUM(E8:E15)</f>
        <v>17329.439999999999</v>
      </c>
      <c r="F16" s="1386"/>
      <c r="G16" s="2228"/>
      <c r="H16" s="2231" t="s">
        <v>1939</v>
      </c>
      <c r="I16" s="2232"/>
      <c r="J16" s="1386"/>
      <c r="K16" s="3161" t="s">
        <v>1939</v>
      </c>
      <c r="L16" s="3162"/>
      <c r="M16" s="3162"/>
      <c r="N16" s="3162"/>
      <c r="O16" s="3162"/>
      <c r="P16" s="3163"/>
    </row>
    <row r="17" spans="1:19" ht="15">
      <c r="A17" s="2233" t="s">
        <v>1940</v>
      </c>
      <c r="B17" s="2234" t="s">
        <v>1941</v>
      </c>
      <c r="C17" s="2235" t="s">
        <v>1942</v>
      </c>
      <c r="D17" s="2236" t="s">
        <v>1930</v>
      </c>
      <c r="E17" s="2237" t="s">
        <v>1931</v>
      </c>
      <c r="F17" s="2238"/>
      <c r="G17" s="2239"/>
      <c r="H17" s="2240" t="s">
        <v>1943</v>
      </c>
      <c r="I17" s="2241" t="s">
        <v>1928</v>
      </c>
      <c r="J17" s="1386"/>
      <c r="K17" s="3158" t="s">
        <v>1944</v>
      </c>
      <c r="L17" s="3159"/>
      <c r="M17" s="3160"/>
      <c r="N17" s="3158" t="s">
        <v>1945</v>
      </c>
      <c r="O17" s="3159"/>
      <c r="P17" s="3160"/>
      <c r="R17" s="2219" t="s">
        <v>1946</v>
      </c>
      <c r="S17" s="63"/>
    </row>
    <row r="18" spans="1:19" ht="15">
      <c r="A18" s="2229"/>
      <c r="B18" s="2242"/>
      <c r="C18" s="2243"/>
      <c r="D18" s="2244"/>
      <c r="E18" s="2245" t="s">
        <v>1947</v>
      </c>
      <c r="F18" s="2246" t="s">
        <v>1948</v>
      </c>
      <c r="G18" s="2247" t="s">
        <v>1949</v>
      </c>
      <c r="H18" s="1256" t="s">
        <v>1950</v>
      </c>
      <c r="I18" s="2248" t="s">
        <v>1951</v>
      </c>
      <c r="J18" s="1386"/>
      <c r="K18" s="1256" t="s">
        <v>1952</v>
      </c>
      <c r="L18" s="2249" t="s">
        <v>1953</v>
      </c>
      <c r="M18" s="1042" t="s">
        <v>1954</v>
      </c>
      <c r="N18" s="1256" t="s">
        <v>1952</v>
      </c>
      <c r="O18" s="2249" t="s">
        <v>1953</v>
      </c>
      <c r="P18" s="1042" t="s">
        <v>1954</v>
      </c>
      <c r="R18" s="1241" t="s">
        <v>1955</v>
      </c>
      <c r="S18" s="1241" t="s">
        <v>1956</v>
      </c>
    </row>
    <row r="19" spans="1:19">
      <c r="A19" s="2250"/>
      <c r="B19" s="50" t="s">
        <v>1929</v>
      </c>
      <c r="C19" s="2936" t="s">
        <v>3267</v>
      </c>
      <c r="D19" s="48">
        <f>ROUND($D$3*E19/$E$3,2)</f>
        <v>0</v>
      </c>
      <c r="E19" s="56">
        <f t="shared" ref="E19:E26" si="1">SUM(F19:G19)</f>
        <v>17329.439999999999</v>
      </c>
      <c r="F19" s="57">
        <f>'数据-基础表'!I5</f>
        <v>9290.5499999999993</v>
      </c>
      <c r="G19" s="57">
        <f>'数据-基础表'!K5</f>
        <v>8038.8899999999985</v>
      </c>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0</v>
      </c>
      <c r="S19" s="1242">
        <f t="shared" si="5"/>
        <v>17329.439999999999</v>
      </c>
    </row>
    <row r="20" spans="1:19">
      <c r="A20" s="2253"/>
      <c r="B20" s="50" t="s">
        <v>1957</v>
      </c>
      <c r="C20" s="2936"/>
      <c r="D20" s="48">
        <f t="shared" ref="D20:D26" si="6">ROUND($D$3*E20/$E$3,2)</f>
        <v>0</v>
      </c>
      <c r="E20" s="56">
        <f t="shared" si="1"/>
        <v>0</v>
      </c>
      <c r="F20" s="57"/>
      <c r="G20" s="57"/>
      <c r="H20" s="721">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0</v>
      </c>
      <c r="S20" s="1242">
        <f t="shared" si="5"/>
        <v>0</v>
      </c>
    </row>
    <row r="21" spans="1:19">
      <c r="A21" s="2253"/>
      <c r="B21" s="50" t="s">
        <v>1957</v>
      </c>
      <c r="C21" s="2936"/>
      <c r="D21" s="48">
        <f t="shared" si="6"/>
        <v>0</v>
      </c>
      <c r="E21" s="56">
        <f t="shared" si="1"/>
        <v>0</v>
      </c>
      <c r="F21" s="57"/>
      <c r="G21" s="57"/>
      <c r="H21" s="721">
        <f t="shared" si="7"/>
        <v>0</v>
      </c>
      <c r="I21" s="51">
        <f t="shared" si="2"/>
        <v>0</v>
      </c>
      <c r="J21" s="1386"/>
      <c r="K21" s="1385">
        <f t="shared" si="3"/>
        <v>0</v>
      </c>
      <c r="L21" s="1241">
        <f t="shared" si="4"/>
        <v>0</v>
      </c>
      <c r="M21" s="1397">
        <f t="shared" si="8"/>
        <v>0</v>
      </c>
      <c r="N21" s="2251"/>
      <c r="O21" s="2252"/>
      <c r="P21" s="1397">
        <f t="shared" si="9"/>
        <v>0</v>
      </c>
      <c r="R21" s="1241">
        <f t="shared" si="5"/>
        <v>0</v>
      </c>
      <c r="S21" s="1242">
        <f t="shared" si="5"/>
        <v>0</v>
      </c>
    </row>
    <row r="22" spans="1:19">
      <c r="A22" s="2253"/>
      <c r="B22" s="50" t="s">
        <v>1957</v>
      </c>
      <c r="C22" s="59"/>
      <c r="D22" s="48">
        <f t="shared" si="6"/>
        <v>0</v>
      </c>
      <c r="E22" s="56">
        <f t="shared" si="1"/>
        <v>0</v>
      </c>
      <c r="F22" s="60"/>
      <c r="G22" s="61"/>
      <c r="H22" s="721">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59"/>
      <c r="D23" s="48">
        <f>ROUND($D$3*E23/$E$3,2)</f>
        <v>0</v>
      </c>
      <c r="E23" s="56">
        <f>SUM(F23:G23)</f>
        <v>0</v>
      </c>
      <c r="F23" s="60"/>
      <c r="G23" s="61"/>
      <c r="H23" s="721">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59"/>
      <c r="D24" s="48">
        <f>ROUND($D$3*E24/$E$3,2)</f>
        <v>0</v>
      </c>
      <c r="E24" s="56">
        <f>SUM(F24:G24)</f>
        <v>0</v>
      </c>
      <c r="F24" s="60"/>
      <c r="G24" s="61"/>
      <c r="H24" s="721">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15.75" thickBot="1">
      <c r="A27" s="2253"/>
      <c r="B27" s="48"/>
      <c r="C27" s="2256" t="s">
        <v>1958</v>
      </c>
      <c r="D27" s="1387">
        <f>SUM(D19:D26)</f>
        <v>0</v>
      </c>
      <c r="E27" s="1388">
        <f>IF(SUM(E19:E26)='数据-基础表'!BA5,SUM(E19:E26),IF(F27="地上面积有误","面积有误","地下面积有误"))</f>
        <v>17329.439999999999</v>
      </c>
      <c r="F27" s="1387">
        <f>IF(SUM(F19:F26)=E8,SUM(F19:F26),"地上面积有误")</f>
        <v>9290.5499999999993</v>
      </c>
      <c r="G27" s="1389">
        <f>SUM(G19:G26)</f>
        <v>8038.8899999999985</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17329.439999999999</v>
      </c>
    </row>
    <row r="28" spans="1:19">
      <c r="A28" s="2253"/>
      <c r="B28" s="50" t="s">
        <v>1959</v>
      </c>
      <c r="C28" s="1253" t="s">
        <v>1960</v>
      </c>
      <c r="D28" s="48">
        <f>ROUND($D$3*E28/$E$3,2)</f>
        <v>0</v>
      </c>
      <c r="E28" s="56">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3"/>
      <c r="B29" s="50" t="s">
        <v>1959</v>
      </c>
      <c r="C29" s="2257" t="s">
        <v>1961</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3" t="s">
        <v>1962</v>
      </c>
      <c r="D31" s="727">
        <f>D27+D30</f>
        <v>0</v>
      </c>
      <c r="E31" s="727">
        <f>E27+E30</f>
        <v>17329.439999999999</v>
      </c>
      <c r="F31" s="728">
        <f>F27+F30</f>
        <v>9290.5499999999993</v>
      </c>
      <c r="G31" s="729">
        <f>G27+G30</f>
        <v>8038.8899999999985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4" customWidth="1"/>
    <col min="2" max="2" width="12" style="2265" customWidth="1"/>
    <col min="3" max="3" width="10.75" style="2265" customWidth="1"/>
    <col min="4" max="4" width="9.125" style="2335"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5" width="6.75" style="2265" customWidth="1"/>
    <col min="26" max="26" width="10.125" style="2265" customWidth="1"/>
    <col min="27" max="29" width="6.75" style="2265" customWidth="1"/>
    <col min="30" max="30" width="9.375" style="2265" customWidth="1"/>
    <col min="31" max="31" width="8" style="2265" customWidth="1"/>
    <col min="32" max="33" width="7.25" style="2265" customWidth="1"/>
    <col min="34" max="34" width="10.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0">
        <f>项目基本情况!D3</f>
        <v>43185</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3303</v>
      </c>
      <c r="O5" s="2286" t="s">
        <v>1985</v>
      </c>
      <c r="P5" s="2289" t="s">
        <v>1986</v>
      </c>
      <c r="Q5" s="68" t="s">
        <v>1987</v>
      </c>
      <c r="R5" s="2290" t="s">
        <v>1988</v>
      </c>
      <c r="S5" s="2291" t="s">
        <v>1989</v>
      </c>
      <c r="T5" s="2292" t="s">
        <v>1990</v>
      </c>
      <c r="U5" s="1261" t="s">
        <v>1991</v>
      </c>
      <c r="V5" s="1262" t="s">
        <v>1992</v>
      </c>
      <c r="W5" s="1262" t="s">
        <v>1993</v>
      </c>
      <c r="X5" s="70"/>
      <c r="Y5" s="69" t="s">
        <v>1994</v>
      </c>
      <c r="Z5" s="2293" t="s">
        <v>1991</v>
      </c>
      <c r="AA5" s="1262" t="s">
        <v>1992</v>
      </c>
      <c r="AB5" s="1262" t="s">
        <v>1993</v>
      </c>
      <c r="AC5" s="70"/>
      <c r="AD5" s="70" t="s">
        <v>1994</v>
      </c>
      <c r="AE5" s="1261" t="s">
        <v>1995</v>
      </c>
      <c r="AF5" s="1262" t="s">
        <v>1996</v>
      </c>
      <c r="AG5" s="69" t="s">
        <v>1997</v>
      </c>
      <c r="AH5" s="1261" t="s">
        <v>1998</v>
      </c>
      <c r="AI5" s="2293" t="s">
        <v>1999</v>
      </c>
      <c r="AJ5" s="2293" t="s">
        <v>2000</v>
      </c>
      <c r="AK5" s="1262" t="s">
        <v>2001</v>
      </c>
      <c r="AL5" s="1262" t="s">
        <v>2002</v>
      </c>
      <c r="AM5" s="69" t="s">
        <v>2003</v>
      </c>
      <c r="AN5" s="2294" t="s">
        <v>2004</v>
      </c>
      <c r="AO5" s="2066" t="s">
        <v>2005</v>
      </c>
      <c r="AP5" s="1243" t="s">
        <v>2006</v>
      </c>
      <c r="AQ5" s="2295" t="s">
        <v>2007</v>
      </c>
      <c r="AR5" s="2295"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6" t="str">
        <f>'数据-汇总表'!C19</f>
        <v>商业用房</v>
      </c>
      <c r="B6" s="2297" t="str">
        <f>IF(A6=0,"","经营性")</f>
        <v>经营性</v>
      </c>
      <c r="C6" s="2298" t="s">
        <v>1375</v>
      </c>
      <c r="D6" s="1047">
        <f>SUMIF(项目基本情况!D$12:I$12,C6,项目基本情况!D$14:I$14)</f>
        <v>40</v>
      </c>
      <c r="E6" s="1044">
        <f>IF(B6="","",SUMIF(项目基本情况!D$12:I$12,C6,项目基本情况!D$13:I$13))</f>
        <v>55908</v>
      </c>
      <c r="F6" s="71">
        <f>SUMIF(项目基本情况!D$12:I$12,C6,项目基本情况!D$15:I$15)</f>
        <v>34.85</v>
      </c>
      <c r="G6" s="72">
        <f>IF(ISERROR(ROUND(POWER(1+H6,D6-F6)*(POWER(1+H6,F6)-1)/(POWER(1+H6,D6)-1),3)),0,ROUND(POWER(1+H6,D6-F6)*(POWER(1+H6,F6)-1)/(POWER(1+H6,D6)-1),3))</f>
        <v>0.94699999999999995</v>
      </c>
      <c r="H6" s="800">
        <v>4.4999999999999998E-2</v>
      </c>
      <c r="I6" s="800">
        <v>5.5E-2</v>
      </c>
      <c r="J6" s="73">
        <v>8.5000000000000006E-2</v>
      </c>
      <c r="K6" s="1245">
        <f>SUMIF('数据-汇总表'!C$19:C$33,A6,'数据-汇总表'!E$19:E$33)</f>
        <v>17329.439999999999</v>
      </c>
      <c r="L6" s="801">
        <v>3500</v>
      </c>
      <c r="M6" s="74">
        <f t="shared" ref="M6:M14" si="0">ROUND(K6*L6/10000,0)</f>
        <v>6065</v>
      </c>
      <c r="N6" s="91">
        <f>ROUND(1-(1-0%)*(2018-2015)/60,2)</f>
        <v>0.95</v>
      </c>
      <c r="O6" s="74" t="str">
        <f>IF($N$5="成新度","——",ROUND(M6*N6,0))</f>
        <v>——</v>
      </c>
      <c r="P6" s="75" t="str">
        <f>IF($N$5="成新度","——",M6-O6)</f>
        <v>——</v>
      </c>
      <c r="Q6" s="802">
        <v>0.15</v>
      </c>
      <c r="R6" s="76">
        <f ca="1">SUMIF('数据-汇总表'!C$19:C$33,A6,'数据-汇总表'!R$19:R$27)</f>
        <v>0</v>
      </c>
      <c r="S6" s="54">
        <f>IF('数据-汇总表'!$I$17="按面积比例",SUMIF('数据-汇总表'!C$19:C$33,A6,'数据-汇总表'!K$19:K$33),SUMIF('数据-汇总表'!C$19:C$33,A6,'数据-汇总表'!N$19:N$33))</f>
        <v>0</v>
      </c>
      <c r="T6" s="1437">
        <f>ROUND($L$14*S6/10000,0)</f>
        <v>0</v>
      </c>
      <c r="U6" s="3062">
        <v>2.4</v>
      </c>
      <c r="V6" s="3063">
        <v>0</v>
      </c>
      <c r="W6" s="78">
        <v>0</v>
      </c>
      <c r="X6" s="1255"/>
      <c r="Y6" s="804">
        <f>N6</f>
        <v>0.95</v>
      </c>
      <c r="Z6" s="80">
        <f>ROUND(2.4*(1+AA6)^AF6,2)</f>
        <v>3.94</v>
      </c>
      <c r="AA6" s="73">
        <v>0.03</v>
      </c>
      <c r="AB6" s="73">
        <v>0.05</v>
      </c>
      <c r="AC6" s="1255"/>
      <c r="AD6" s="91">
        <f>(AD10+AD11)/2</f>
        <v>0.74</v>
      </c>
      <c r="AE6" s="1256">
        <f ca="1">IF(AN6="",0,SUMIF(INDIRECT("'"&amp;AN6&amp;"'"&amp;"!E:E"),$AE$5,INDIRECT("'"&amp;AN6&amp;"'"&amp;"!F:F")))</f>
        <v>34.85</v>
      </c>
      <c r="AF6" s="1798">
        <f>项目基本情况!I15</f>
        <v>16.77</v>
      </c>
      <c r="AG6" s="146">
        <f ca="1">IF(AF6="",0,AE6-AF6)</f>
        <v>18.080000000000002</v>
      </c>
      <c r="AH6" s="2957">
        <f>K6</f>
        <v>17329.439999999999</v>
      </c>
      <c r="AI6" s="84">
        <v>365</v>
      </c>
      <c r="AJ6" s="85"/>
      <c r="AK6" s="86">
        <v>1.4999999999999999E-2</v>
      </c>
      <c r="AL6" s="87">
        <v>1.5E-3</v>
      </c>
      <c r="AM6" s="88">
        <v>0.01</v>
      </c>
      <c r="AN6" s="2299" t="s">
        <v>3059</v>
      </c>
      <c r="AO6" s="55">
        <f ca="1">SUMIF(INDIRECT("'"&amp;AN6&amp;"'"&amp;"!A:A"),"总价",INDIRECT("'"&amp;AN6&amp;"'"&amp;"!B:B"))</f>
        <v>24578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f>'数据-汇总表'!C20</f>
        <v>0</v>
      </c>
      <c r="B7" s="2297" t="str">
        <f t="shared" ref="B7:B13" si="1">IF(A7=0,"","经营性")</f>
        <v/>
      </c>
      <c r="C7" s="2298"/>
      <c r="D7" s="1047">
        <f>SUMIF(项目基本情况!D$12:I$12,C7,项目基本情况!D$14:I$14)</f>
        <v>0</v>
      </c>
      <c r="E7" s="1044"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45">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3062"/>
      <c r="V7" s="3063"/>
      <c r="W7" s="78"/>
      <c r="X7" s="1255"/>
      <c r="Y7" s="79"/>
      <c r="Z7" s="80"/>
      <c r="AA7" s="73"/>
      <c r="AB7" s="73"/>
      <c r="AC7" s="1255"/>
      <c r="AD7" s="81"/>
      <c r="AE7" s="1256">
        <f t="shared" ref="AE7:AE13" ca="1" si="6">IF(AN7="",0,SUMIF(INDIRECT("'"&amp;AN7&amp;"'"&amp;"!E:E"),$AE$5,INDIRECT("'"&amp;AN7&amp;"'"&amp;"!F:F")))</f>
        <v>0</v>
      </c>
      <c r="AF7" s="1798"/>
      <c r="AG7" s="146">
        <f t="shared" ref="AG7:AG13" si="7">IF(AF7="",0,AE7-AF7)</f>
        <v>0</v>
      </c>
      <c r="AH7" s="2957"/>
      <c r="AI7" s="84"/>
      <c r="AJ7" s="85"/>
      <c r="AK7" s="86"/>
      <c r="AL7" s="87"/>
      <c r="AM7" s="88"/>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f>'数据-汇总表'!C21</f>
        <v>0</v>
      </c>
      <c r="B8" s="2297" t="str">
        <f t="shared" si="1"/>
        <v/>
      </c>
      <c r="C8" s="2298"/>
      <c r="D8" s="1047">
        <f>SUMIF(项目基本情况!D$12:I$12,C8,项目基本情况!D$14:I$14)</f>
        <v>0</v>
      </c>
      <c r="E8" s="1044" t="str">
        <f>IF(B8="","",SUMIF(项目基本情况!D$12:I$12,C8,项目基本情况!D$13:I$13))</f>
        <v/>
      </c>
      <c r="F8" s="71">
        <f>SUMIF(项目基本情况!D$12:I$12,C8,项目基本情况!D$15:I$15)</f>
        <v>0</v>
      </c>
      <c r="G8" s="72">
        <f t="shared" si="2"/>
        <v>0</v>
      </c>
      <c r="H8" s="800"/>
      <c r="I8" s="800"/>
      <c r="J8" s="73"/>
      <c r="K8" s="1245">
        <f>SUMIF('数据-汇总表'!C$19:C$33,A8,'数据-汇总表'!E$19:E$33)</f>
        <v>0</v>
      </c>
      <c r="L8" s="801"/>
      <c r="M8" s="74">
        <f>ROUND(K8*L8/10000,0)</f>
        <v>0</v>
      </c>
      <c r="N8" s="799"/>
      <c r="O8" s="74" t="str">
        <f t="shared" si="3"/>
        <v>——</v>
      </c>
      <c r="P8" s="75" t="str">
        <f t="shared" si="4"/>
        <v>——</v>
      </c>
      <c r="Q8" s="802"/>
      <c r="R8" s="76">
        <f ca="1">SUMIF('数据-汇总表'!C$19:C$33,A8,'数据-汇总表'!R$19:R$27)</f>
        <v>0</v>
      </c>
      <c r="S8" s="54">
        <f>IF('数据-汇总表'!$I$17="按面积比例",SUMIF('数据-汇总表'!C$19:C$33,A8,'数据-汇总表'!K$19:K$33),SUMIF('数据-汇总表'!C$19:C$33,A8,'数据-汇总表'!N$19:N$33))</f>
        <v>0</v>
      </c>
      <c r="T8" s="1437">
        <f t="shared" si="5"/>
        <v>0</v>
      </c>
      <c r="U8" s="3064"/>
      <c r="V8" s="3065"/>
      <c r="W8" s="803"/>
      <c r="X8" s="1255"/>
      <c r="Y8" s="804"/>
      <c r="Z8" s="80"/>
      <c r="AA8" s="73"/>
      <c r="AB8" s="73"/>
      <c r="AC8" s="1255"/>
      <c r="AD8" s="799"/>
      <c r="AE8" s="1256">
        <f t="shared" ca="1" si="6"/>
        <v>0</v>
      </c>
      <c r="AF8" s="3028"/>
      <c r="AG8" s="146">
        <f t="shared" si="7"/>
        <v>0</v>
      </c>
      <c r="AH8" s="2957"/>
      <c r="AI8" s="84"/>
      <c r="AJ8" s="85"/>
      <c r="AK8" s="86"/>
      <c r="AL8" s="87"/>
      <c r="AM8" s="88"/>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7">
        <f t="shared" si="5"/>
        <v>0</v>
      </c>
      <c r="U9" s="3062"/>
      <c r="V9" s="3063"/>
      <c r="W9" s="78"/>
      <c r="X9" s="1255"/>
      <c r="Y9" s="79"/>
      <c r="Z9" s="80"/>
      <c r="AA9" s="73"/>
      <c r="AB9" s="73"/>
      <c r="AC9" s="1255"/>
      <c r="AD9" s="81"/>
      <c r="AE9" s="1256">
        <f t="shared" ca="1" si="6"/>
        <v>0</v>
      </c>
      <c r="AF9" s="1798"/>
      <c r="AG9" s="146">
        <f t="shared" si="7"/>
        <v>0</v>
      </c>
      <c r="AH9" s="82"/>
      <c r="AI9" s="84"/>
      <c r="AJ9" s="85"/>
      <c r="AK9" s="86"/>
      <c r="AL9" s="87"/>
      <c r="AM9" s="88"/>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3062"/>
      <c r="V10" s="3063"/>
      <c r="W10" s="78"/>
      <c r="X10" s="1255"/>
      <c r="Y10" s="79"/>
      <c r="Z10" s="80"/>
      <c r="AA10" s="73"/>
      <c r="AB10" s="73"/>
      <c r="AC10" s="1255"/>
      <c r="AD10" s="91">
        <f>ROUND(1-(1-0%)*(2034-2015)/60,2)</f>
        <v>0.68</v>
      </c>
      <c r="AE10" s="1256">
        <f t="shared" ca="1" si="6"/>
        <v>0</v>
      </c>
      <c r="AF10" s="1798"/>
      <c r="AG10" s="146">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2"/>
      <c r="AA11" s="73"/>
      <c r="AB11" s="73"/>
      <c r="AC11" s="1255"/>
      <c r="AD11" s="91">
        <v>0.8</v>
      </c>
      <c r="AE11" s="1256">
        <f t="shared" ca="1" si="6"/>
        <v>0</v>
      </c>
      <c r="AF11" s="1798"/>
      <c r="AG11" s="146">
        <f t="shared" si="7"/>
        <v>0</v>
      </c>
      <c r="AH11" s="82"/>
      <c r="AI11" s="84"/>
      <c r="AJ11" s="85"/>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2"/>
      <c r="AA12" s="73"/>
      <c r="AB12" s="73"/>
      <c r="AC12" s="1255"/>
      <c r="AD12" s="81"/>
      <c r="AE12" s="1256">
        <f t="shared" ca="1" si="6"/>
        <v>0</v>
      </c>
      <c r="AF12" s="1798"/>
      <c r="AG12" s="146">
        <f t="shared" si="7"/>
        <v>0</v>
      </c>
      <c r="AH12" s="82"/>
      <c r="AI12" s="84"/>
      <c r="AJ12" s="85"/>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8"/>
      <c r="AG13" s="146">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1"/>
      <c r="G14" s="72"/>
      <c r="H14" s="1244"/>
      <c r="I14" s="1244"/>
      <c r="J14" s="1244"/>
      <c r="K14" s="1245">
        <f>SUMIF('数据-汇总表'!C$19:C$33,A14,'数据-汇总表'!E$19:E$33)</f>
        <v>0</v>
      </c>
      <c r="L14" s="90"/>
      <c r="M14" s="74">
        <f t="shared" si="0"/>
        <v>0</v>
      </c>
      <c r="N14" s="91"/>
      <c r="O14" s="74" t="str">
        <f t="shared" si="3"/>
        <v>——</v>
      </c>
      <c r="P14" s="75" t="str">
        <f t="shared" si="4"/>
        <v>——</v>
      </c>
      <c r="Q14" s="1248"/>
      <c r="R14" s="76"/>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1"/>
      <c r="G15" s="72"/>
      <c r="H15" s="1244"/>
      <c r="I15" s="1244"/>
      <c r="J15" s="1244"/>
      <c r="K15" s="1245">
        <f>SUMIF('数据-汇总表'!C$19:C$33,A15,'数据-汇总表'!E$19:E$33)</f>
        <v>0</v>
      </c>
      <c r="L15" s="1246"/>
      <c r="M15" s="74"/>
      <c r="N15" s="1247"/>
      <c r="O15" s="74"/>
      <c r="P15" s="75"/>
      <c r="Q15" s="1248"/>
      <c r="R15" s="76"/>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6"/>
      <c r="C16" s="1001"/>
      <c r="D16" s="2304"/>
      <c r="E16" s="96"/>
      <c r="F16" s="96"/>
      <c r="G16" s="97">
        <f>ROUND(SUMPRODUCT(G6:G13,K6:K13)/SUMPRODUCT((G6:G13&gt;0)*(K6:K13)),3)</f>
        <v>0.94699999999999995</v>
      </c>
      <c r="H16" s="98">
        <f>ROUND(SUMPRODUCT(H6:H13,K6:K13)/SUMPRODUCT((H6:H13&gt;0)*(K6:K13)),3)</f>
        <v>4.4999999999999998E-2</v>
      </c>
      <c r="I16" s="99"/>
      <c r="J16" s="99"/>
      <c r="K16" s="100">
        <f>SUM(K6:K15)</f>
        <v>17329.439999999999</v>
      </c>
      <c r="L16" s="101">
        <f>ROUND(M16*10000/SUM(K6:K14),0)</f>
        <v>3500</v>
      </c>
      <c r="M16" s="101">
        <f>SUM(M6:M14)</f>
        <v>6065</v>
      </c>
      <c r="N16" s="102">
        <f>ROUND(SUMPRODUCT(M6:M14,N6:N14)/M16,3)</f>
        <v>0.95</v>
      </c>
      <c r="O16" s="101">
        <f>SUM(O6:O14)</f>
        <v>0</v>
      </c>
      <c r="P16" s="101">
        <f>SUM(P6:P14)</f>
        <v>0</v>
      </c>
      <c r="Q16" s="103">
        <f>ROUND(SUMPRODUCT(Q6:Q13,K6:K13)/SUMPRODUCT((Q6:Q13&gt;0)*(K6:K13)),2)</f>
        <v>0.15</v>
      </c>
      <c r="R16" s="1249">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1">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112">
        <v>1</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112">
        <f>B20</f>
        <v>1</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1</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1</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0</v>
      </c>
      <c r="C27" s="1758" t="s">
        <v>2027</v>
      </c>
      <c r="D27" s="2313"/>
      <c r="E27" s="1421"/>
      <c r="F27" s="1421"/>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1"/>
      <c r="F28" s="1421"/>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ROUND(B28*K16/10000,0)</f>
        <v>347</v>
      </c>
      <c r="C29" s="1758" t="s">
        <v>2030</v>
      </c>
      <c r="D29" s="2313"/>
      <c r="E29" s="1421"/>
      <c r="F29" s="1421"/>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2">
        <v>200</v>
      </c>
      <c r="C30" s="2316"/>
      <c r="D30" s="2313"/>
      <c r="E30" s="1421"/>
      <c r="F30" s="1421"/>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1"/>
      <c r="F31" s="1421"/>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3">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4">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1"/>
      <c r="F35" s="1421"/>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0.02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4">
        <f ca="1">存贷款利率!G1</f>
        <v>4.3499999999999997E-2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1"/>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1"/>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1"/>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958" t="s">
        <v>56</v>
      </c>
      <c r="C53" s="1421" t="s">
        <v>2068</v>
      </c>
      <c r="D53" s="2326"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2070</v>
      </c>
      <c r="B54" s="83">
        <v>30</v>
      </c>
      <c r="C54" s="1421">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2071</v>
      </c>
      <c r="B55" s="83">
        <v>24</v>
      </c>
      <c r="C55" s="1421">
        <v>24</v>
      </c>
      <c r="D55" s="2268"/>
      <c r="E55" s="2267"/>
      <c r="F55" s="2267"/>
      <c r="G55" s="2267"/>
      <c r="H55" s="2267"/>
      <c r="I55" s="2328"/>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2072</v>
      </c>
      <c r="B56" s="83">
        <v>18</v>
      </c>
      <c r="C56" s="1421">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2073</v>
      </c>
      <c r="B57" s="83">
        <v>12</v>
      </c>
      <c r="C57" s="1421">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2074</v>
      </c>
      <c r="B58" s="83">
        <v>3</v>
      </c>
      <c r="C58" s="1421">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2075</v>
      </c>
      <c r="B59" s="83">
        <v>1.5</v>
      </c>
      <c r="C59" s="1421">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2076</v>
      </c>
      <c r="B60" s="83"/>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2077</v>
      </c>
      <c r="B61" s="83"/>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2078</v>
      </c>
      <c r="B62" s="83"/>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0"/>
      <c r="D64" s="2331"/>
      <c r="K64" s="796"/>
      <c r="L64" s="796"/>
    </row>
    <row r="65" spans="1:12" s="960" customFormat="1">
      <c r="A65" s="2330"/>
      <c r="D65" s="2331"/>
      <c r="K65" s="796"/>
      <c r="L65" s="796"/>
    </row>
    <row r="66" spans="1:12" s="960" customFormat="1">
      <c r="A66" s="2330"/>
      <c r="D66" s="2331"/>
      <c r="K66" s="796"/>
      <c r="L66" s="796"/>
    </row>
    <row r="67" spans="1:12" s="960" customFormat="1">
      <c r="A67" s="2330"/>
      <c r="D67" s="2331"/>
      <c r="K67" s="796"/>
      <c r="L67" s="796"/>
    </row>
    <row r="68" spans="1:12" s="960" customFormat="1">
      <c r="A68" s="2330"/>
      <c r="D68" s="2331"/>
      <c r="K68" s="796"/>
      <c r="L68" s="796"/>
    </row>
    <row r="69" spans="1:12" s="960" customFormat="1">
      <c r="A69" s="2330"/>
      <c r="D69" s="2331"/>
      <c r="K69" s="796"/>
      <c r="L69" s="796"/>
    </row>
    <row r="70" spans="1:12" s="960" customFormat="1">
      <c r="A70" s="2330"/>
      <c r="D70" s="2331"/>
      <c r="K70" s="796"/>
      <c r="L70" s="796"/>
    </row>
    <row r="71" spans="1:12" s="960" customFormat="1">
      <c r="A71" s="2330"/>
      <c r="D71" s="2331"/>
      <c r="K71" s="796"/>
      <c r="L71" s="796"/>
    </row>
    <row r="72" spans="1:12" s="960" customFormat="1">
      <c r="A72" s="2330"/>
      <c r="D72" s="2331"/>
      <c r="K72" s="796"/>
      <c r="L72" s="796"/>
    </row>
    <row r="73" spans="1:12" s="960" customFormat="1">
      <c r="A73" s="2330"/>
      <c r="D73" s="2331"/>
      <c r="K73" s="796"/>
      <c r="L73" s="796"/>
    </row>
    <row r="74" spans="1:12" s="960" customFormat="1">
      <c r="A74" s="2330"/>
      <c r="D74" s="2331"/>
      <c r="K74" s="796"/>
      <c r="L74" s="796"/>
    </row>
    <row r="75" spans="1:12" s="960" customFormat="1">
      <c r="A75" s="2330"/>
      <c r="D75" s="2331"/>
      <c r="K75" s="796"/>
      <c r="L75" s="796"/>
    </row>
    <row r="76" spans="1:12" s="960" customFormat="1">
      <c r="A76" s="2330"/>
      <c r="D76" s="2331"/>
      <c r="K76" s="796"/>
      <c r="L76" s="796"/>
    </row>
    <row r="77" spans="1:12" s="960" customFormat="1">
      <c r="A77" s="2330"/>
      <c r="D77" s="2331"/>
      <c r="K77" s="796"/>
      <c r="L77" s="796"/>
    </row>
    <row r="78" spans="1:12" s="960" customFormat="1">
      <c r="A78" s="2330"/>
      <c r="D78" s="2331"/>
      <c r="K78" s="796"/>
      <c r="L78" s="796"/>
    </row>
    <row r="79" spans="1:12" s="960" customFormat="1">
      <c r="A79" s="2330"/>
      <c r="D79" s="2331"/>
      <c r="K79" s="796"/>
      <c r="L79" s="796"/>
    </row>
    <row r="80" spans="1:12" s="960" customFormat="1">
      <c r="A80" s="2330"/>
      <c r="D80" s="2331"/>
      <c r="K80" s="796"/>
      <c r="L80" s="796"/>
    </row>
    <row r="81" spans="1:12" s="960" customFormat="1">
      <c r="A81" s="2330"/>
      <c r="D81" s="2331"/>
      <c r="K81" s="796"/>
      <c r="L81" s="796"/>
    </row>
    <row r="82" spans="1:12" s="960" customFormat="1">
      <c r="A82" s="2330"/>
      <c r="D82" s="2331"/>
      <c r="K82" s="796"/>
      <c r="L82" s="796"/>
    </row>
    <row r="83" spans="1:12" s="960" customFormat="1">
      <c r="A83" s="2330"/>
      <c r="D83" s="2331"/>
      <c r="K83" s="796"/>
      <c r="L83" s="796"/>
    </row>
    <row r="84" spans="1:12" s="960" customFormat="1">
      <c r="A84" s="2330"/>
      <c r="D84" s="2331"/>
      <c r="K84" s="796"/>
      <c r="L84" s="796"/>
    </row>
    <row r="85" spans="1:12" s="960" customFormat="1">
      <c r="A85" s="2330"/>
      <c r="D85" s="2331"/>
      <c r="K85" s="796"/>
      <c r="L85" s="796"/>
    </row>
    <row r="86" spans="1:12" s="960" customFormat="1">
      <c r="A86" s="2330"/>
      <c r="D86" s="2331"/>
      <c r="K86" s="796"/>
      <c r="L86" s="796"/>
    </row>
    <row r="87" spans="1:12" s="960" customFormat="1">
      <c r="A87" s="2330"/>
      <c r="D87" s="2331"/>
      <c r="K87" s="796"/>
      <c r="L87" s="796"/>
    </row>
    <row r="88" spans="1:12" s="960" customFormat="1">
      <c r="A88" s="2330"/>
      <c r="D88" s="2331"/>
      <c r="K88" s="796"/>
      <c r="L88" s="796"/>
    </row>
    <row r="89" spans="1:12" s="960" customFormat="1">
      <c r="A89" s="2330"/>
      <c r="D89" s="2331"/>
      <c r="K89" s="796"/>
      <c r="L89" s="796"/>
    </row>
    <row r="90" spans="1:12" s="960" customFormat="1">
      <c r="A90" s="2330"/>
      <c r="D90" s="2331"/>
      <c r="K90" s="796"/>
      <c r="L90" s="796"/>
    </row>
    <row r="91" spans="1:12" s="960" customFormat="1">
      <c r="A91" s="2330"/>
      <c r="D91" s="2331"/>
      <c r="K91" s="796"/>
      <c r="L91" s="796"/>
    </row>
    <row r="92" spans="1:12" s="960" customFormat="1">
      <c r="A92" s="2330"/>
      <c r="D92" s="2331"/>
      <c r="K92" s="796"/>
      <c r="L92" s="796"/>
    </row>
    <row r="93" spans="1:12" s="960" customFormat="1">
      <c r="A93" s="2330"/>
      <c r="D93" s="2331"/>
      <c r="K93" s="796"/>
      <c r="L93" s="796"/>
    </row>
    <row r="94" spans="1:12" s="960" customFormat="1">
      <c r="A94" s="2330"/>
      <c r="D94" s="2331"/>
      <c r="K94" s="796"/>
      <c r="L94" s="796"/>
    </row>
    <row r="95" spans="1:12" s="960" customFormat="1">
      <c r="A95" s="2330"/>
      <c r="D95" s="2331"/>
      <c r="K95" s="796"/>
      <c r="L95" s="796"/>
    </row>
    <row r="96" spans="1:12" s="960" customFormat="1">
      <c r="A96" s="2330"/>
      <c r="D96" s="2331"/>
      <c r="K96" s="796"/>
      <c r="L96" s="796"/>
    </row>
    <row r="97" spans="1:12" s="960" customFormat="1">
      <c r="A97" s="2330"/>
      <c r="D97" s="2331"/>
      <c r="K97" s="796"/>
      <c r="L97" s="796"/>
    </row>
    <row r="98" spans="1:12" s="960" customFormat="1">
      <c r="A98" s="2330"/>
      <c r="D98" s="2331"/>
      <c r="K98" s="796"/>
      <c r="L98" s="796"/>
    </row>
    <row r="99" spans="1:12" s="960" customFormat="1">
      <c r="A99" s="2330"/>
      <c r="D99" s="2331"/>
      <c r="K99" s="796"/>
      <c r="L99" s="796"/>
    </row>
    <row r="100" spans="1:12" s="960" customFormat="1">
      <c r="A100" s="2330"/>
      <c r="D100" s="2331"/>
      <c r="K100" s="796"/>
      <c r="L100" s="796"/>
    </row>
    <row r="101" spans="1:12" s="960" customFormat="1">
      <c r="A101" s="2330"/>
      <c r="D101" s="2331"/>
      <c r="K101" s="796"/>
      <c r="L101" s="796"/>
    </row>
    <row r="102" spans="1:12" s="960" customFormat="1">
      <c r="A102" s="2330"/>
      <c r="D102" s="2331"/>
      <c r="K102" s="796"/>
      <c r="L102" s="796"/>
    </row>
    <row r="103" spans="1:12" s="960" customFormat="1">
      <c r="A103" s="2330"/>
      <c r="D103" s="2331"/>
      <c r="K103" s="796"/>
      <c r="L103" s="796"/>
    </row>
    <row r="104" spans="1:12" s="960" customFormat="1">
      <c r="A104" s="2330"/>
      <c r="D104" s="2331"/>
      <c r="K104" s="796"/>
      <c r="L104" s="796"/>
    </row>
    <row r="105" spans="1:12" s="960" customFormat="1">
      <c r="A105" s="2330"/>
      <c r="D105" s="2331"/>
      <c r="K105" s="796"/>
      <c r="L105" s="796"/>
    </row>
    <row r="106" spans="1:12" s="960" customFormat="1">
      <c r="A106" s="2330"/>
      <c r="D106" s="2331"/>
      <c r="K106" s="796"/>
      <c r="L106" s="796"/>
    </row>
    <row r="107" spans="1:12" s="960" customFormat="1">
      <c r="A107" s="2330"/>
      <c r="D107" s="2331"/>
      <c r="K107" s="796"/>
      <c r="L107" s="796"/>
    </row>
    <row r="108" spans="1:12" s="960" customFormat="1">
      <c r="A108" s="2330"/>
      <c r="D108" s="2331"/>
      <c r="K108" s="796"/>
      <c r="L108" s="796"/>
    </row>
    <row r="109" spans="1:12" s="960" customFormat="1">
      <c r="A109" s="2330"/>
      <c r="D109" s="2331"/>
      <c r="K109" s="796"/>
      <c r="L109" s="796"/>
    </row>
    <row r="110" spans="1:12" s="960" customFormat="1">
      <c r="A110" s="2330"/>
      <c r="D110" s="2331"/>
      <c r="K110" s="796"/>
      <c r="L110" s="796"/>
    </row>
    <row r="111" spans="1:12" s="960" customFormat="1">
      <c r="A111" s="2330"/>
      <c r="D111" s="2331"/>
      <c r="K111" s="796"/>
      <c r="L111" s="796"/>
    </row>
    <row r="112" spans="1:12" s="960" customFormat="1">
      <c r="A112" s="2330"/>
      <c r="D112" s="2331"/>
      <c r="K112" s="796"/>
      <c r="L112" s="796"/>
    </row>
    <row r="113" spans="1:12" s="960" customFormat="1">
      <c r="A113" s="2330"/>
      <c r="D113" s="2331"/>
      <c r="K113" s="796"/>
      <c r="L113" s="796"/>
    </row>
    <row r="114" spans="1:12" s="960" customFormat="1">
      <c r="A114" s="2330"/>
      <c r="D114" s="2331"/>
      <c r="K114" s="796"/>
      <c r="L114" s="796"/>
    </row>
    <row r="115" spans="1:12" s="960" customFormat="1">
      <c r="A115" s="2330"/>
      <c r="D115" s="2331"/>
      <c r="K115" s="796"/>
      <c r="L115" s="796"/>
    </row>
    <row r="116" spans="1:12" s="960" customFormat="1">
      <c r="A116" s="2330"/>
      <c r="D116" s="2331"/>
      <c r="K116" s="796"/>
      <c r="L116" s="796"/>
    </row>
    <row r="117" spans="1:12" s="960" customFormat="1">
      <c r="A117" s="2330"/>
      <c r="D117" s="2331"/>
      <c r="K117" s="796"/>
      <c r="L117" s="796"/>
    </row>
    <row r="118" spans="1:12" s="960" customFormat="1">
      <c r="A118" s="2330"/>
      <c r="D118" s="2331"/>
      <c r="K118" s="796"/>
      <c r="L118" s="796"/>
    </row>
    <row r="119" spans="1:12" s="960" customFormat="1">
      <c r="A119" s="2330"/>
      <c r="D119" s="2331"/>
      <c r="K119" s="796"/>
      <c r="L119" s="796"/>
    </row>
    <row r="120" spans="1:12" s="960" customFormat="1">
      <c r="A120" s="2330"/>
      <c r="D120" s="2331"/>
      <c r="K120" s="796"/>
      <c r="L120" s="796"/>
    </row>
    <row r="121" spans="1:12" s="960" customFormat="1">
      <c r="A121" s="2330"/>
      <c r="D121" s="2331"/>
      <c r="K121" s="796"/>
      <c r="L121" s="796"/>
    </row>
    <row r="122" spans="1:12" s="960" customFormat="1">
      <c r="A122" s="2330"/>
      <c r="D122" s="2331"/>
      <c r="K122" s="796"/>
      <c r="L122" s="796"/>
    </row>
    <row r="123" spans="1:12" s="960" customFormat="1">
      <c r="A123" s="2330"/>
      <c r="D123" s="2331"/>
      <c r="K123" s="796"/>
      <c r="L123" s="796"/>
    </row>
    <row r="124" spans="1:12" s="960" customFormat="1">
      <c r="A124" s="2330"/>
      <c r="D124" s="2331"/>
      <c r="K124" s="796"/>
      <c r="L124" s="796"/>
    </row>
    <row r="125" spans="1:12" s="960" customFormat="1">
      <c r="A125" s="2330"/>
      <c r="D125" s="2331"/>
      <c r="K125" s="796"/>
      <c r="L125" s="796"/>
    </row>
    <row r="126" spans="1:12" s="960" customFormat="1">
      <c r="A126" s="2330"/>
      <c r="D126" s="2331"/>
      <c r="K126" s="796"/>
      <c r="L126" s="796"/>
    </row>
    <row r="127" spans="1:12" s="960" customFormat="1">
      <c r="A127" s="2330"/>
      <c r="D127" s="2331"/>
      <c r="K127" s="796"/>
      <c r="L127" s="796"/>
    </row>
    <row r="128" spans="1:12" s="960" customFormat="1">
      <c r="A128" s="2330"/>
      <c r="D128" s="2331"/>
      <c r="K128" s="796"/>
      <c r="L128" s="796"/>
    </row>
    <row r="129" spans="1:12" s="960" customFormat="1">
      <c r="A129" s="2330"/>
      <c r="D129" s="2331"/>
      <c r="K129" s="796"/>
      <c r="L129" s="796"/>
    </row>
    <row r="130" spans="1:12" s="960" customFormat="1">
      <c r="A130" s="2330"/>
      <c r="D130" s="2331"/>
      <c r="K130" s="796"/>
      <c r="L130" s="796"/>
    </row>
    <row r="131" spans="1:12" s="960" customFormat="1">
      <c r="A131" s="2330"/>
      <c r="D131" s="2331"/>
      <c r="K131" s="796"/>
      <c r="L131" s="796"/>
    </row>
    <row r="132" spans="1:12" s="960" customFormat="1">
      <c r="A132" s="2330"/>
      <c r="D132" s="2331"/>
      <c r="K132" s="796"/>
      <c r="L132" s="796"/>
    </row>
    <row r="133" spans="1:12" s="960" customFormat="1">
      <c r="A133" s="2330"/>
      <c r="D133" s="2331"/>
      <c r="K133" s="796"/>
      <c r="L133" s="796"/>
    </row>
    <row r="134" spans="1:12" s="2264" customFormat="1">
      <c r="A134" s="2332"/>
      <c r="D134" s="2333"/>
      <c r="K134" s="27"/>
      <c r="L134" s="27"/>
    </row>
    <row r="135" spans="1:12" s="2264" customFormat="1">
      <c r="A135" s="2332"/>
      <c r="D135" s="2333"/>
      <c r="K135" s="27"/>
      <c r="L135" s="27"/>
    </row>
    <row r="136" spans="1:12" s="2264" customFormat="1">
      <c r="A136" s="2332"/>
      <c r="D136" s="2333"/>
      <c r="K136" s="27"/>
      <c r="L136" s="27"/>
    </row>
    <row r="137" spans="1:12" s="2264" customFormat="1">
      <c r="A137" s="2332"/>
      <c r="D137" s="2333"/>
      <c r="K137" s="27"/>
      <c r="L137" s="27"/>
    </row>
    <row r="138" spans="1:12" s="2264" customFormat="1">
      <c r="A138" s="2332"/>
      <c r="D138" s="2333"/>
      <c r="K138" s="27"/>
      <c r="L138" s="27"/>
    </row>
    <row r="139" spans="1:12" s="2264" customFormat="1">
      <c r="A139" s="2332"/>
      <c r="D139" s="2333"/>
      <c r="K139" s="27"/>
      <c r="L139" s="27"/>
    </row>
    <row r="140" spans="1:12" s="2264" customFormat="1">
      <c r="A140" s="2332"/>
      <c r="D140" s="2333"/>
      <c r="K140" s="27"/>
      <c r="L140" s="27"/>
    </row>
    <row r="141" spans="1:12" s="2264" customFormat="1">
      <c r="A141" s="2332"/>
      <c r="D141" s="2333"/>
      <c r="K141" s="27"/>
      <c r="L141" s="27"/>
    </row>
    <row r="142" spans="1:12" s="2264" customFormat="1">
      <c r="A142" s="2332"/>
      <c r="D142" s="2333"/>
      <c r="K142" s="27"/>
      <c r="L142" s="27"/>
    </row>
    <row r="143" spans="1:12" s="2264" customFormat="1">
      <c r="A143" s="2332"/>
      <c r="D143" s="2333"/>
      <c r="K143" s="27"/>
      <c r="L143" s="27"/>
    </row>
    <row r="144" spans="1:12" s="2264" customFormat="1">
      <c r="A144" s="2332"/>
      <c r="D144" s="2333"/>
      <c r="K144" s="27"/>
      <c r="L144" s="27"/>
    </row>
    <row r="145" spans="1:12" s="2264" customFormat="1">
      <c r="A145" s="2332"/>
      <c r="D145" s="2333"/>
      <c r="K145" s="27"/>
      <c r="L145" s="27"/>
    </row>
    <row r="146" spans="1:12" s="2264" customFormat="1">
      <c r="A146" s="2332"/>
      <c r="D146" s="2333"/>
      <c r="K146" s="27"/>
      <c r="L146" s="27"/>
    </row>
    <row r="147" spans="1:12" s="2264" customFormat="1">
      <c r="A147" s="2332"/>
      <c r="D147" s="2333"/>
      <c r="K147" s="27"/>
      <c r="L147" s="27"/>
    </row>
    <row r="148" spans="1:12" s="2264" customFormat="1">
      <c r="A148" s="2332"/>
      <c r="D148" s="2333"/>
      <c r="K148" s="27"/>
      <c r="L148" s="27"/>
    </row>
    <row r="149" spans="1:12" s="2264" customFormat="1">
      <c r="A149" s="2332"/>
      <c r="D149" s="2333"/>
      <c r="K149" s="27"/>
      <c r="L149" s="27"/>
    </row>
    <row r="150" spans="1:12" s="2264" customFormat="1">
      <c r="A150" s="2332"/>
      <c r="D150" s="2333"/>
      <c r="K150" s="27"/>
      <c r="L150" s="27"/>
    </row>
    <row r="151" spans="1:12" s="2264" customFormat="1">
      <c r="A151" s="2332"/>
      <c r="D151" s="2333"/>
      <c r="K151" s="27"/>
      <c r="L151" s="27"/>
    </row>
    <row r="152" spans="1:12" s="2264" customFormat="1">
      <c r="A152" s="2332"/>
      <c r="D152" s="2333"/>
      <c r="K152" s="27"/>
      <c r="L152" s="27"/>
    </row>
    <row r="153" spans="1:12" s="2264" customFormat="1">
      <c r="A153" s="2332"/>
      <c r="D153" s="2333"/>
      <c r="K153" s="27"/>
      <c r="L153" s="27"/>
    </row>
    <row r="154" spans="1:12" s="2264" customFormat="1">
      <c r="A154" s="2332"/>
      <c r="D154" s="2333"/>
      <c r="K154" s="27"/>
      <c r="L154" s="27"/>
    </row>
    <row r="155" spans="1:12" s="2264" customFormat="1">
      <c r="A155" s="2332"/>
      <c r="D155" s="2333"/>
      <c r="K155" s="27"/>
      <c r="L155" s="27"/>
    </row>
    <row r="156" spans="1:12" s="2264" customFormat="1">
      <c r="A156" s="2332"/>
      <c r="D156" s="2333"/>
      <c r="K156" s="27"/>
      <c r="L156" s="27"/>
    </row>
    <row r="157" spans="1:12" s="2264" customFormat="1">
      <c r="A157" s="2332"/>
      <c r="D157" s="2333"/>
      <c r="K157" s="27"/>
      <c r="L157" s="27"/>
    </row>
    <row r="158" spans="1:12" s="2264" customFormat="1">
      <c r="A158" s="2332"/>
      <c r="D158" s="2333"/>
      <c r="K158" s="27"/>
      <c r="L158" s="27"/>
    </row>
    <row r="159" spans="1:12" s="2264" customFormat="1">
      <c r="A159" s="2332"/>
      <c r="D159" s="2333"/>
      <c r="K159" s="27"/>
      <c r="L159" s="27"/>
    </row>
    <row r="160" spans="1:12" s="2264" customFormat="1">
      <c r="A160" s="2332"/>
      <c r="D160" s="2333"/>
      <c r="K160" s="27"/>
      <c r="L160" s="27"/>
    </row>
    <row r="161" spans="1:12" s="2264" customFormat="1">
      <c r="A161" s="2332"/>
      <c r="D161" s="2333"/>
      <c r="K161" s="27"/>
      <c r="L161" s="27"/>
    </row>
    <row r="162" spans="1:12" s="2264" customFormat="1">
      <c r="A162" s="2332"/>
      <c r="D162" s="2333"/>
      <c r="K162" s="27"/>
      <c r="L162" s="27"/>
    </row>
    <row r="163" spans="1:12" s="2264" customFormat="1">
      <c r="A163" s="2332"/>
      <c r="D163" s="2333"/>
      <c r="K163" s="27"/>
      <c r="L163" s="27"/>
    </row>
    <row r="164" spans="1:12" s="2264" customFormat="1">
      <c r="A164" s="2332"/>
      <c r="D164" s="2333"/>
      <c r="K164" s="27"/>
      <c r="L164" s="27"/>
    </row>
    <row r="165" spans="1:12" s="2264" customFormat="1">
      <c r="A165" s="2332"/>
      <c r="D165" s="2333"/>
      <c r="K165" s="27"/>
      <c r="L165" s="27"/>
    </row>
    <row r="166" spans="1:12" s="2264" customFormat="1">
      <c r="A166" s="2332"/>
      <c r="D166" s="2333"/>
      <c r="K166" s="27"/>
      <c r="L166" s="27"/>
    </row>
    <row r="167" spans="1:12" s="2264" customFormat="1">
      <c r="A167" s="2332"/>
      <c r="D167" s="2333"/>
      <c r="K167" s="27"/>
      <c r="L167" s="27"/>
    </row>
    <row r="168" spans="1:12" s="2264" customFormat="1">
      <c r="A168" s="2332"/>
      <c r="D168" s="2333"/>
      <c r="K168" s="27"/>
      <c r="L168" s="27"/>
    </row>
    <row r="169" spans="1:12" s="2264" customFormat="1">
      <c r="A169" s="2332"/>
      <c r="D169" s="2333"/>
      <c r="K169" s="27"/>
      <c r="L169" s="27"/>
    </row>
    <row r="170" spans="1:12" s="2264" customFormat="1">
      <c r="A170" s="2332"/>
      <c r="D170" s="2333"/>
      <c r="K170" s="27"/>
      <c r="L170" s="27"/>
    </row>
    <row r="171" spans="1:12" s="2264" customFormat="1">
      <c r="A171" s="2332"/>
      <c r="D171" s="2333"/>
      <c r="K171" s="27"/>
      <c r="L171" s="27"/>
    </row>
    <row r="172" spans="1:12" s="2264" customFormat="1">
      <c r="A172" s="2332"/>
      <c r="D172" s="2333"/>
      <c r="K172" s="27"/>
      <c r="L172" s="27"/>
    </row>
    <row r="173" spans="1:12" s="2264" customFormat="1">
      <c r="A173" s="2332"/>
      <c r="D173" s="2333"/>
      <c r="K173" s="27"/>
      <c r="L173" s="27"/>
    </row>
    <row r="174" spans="1:12" s="2264"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173" t="s">
        <v>2080</v>
      </c>
      <c r="B1" s="3174"/>
      <c r="C1" s="3174"/>
      <c r="D1" s="3174"/>
      <c r="E1" s="3174"/>
      <c r="F1" s="3174"/>
      <c r="G1" s="317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27">
      <c r="A3" s="414" t="s">
        <v>2083</v>
      </c>
      <c r="B3" s="1262" t="s">
        <v>2084</v>
      </c>
      <c r="C3" s="2959"/>
      <c r="D3" s="2359"/>
      <c r="E3" s="430" t="s">
        <v>2083</v>
      </c>
      <c r="F3" s="2360" t="s">
        <v>2085</v>
      </c>
      <c r="G3" s="2361"/>
      <c r="H3" s="2357"/>
      <c r="I3" s="2357"/>
      <c r="J3" s="2357"/>
      <c r="K3" s="2357"/>
      <c r="L3" s="2357"/>
      <c r="M3" s="2357"/>
      <c r="N3" s="2357"/>
      <c r="O3" s="2357"/>
      <c r="P3" s="2357"/>
      <c r="Q3" s="2357"/>
      <c r="R3" s="2357"/>
    </row>
    <row r="4" spans="1:29" ht="58.5" customHeight="1">
      <c r="A4" s="430"/>
      <c r="B4" s="1789" t="s">
        <v>2086</v>
      </c>
      <c r="C4" s="3069" t="s">
        <v>3275</v>
      </c>
      <c r="D4" s="2359"/>
      <c r="E4" s="2362"/>
      <c r="F4" s="42" t="s">
        <v>2087</v>
      </c>
      <c r="G4" s="2363"/>
      <c r="H4" s="2357"/>
      <c r="I4" s="2357"/>
      <c r="J4" s="2357"/>
      <c r="K4" s="2357"/>
      <c r="L4" s="2357"/>
      <c r="M4" s="2357"/>
      <c r="N4" s="2357"/>
      <c r="O4" s="2357"/>
      <c r="P4" s="2357"/>
      <c r="Q4" s="2357"/>
      <c r="R4" s="2357"/>
    </row>
    <row r="5" spans="1:29" ht="15">
      <c r="A5" s="430"/>
      <c r="B5" s="1789" t="s">
        <v>2088</v>
      </c>
      <c r="C5" s="2960"/>
      <c r="D5" s="2359"/>
      <c r="E5" s="2362"/>
      <c r="F5" s="1789" t="s">
        <v>2089</v>
      </c>
      <c r="G5" s="2363"/>
      <c r="H5" s="2357"/>
      <c r="I5" s="2357"/>
      <c r="J5" s="2357"/>
      <c r="K5" s="2357"/>
      <c r="L5" s="2357"/>
      <c r="M5" s="2357"/>
      <c r="N5" s="2357"/>
      <c r="O5" s="2357"/>
      <c r="P5" s="2357"/>
      <c r="Q5" s="2357"/>
      <c r="R5" s="2357"/>
    </row>
    <row r="6" spans="1:29" ht="54.75">
      <c r="A6" s="430"/>
      <c r="B6" s="1789" t="s">
        <v>2090</v>
      </c>
      <c r="C6" s="2961" t="s">
        <v>3276</v>
      </c>
      <c r="D6" s="2359"/>
      <c r="E6" s="2362"/>
      <c r="F6" s="1789" t="s">
        <v>2091</v>
      </c>
      <c r="G6" s="2363"/>
      <c r="H6" s="2357"/>
      <c r="I6" s="2357"/>
      <c r="J6" s="2357"/>
      <c r="K6" s="2357"/>
      <c r="L6" s="2357"/>
      <c r="M6" s="2357"/>
      <c r="N6" s="2357"/>
      <c r="O6" s="2357"/>
      <c r="P6" s="2357"/>
      <c r="Q6" s="2357"/>
      <c r="R6" s="2357"/>
    </row>
    <row r="7" spans="1:29" ht="41.25" thickBot="1">
      <c r="A7" s="430"/>
      <c r="B7" s="1789" t="s">
        <v>2089</v>
      </c>
      <c r="C7" s="3070" t="s">
        <v>3277</v>
      </c>
      <c r="D7" s="2364"/>
      <c r="E7" s="2365"/>
      <c r="F7" s="2366" t="s">
        <v>2092</v>
      </c>
      <c r="G7" s="2367"/>
      <c r="H7" s="2357"/>
      <c r="I7" s="2357"/>
      <c r="J7" s="2357"/>
      <c r="K7" s="2357"/>
      <c r="L7" s="2357"/>
      <c r="M7" s="2357"/>
      <c r="N7" s="2357"/>
      <c r="O7" s="2357"/>
      <c r="P7" s="2357"/>
      <c r="Q7" s="2357"/>
      <c r="R7" s="2357"/>
    </row>
    <row r="8" spans="1:29" ht="15">
      <c r="A8" s="430"/>
      <c r="B8" s="1789" t="s">
        <v>2091</v>
      </c>
      <c r="C8" s="2961" t="s">
        <v>3054</v>
      </c>
      <c r="D8" s="2364"/>
      <c r="E8" s="2364"/>
      <c r="F8" s="1127"/>
      <c r="G8" s="1127"/>
      <c r="H8" s="2357"/>
      <c r="I8" s="2357"/>
      <c r="J8" s="2357"/>
      <c r="K8" s="2357"/>
      <c r="L8" s="2357"/>
      <c r="M8" s="2357"/>
      <c r="N8" s="2357"/>
      <c r="O8" s="2357"/>
      <c r="P8" s="2357"/>
      <c r="Q8" s="2357"/>
      <c r="R8" s="2357"/>
    </row>
    <row r="9" spans="1:29" ht="40.5">
      <c r="A9" s="430"/>
      <c r="B9" s="1789" t="s">
        <v>2093</v>
      </c>
      <c r="C9" s="3068" t="s">
        <v>3278</v>
      </c>
      <c r="D9" s="2359"/>
      <c r="E9" s="2364"/>
      <c r="F9" s="1127"/>
      <c r="G9" s="1127"/>
      <c r="H9" s="2357"/>
      <c r="I9" s="2357"/>
      <c r="J9" s="2357"/>
      <c r="K9" s="2357"/>
      <c r="L9" s="2357"/>
      <c r="M9" s="2357"/>
      <c r="N9" s="2357"/>
      <c r="O9" s="2357"/>
      <c r="P9" s="2357"/>
      <c r="Q9" s="2357"/>
      <c r="R9" s="2357"/>
    </row>
    <row r="10" spans="1:29" s="116" customFormat="1" ht="15.75" thickBot="1">
      <c r="A10" s="2368"/>
      <c r="B10" s="2369" t="s">
        <v>2094</v>
      </c>
      <c r="C10" s="2962" t="s">
        <v>3279</v>
      </c>
      <c r="D10" s="2359"/>
      <c r="E10" s="2359"/>
      <c r="F10" s="1127"/>
      <c r="G10" s="1127"/>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6" customFormat="1" ht="15">
      <c r="A11" s="2373"/>
      <c r="B11" s="2364"/>
      <c r="C11" s="2359"/>
      <c r="D11" s="2359"/>
      <c r="E11" s="2359"/>
      <c r="F11" s="2364"/>
      <c r="G11" s="1145"/>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45"/>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2095</v>
      </c>
      <c r="B13" s="2374"/>
      <c r="C13" s="2374"/>
      <c r="D13" s="2381"/>
      <c r="E13" s="2374"/>
      <c r="F13" s="2374"/>
      <c r="G13" s="2374"/>
    </row>
    <row r="14" spans="1:29" ht="15.75" thickBot="1">
      <c r="A14" s="2385"/>
      <c r="B14" s="2386"/>
      <c r="C14" s="2387" t="s">
        <v>2096</v>
      </c>
      <c r="D14" s="2359"/>
      <c r="E14" s="2388"/>
      <c r="F14" s="2388"/>
      <c r="G14" s="2354" t="s">
        <v>2097</v>
      </c>
    </row>
    <row r="15" spans="1:29" ht="27">
      <c r="A15" s="67" t="s">
        <v>2098</v>
      </c>
      <c r="B15" s="1261" t="s">
        <v>2084</v>
      </c>
      <c r="C15" s="2389">
        <f>C3</f>
        <v>0</v>
      </c>
      <c r="D15" s="2359"/>
      <c r="E15" s="2390" t="s">
        <v>2099</v>
      </c>
      <c r="F15" s="1261" t="s">
        <v>2100</v>
      </c>
      <c r="G15" s="134">
        <f>G3</f>
        <v>0</v>
      </c>
    </row>
    <row r="16" spans="1:29" ht="71.25">
      <c r="A16" s="644"/>
      <c r="B16" s="2391" t="s">
        <v>2086</v>
      </c>
      <c r="C16" s="2392" t="str">
        <f>C4</f>
        <v>估价对象位于华远天地项目，周边多为住宅底商项目，商业氛围成熟度一般，人流量一般，商业繁华度一般</v>
      </c>
      <c r="D16" s="2359"/>
      <c r="E16" s="2393"/>
      <c r="F16" s="2394" t="s">
        <v>2087</v>
      </c>
      <c r="G16" s="135">
        <f>G4</f>
        <v>0</v>
      </c>
    </row>
    <row r="17" spans="1:18" ht="15">
      <c r="A17" s="644"/>
      <c r="B17" s="2391" t="s">
        <v>2088</v>
      </c>
      <c r="C17" s="2392">
        <f>C5</f>
        <v>0</v>
      </c>
      <c r="D17" s="2364"/>
      <c r="E17" s="2393"/>
      <c r="F17" s="2394" t="s">
        <v>2101</v>
      </c>
      <c r="G17" s="1563"/>
    </row>
    <row r="18" spans="1:18" ht="57">
      <c r="A18" s="644"/>
      <c r="B18" s="2394" t="s">
        <v>2090</v>
      </c>
      <c r="C18" s="135" t="str">
        <f>C6</f>
        <v>估价对象周边道路状况、周边有810、910、938等多路及地铁八通线经过，综合评价交通便捷度较好</v>
      </c>
      <c r="D18" s="2364"/>
      <c r="E18" s="2393"/>
      <c r="F18" s="2394" t="s">
        <v>2092</v>
      </c>
      <c r="G18" s="135">
        <f>G7</f>
        <v>0</v>
      </c>
    </row>
    <row r="19" spans="1:18" ht="15">
      <c r="A19" s="644"/>
      <c r="B19" s="2394" t="s">
        <v>2102</v>
      </c>
      <c r="C19" s="1563"/>
      <c r="D19" s="2359"/>
      <c r="E19" s="2393"/>
      <c r="F19" s="1789" t="s">
        <v>2089</v>
      </c>
      <c r="G19" s="135">
        <f>G5</f>
        <v>0</v>
      </c>
    </row>
    <row r="20" spans="1:18" ht="42.75">
      <c r="A20" s="644"/>
      <c r="B20" s="2394" t="s">
        <v>2103</v>
      </c>
      <c r="C20" s="2392" t="str">
        <f>C9</f>
        <v>区域自然环境：梨园主题公园；人文环境：无；综合评价环境状况一般</v>
      </c>
      <c r="D20" s="2364"/>
      <c r="E20" s="2393"/>
      <c r="F20" s="1789" t="s">
        <v>2104</v>
      </c>
      <c r="G20" s="135">
        <f>G6</f>
        <v>0</v>
      </c>
    </row>
    <row r="21" spans="1:18" ht="42.75">
      <c r="A21" s="644"/>
      <c r="B21" s="1789" t="s">
        <v>2089</v>
      </c>
      <c r="C21" s="135" t="str">
        <f>C7</f>
        <v>周边有银行、购物场所、餐饮等配套设施，公共服务设施状况一般。</v>
      </c>
      <c r="D21" s="2359"/>
      <c r="E21" s="2393"/>
      <c r="F21" s="2394" t="s">
        <v>2105</v>
      </c>
      <c r="G21" s="2395"/>
    </row>
    <row r="22" spans="1:18" ht="13.5" customHeight="1">
      <c r="A22" s="644"/>
      <c r="B22" s="1789" t="s">
        <v>2091</v>
      </c>
      <c r="C22" s="135" t="str">
        <f>C8</f>
        <v>七通</v>
      </c>
      <c r="D22" s="2359"/>
      <c r="E22" s="2393"/>
      <c r="F22" s="2394" t="s">
        <v>2094</v>
      </c>
      <c r="G22" s="1563"/>
    </row>
    <row r="23" spans="1:18" s="2357" customFormat="1" ht="15.75" thickBot="1">
      <c r="A23" s="644"/>
      <c r="B23" s="2394" t="s">
        <v>2105</v>
      </c>
      <c r="C23" s="2395"/>
      <c r="D23" s="2382"/>
      <c r="E23" s="2396"/>
      <c r="F23" s="2397" t="s">
        <v>2106</v>
      </c>
      <c r="G23" s="2398"/>
      <c r="H23" s="2382"/>
      <c r="I23" s="2383"/>
      <c r="J23" s="2382"/>
      <c r="K23" s="2382"/>
      <c r="L23" s="2383"/>
      <c r="M23" s="2382"/>
      <c r="N23" s="2382"/>
      <c r="O23" s="2383"/>
      <c r="P23" s="2382"/>
      <c r="Q23" s="2382"/>
      <c r="R23" s="2384"/>
    </row>
    <row r="24" spans="1:18" s="2357" customFormat="1" ht="15.75" thickBot="1">
      <c r="A24" s="2399"/>
      <c r="B24" s="2397" t="s">
        <v>2107</v>
      </c>
      <c r="C24" s="136" t="str">
        <f>C10</f>
        <v>主干道——京津公路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1732" customWidth="1"/>
    <col min="2" max="9" width="15.75" style="1732" customWidth="1"/>
    <col min="10" max="16384" width="9" style="1732"/>
  </cols>
  <sheetData>
    <row r="1" spans="1:10" ht="16.5">
      <c r="A1" s="1737" t="s">
        <v>1363</v>
      </c>
      <c r="B1" s="1737">
        <f>SUM(B14:B23)</f>
        <v>17329.439999999999</v>
      </c>
      <c r="C1" s="1736"/>
      <c r="D1" s="1736"/>
      <c r="E1" s="1736"/>
      <c r="F1" s="1736"/>
      <c r="G1" s="1734"/>
    </row>
    <row r="2" spans="1:10" ht="16.5">
      <c r="A2" s="1737" t="s">
        <v>1351</v>
      </c>
      <c r="B2" s="1737">
        <f>SUM(C14:C23)</f>
        <v>0</v>
      </c>
      <c r="C2" s="1736"/>
      <c r="D2" s="1736"/>
      <c r="E2" s="1736"/>
      <c r="F2" s="1736"/>
      <c r="G2" s="1734"/>
    </row>
    <row r="3" spans="1:10" ht="16.5">
      <c r="A3" s="1737" t="s">
        <v>1360</v>
      </c>
      <c r="B3" s="1738">
        <f>项目基本情况!D3</f>
        <v>43185</v>
      </c>
      <c r="C3" s="1736"/>
      <c r="D3" s="1736"/>
      <c r="E3" s="1736"/>
      <c r="F3" s="1736"/>
      <c r="G3" s="1734"/>
    </row>
    <row r="4" spans="1:10" ht="33">
      <c r="A4" s="1737" t="s">
        <v>1359</v>
      </c>
      <c r="B4" s="1737" t="s">
        <v>1358</v>
      </c>
      <c r="C4" s="1737" t="s">
        <v>1357</v>
      </c>
      <c r="D4" s="1737" t="s">
        <v>1356</v>
      </c>
      <c r="E4" s="1736"/>
      <c r="F4" s="1734"/>
      <c r="G4" s="1734"/>
    </row>
    <row r="5" spans="1:10" ht="16.5">
      <c r="A5" s="1737" t="s">
        <v>1355</v>
      </c>
      <c r="B5" s="1737">
        <f ca="1">SUM(D14:D23)</f>
        <v>32995</v>
      </c>
      <c r="C5" s="1737">
        <f ca="1">ROUND(B5*10000/$B$1,0)</f>
        <v>19040</v>
      </c>
      <c r="D5" s="1737" t="e">
        <f ca="1">ROUND(B5*10000/$B$2,0)</f>
        <v>#DIV/0!</v>
      </c>
      <c r="E5" s="1736"/>
      <c r="F5" s="1734"/>
      <c r="G5" s="1734"/>
    </row>
    <row r="6" spans="1:10" ht="16.5">
      <c r="A6" s="1737" t="s">
        <v>1354</v>
      </c>
      <c r="B6" s="1737">
        <f ca="1">SUM(G14:G23)</f>
        <v>32995</v>
      </c>
      <c r="C6" s="1737">
        <f ca="1">ROUND(B6*10000/$B$1,0)</f>
        <v>19040</v>
      </c>
      <c r="D6" s="1737" t="e">
        <f ca="1">ROUND(B6*10000/$B$2,0)</f>
        <v>#DIV/0!</v>
      </c>
      <c r="E6" s="1736"/>
      <c r="F6" s="1734"/>
      <c r="G6" s="1734"/>
    </row>
    <row r="7" spans="1:10" ht="16.5">
      <c r="A7" s="1737" t="s">
        <v>1362</v>
      </c>
      <c r="B7" s="1737">
        <f>SUM(H14:H23)</f>
        <v>0</v>
      </c>
      <c r="C7" s="1737">
        <f>ROUND(B7*10000/$B$1,0)</f>
        <v>0</v>
      </c>
      <c r="D7" s="1737" t="e">
        <f>ROUND(B7*10000/$B$2,0)</f>
        <v>#DIV/0!</v>
      </c>
      <c r="E7" s="1736"/>
      <c r="F7" s="1734"/>
      <c r="G7" s="1734"/>
    </row>
    <row r="8" spans="1:10" ht="16.5">
      <c r="A8" s="1737" t="s">
        <v>1283</v>
      </c>
      <c r="B8" s="1737">
        <f>SUM(I14:I23)</f>
        <v>0</v>
      </c>
      <c r="C8" s="1737">
        <f>ROUND(B8*10000/$B$1,0)</f>
        <v>0</v>
      </c>
      <c r="D8" s="1737" t="e">
        <f>ROUND(B8*10000/$B$2,0)</f>
        <v>#DIV/0!</v>
      </c>
      <c r="E8" s="1736"/>
      <c r="F8" s="1734"/>
      <c r="G8" s="1734"/>
    </row>
    <row r="9" spans="1:10" ht="16.5">
      <c r="A9" s="1737" t="s">
        <v>1353</v>
      </c>
      <c r="B9" s="1739"/>
      <c r="C9" s="1736"/>
      <c r="D9" s="1736"/>
      <c r="E9" s="1736"/>
      <c r="F9" s="1734"/>
      <c r="G9" s="1734"/>
    </row>
    <row r="10" spans="1:10" ht="16.5">
      <c r="A10" s="1737" t="s">
        <v>1352</v>
      </c>
      <c r="B10" s="1739"/>
      <c r="C10" s="1736"/>
      <c r="D10" s="1736"/>
      <c r="E10" s="1736"/>
      <c r="F10" s="1734"/>
      <c r="G10" s="1734"/>
    </row>
    <row r="11" spans="1:10" ht="16.5">
      <c r="A11" s="1737" t="s">
        <v>1368</v>
      </c>
      <c r="B11" s="1739"/>
      <c r="C11" s="1736"/>
      <c r="D11" s="1736"/>
      <c r="E11" s="1736"/>
      <c r="F11" s="1734"/>
      <c r="G11" s="1734"/>
    </row>
    <row r="12" spans="1:10" ht="16.5">
      <c r="A12" s="1736"/>
      <c r="B12" s="1736"/>
      <c r="C12" s="1736"/>
      <c r="D12" s="1736"/>
      <c r="E12" s="1736"/>
      <c r="F12" s="1734"/>
      <c r="G12" s="1734"/>
    </row>
    <row r="13" spans="1:10" ht="33">
      <c r="A13" s="1742" t="s">
        <v>1367</v>
      </c>
      <c r="B13" s="1735" t="s">
        <v>1364</v>
      </c>
      <c r="C13" s="1735" t="s">
        <v>1366</v>
      </c>
      <c r="D13" s="1735" t="s">
        <v>1365</v>
      </c>
      <c r="E13" s="1737" t="s">
        <v>1357</v>
      </c>
      <c r="F13" s="1737" t="s">
        <v>1356</v>
      </c>
      <c r="G13" s="1735" t="s">
        <v>1350</v>
      </c>
      <c r="H13" s="1735" t="s">
        <v>1361</v>
      </c>
      <c r="I13" s="1735" t="s">
        <v>1349</v>
      </c>
      <c r="J13" s="1734"/>
    </row>
    <row r="14" spans="1:10" ht="16.5">
      <c r="A14" s="1733" t="s">
        <v>1348</v>
      </c>
      <c r="B14" s="1735">
        <f>结果表!B118</f>
        <v>17329.439999999999</v>
      </c>
      <c r="C14" s="1735">
        <f>结果表!C118</f>
        <v>0</v>
      </c>
      <c r="D14" s="1735">
        <f ca="1">结果表!H118</f>
        <v>32995</v>
      </c>
      <c r="E14" s="1735">
        <f ca="1">ROUND(D14*10000/B14,0)</f>
        <v>19040</v>
      </c>
      <c r="F14" s="1735" t="e">
        <f ca="1">ROUND(D14*10000/C14,0)</f>
        <v>#DIV/0!</v>
      </c>
      <c r="G14" s="1735">
        <f ca="1">结果表!D122</f>
        <v>32995</v>
      </c>
      <c r="H14" s="1735" t="str">
        <f>结果表!D124</f>
        <v>——</v>
      </c>
      <c r="I14" s="1735" t="str">
        <f>结果表!D126</f>
        <v>——</v>
      </c>
      <c r="J14" s="1734"/>
    </row>
    <row r="15" spans="1:10" ht="16.5">
      <c r="A15" s="1733" t="s">
        <v>1347</v>
      </c>
      <c r="B15" s="1740"/>
      <c r="C15" s="1740"/>
      <c r="D15" s="1740"/>
      <c r="E15" s="1735" t="e">
        <f t="shared" ref="E15:E23" si="0">ROUND(D15*10000/B15,0)</f>
        <v>#DIV/0!</v>
      </c>
      <c r="F15" s="1735" t="e">
        <f t="shared" ref="F15:F23" si="1">ROUND(D15*10000/C15,0)</f>
        <v>#DIV/0!</v>
      </c>
      <c r="G15" s="1741"/>
      <c r="H15" s="1741"/>
      <c r="I15" s="1740"/>
      <c r="J15" s="1734"/>
    </row>
    <row r="16" spans="1:10" ht="16.5">
      <c r="A16" s="1733" t="s">
        <v>1346</v>
      </c>
      <c r="B16" s="1740"/>
      <c r="C16" s="1740"/>
      <c r="D16" s="1740"/>
      <c r="E16" s="1735" t="e">
        <f t="shared" si="0"/>
        <v>#DIV/0!</v>
      </c>
      <c r="F16" s="1735" t="e">
        <f t="shared" si="1"/>
        <v>#DIV/0!</v>
      </c>
      <c r="G16" s="1741"/>
      <c r="H16" s="1741"/>
      <c r="I16" s="1740"/>
    </row>
    <row r="17" spans="1:9" ht="16.5">
      <c r="A17" s="1733" t="s">
        <v>1345</v>
      </c>
      <c r="B17" s="1740"/>
      <c r="C17" s="1740"/>
      <c r="D17" s="1740"/>
      <c r="E17" s="1735" t="e">
        <f t="shared" si="0"/>
        <v>#DIV/0!</v>
      </c>
      <c r="F17" s="1735" t="e">
        <f t="shared" si="1"/>
        <v>#DIV/0!</v>
      </c>
      <c r="G17" s="1741"/>
      <c r="H17" s="1741"/>
      <c r="I17" s="1740"/>
    </row>
    <row r="18" spans="1:9" ht="16.5">
      <c r="A18" s="1733" t="s">
        <v>1344</v>
      </c>
      <c r="B18" s="1740"/>
      <c r="C18" s="1740"/>
      <c r="D18" s="1740"/>
      <c r="E18" s="1735" t="e">
        <f t="shared" si="0"/>
        <v>#DIV/0!</v>
      </c>
      <c r="F18" s="1735" t="e">
        <f t="shared" si="1"/>
        <v>#DIV/0!</v>
      </c>
      <c r="G18" s="1740"/>
      <c r="H18" s="1740"/>
      <c r="I18" s="1740"/>
    </row>
    <row r="19" spans="1:9" ht="16.5">
      <c r="A19" s="1733" t="s">
        <v>1343</v>
      </c>
      <c r="B19" s="1740"/>
      <c r="C19" s="1740"/>
      <c r="D19" s="1740"/>
      <c r="E19" s="1735" t="e">
        <f t="shared" si="0"/>
        <v>#DIV/0!</v>
      </c>
      <c r="F19" s="1735" t="e">
        <f t="shared" si="1"/>
        <v>#DIV/0!</v>
      </c>
      <c r="G19" s="1740"/>
      <c r="H19" s="1740"/>
      <c r="I19" s="1740"/>
    </row>
    <row r="20" spans="1:9" ht="16.5">
      <c r="A20" s="1733" t="s">
        <v>1342</v>
      </c>
      <c r="B20" s="1740"/>
      <c r="C20" s="1740"/>
      <c r="D20" s="1740"/>
      <c r="E20" s="1735" t="e">
        <f t="shared" si="0"/>
        <v>#DIV/0!</v>
      </c>
      <c r="F20" s="1735" t="e">
        <f t="shared" si="1"/>
        <v>#DIV/0!</v>
      </c>
      <c r="G20" s="1740"/>
      <c r="H20" s="1740"/>
      <c r="I20" s="1740"/>
    </row>
    <row r="21" spans="1:9" ht="16.5">
      <c r="A21" s="1733" t="s">
        <v>1341</v>
      </c>
      <c r="B21" s="1740"/>
      <c r="C21" s="1740"/>
      <c r="D21" s="1740"/>
      <c r="E21" s="1735" t="e">
        <f t="shared" si="0"/>
        <v>#DIV/0!</v>
      </c>
      <c r="F21" s="1735" t="e">
        <f t="shared" si="1"/>
        <v>#DIV/0!</v>
      </c>
      <c r="G21" s="1740"/>
      <c r="H21" s="1740"/>
      <c r="I21" s="1740"/>
    </row>
    <row r="22" spans="1:9" ht="16.5">
      <c r="A22" s="1733" t="s">
        <v>1340</v>
      </c>
      <c r="B22" s="1740"/>
      <c r="C22" s="1740"/>
      <c r="D22" s="1740"/>
      <c r="E22" s="1735" t="e">
        <f t="shared" si="0"/>
        <v>#DIV/0!</v>
      </c>
      <c r="F22" s="1735" t="e">
        <f t="shared" si="1"/>
        <v>#DIV/0!</v>
      </c>
      <c r="G22" s="1740"/>
      <c r="H22" s="1740"/>
      <c r="I22" s="1740"/>
    </row>
    <row r="23" spans="1:9" ht="16.5">
      <c r="A23" s="1733" t="s">
        <v>1339</v>
      </c>
      <c r="B23" s="1740"/>
      <c r="C23" s="1740"/>
      <c r="D23" s="1740"/>
      <c r="E23" s="1737" t="e">
        <f t="shared" si="0"/>
        <v>#DIV/0!</v>
      </c>
      <c r="F23" s="1737" t="e">
        <f t="shared" si="1"/>
        <v>#DIV/0!</v>
      </c>
      <c r="G23" s="1740"/>
      <c r="H23" s="1740"/>
      <c r="I23" s="1740"/>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9" customWidth="1"/>
    <col min="2" max="8" width="9" style="3019"/>
    <col min="9" max="9" width="12.25" style="3019" bestFit="1" customWidth="1"/>
    <col min="10" max="16384" width="9" style="3019"/>
  </cols>
  <sheetData>
    <row r="1" spans="1:35" s="2995" customFormat="1" ht="18.75" customHeight="1">
      <c r="A1" s="3175" t="s">
        <v>3152</v>
      </c>
      <c r="B1" s="3176"/>
      <c r="C1" s="3176"/>
      <c r="D1" s="3176"/>
      <c r="E1" s="3176"/>
      <c r="F1" s="3176"/>
      <c r="G1" s="3176"/>
      <c r="H1" s="3176"/>
      <c r="I1" s="3177"/>
      <c r="J1" s="2993"/>
      <c r="K1" s="2993"/>
      <c r="L1" s="2993"/>
      <c r="M1" s="2993"/>
      <c r="N1" s="2993"/>
      <c r="O1" s="2993"/>
      <c r="P1" s="2993"/>
      <c r="Q1" s="2993"/>
      <c r="R1" s="2993"/>
      <c r="S1" s="2993"/>
      <c r="T1" s="2993"/>
      <c r="U1" s="2993"/>
      <c r="V1" s="2993"/>
      <c r="W1" s="2993"/>
      <c r="X1" s="2993"/>
      <c r="Y1" s="2993"/>
      <c r="Z1" s="2993"/>
      <c r="AA1" s="2994"/>
      <c r="AB1" s="2994"/>
      <c r="AC1" s="2994"/>
      <c r="AD1" s="2994"/>
      <c r="AE1" s="2994"/>
      <c r="AF1" s="2994"/>
      <c r="AG1" s="2994"/>
      <c r="AH1" s="2994"/>
      <c r="AI1" s="2994"/>
    </row>
    <row r="2" spans="1:35" s="2995" customFormat="1" ht="27" customHeight="1">
      <c r="A2" s="3178" t="s">
        <v>3153</v>
      </c>
      <c r="B2" s="3179" t="s">
        <v>3154</v>
      </c>
      <c r="C2" s="3179" t="s">
        <v>3155</v>
      </c>
      <c r="D2" s="3181" t="s">
        <v>3156</v>
      </c>
      <c r="E2" s="3182"/>
      <c r="F2" s="3183" t="s">
        <v>3157</v>
      </c>
      <c r="G2" s="3183"/>
      <c r="H2" s="3178" t="s">
        <v>3158</v>
      </c>
      <c r="I2" s="3178"/>
      <c r="J2" s="2993"/>
      <c r="K2" s="2993"/>
      <c r="L2" s="2993"/>
      <c r="M2" s="2993"/>
      <c r="N2" s="2993"/>
      <c r="O2" s="2993"/>
      <c r="P2" s="2993"/>
      <c r="Q2" s="2993"/>
      <c r="R2" s="2993"/>
      <c r="S2" s="2993"/>
      <c r="T2" s="2993"/>
      <c r="U2" s="2993"/>
      <c r="V2" s="2993"/>
      <c r="W2" s="2993"/>
      <c r="X2" s="2993"/>
      <c r="Y2" s="2993"/>
      <c r="Z2" s="2993"/>
      <c r="AA2" s="2994"/>
      <c r="AB2" s="2994"/>
      <c r="AC2" s="2994"/>
      <c r="AD2" s="2994"/>
      <c r="AE2" s="2994"/>
      <c r="AF2" s="2994"/>
      <c r="AG2" s="2994"/>
      <c r="AH2" s="2994"/>
      <c r="AI2" s="2994"/>
    </row>
    <row r="3" spans="1:35" s="2995" customFormat="1" ht="18.75" customHeight="1">
      <c r="A3" s="3178"/>
      <c r="B3" s="3180"/>
      <c r="C3" s="3180"/>
      <c r="D3" s="3025" t="s">
        <v>3159</v>
      </c>
      <c r="E3" s="3025" t="s">
        <v>3160</v>
      </c>
      <c r="F3" s="3025" t="s">
        <v>3159</v>
      </c>
      <c r="G3" s="3025" t="s">
        <v>3161</v>
      </c>
      <c r="H3" s="3025" t="s">
        <v>3159</v>
      </c>
      <c r="I3" s="3025" t="s">
        <v>3161</v>
      </c>
      <c r="J3" s="2993"/>
      <c r="K3" s="2993"/>
      <c r="L3" s="2993"/>
      <c r="M3" s="2993"/>
      <c r="N3" s="2993"/>
      <c r="O3" s="2993"/>
      <c r="P3" s="2993"/>
      <c r="Q3" s="2993"/>
      <c r="R3" s="2993"/>
      <c r="S3" s="2993"/>
      <c r="T3" s="2993"/>
      <c r="U3" s="2993"/>
      <c r="V3" s="2993"/>
      <c r="W3" s="2993"/>
      <c r="X3" s="2993"/>
      <c r="Y3" s="2993"/>
      <c r="Z3" s="2993"/>
      <c r="AA3" s="2994"/>
      <c r="AB3" s="2994"/>
      <c r="AC3" s="2994"/>
      <c r="AD3" s="2994"/>
      <c r="AE3" s="2994"/>
      <c r="AF3" s="2994"/>
      <c r="AG3" s="2994"/>
      <c r="AH3" s="2994"/>
      <c r="AI3" s="2994"/>
    </row>
    <row r="4" spans="1:35" s="2995" customFormat="1" ht="107.25" customHeight="1">
      <c r="A4" s="3026" t="s">
        <v>3191</v>
      </c>
      <c r="B4" s="3027">
        <f>结果表!B118</f>
        <v>17329.439999999999</v>
      </c>
      <c r="C4" s="3027">
        <f>结果表!C118</f>
        <v>0</v>
      </c>
      <c r="D4" s="3027" t="e">
        <f ca="1">结果表!D118+结果表车!D118</f>
        <v>#N/A</v>
      </c>
      <c r="E4" s="3027" t="e">
        <f ca="1">I4-G4</f>
        <v>#N/A</v>
      </c>
      <c r="F4" s="3027" t="e">
        <f ca="1">结果表!F118+结果表车!F118</f>
        <v>#N/A</v>
      </c>
      <c r="G4" s="3027" t="e">
        <f ca="1">ROUND(F4/B4*10000,0)</f>
        <v>#N/A</v>
      </c>
      <c r="H4" s="3027" t="e">
        <f ca="1">结果表!H118+结果表车!H118</f>
        <v>#N/A</v>
      </c>
      <c r="I4" s="3027" t="e">
        <f ca="1">ROUND(H4/B4*10000,0)</f>
        <v>#N/A</v>
      </c>
      <c r="J4" s="2993"/>
      <c r="K4" s="2993"/>
      <c r="L4" s="2993"/>
      <c r="M4" s="2993">
        <v>277640</v>
      </c>
      <c r="N4" s="2993" t="e">
        <f ca="1">H4-M4</f>
        <v>#N/A</v>
      </c>
      <c r="O4" s="2993"/>
      <c r="P4" s="2993"/>
      <c r="Q4" s="2993"/>
      <c r="R4" s="2993"/>
      <c r="S4" s="2993"/>
      <c r="T4" s="2993"/>
      <c r="U4" s="2993"/>
      <c r="V4" s="2993"/>
      <c r="W4" s="2993"/>
      <c r="X4" s="2993"/>
      <c r="Y4" s="2993"/>
      <c r="Z4" s="2993"/>
      <c r="AA4" s="2994"/>
      <c r="AB4" s="2994"/>
      <c r="AC4" s="2994"/>
      <c r="AD4" s="2994"/>
      <c r="AE4" s="2994"/>
      <c r="AF4" s="2994"/>
      <c r="AG4" s="2994"/>
      <c r="AH4" s="2994"/>
      <c r="AI4" s="2994"/>
    </row>
    <row r="5" spans="1:35" s="2995" customFormat="1" ht="18.75" customHeight="1">
      <c r="A5" s="3184" t="s">
        <v>3162</v>
      </c>
      <c r="B5" s="3185"/>
      <c r="C5" s="3186"/>
      <c r="D5" s="3187" t="e">
        <f ca="1">IF(H4=0,"零元整",NUMBERSTRING(INT(H4*10000),2)&amp;"元整")</f>
        <v>#N/A</v>
      </c>
      <c r="E5" s="3188"/>
      <c r="F5" s="3188"/>
      <c r="G5" s="3188"/>
      <c r="H5" s="3188"/>
      <c r="I5" s="3189"/>
      <c r="J5" s="2993"/>
      <c r="K5" s="2993"/>
      <c r="L5" s="2993"/>
      <c r="M5" s="2993" t="s">
        <v>3163</v>
      </c>
      <c r="N5" s="2993"/>
      <c r="O5" s="2993"/>
      <c r="P5" s="2993"/>
      <c r="Q5" s="2993"/>
      <c r="R5" s="2993"/>
      <c r="S5" s="2993"/>
      <c r="T5" s="2993"/>
      <c r="U5" s="2993"/>
      <c r="V5" s="2993"/>
      <c r="W5" s="2993"/>
      <c r="X5" s="2993"/>
      <c r="Y5" s="2993"/>
      <c r="Z5" s="2993"/>
      <c r="AA5" s="2994"/>
      <c r="AB5" s="2994"/>
      <c r="AC5" s="2994"/>
      <c r="AD5" s="2994"/>
      <c r="AE5" s="2994"/>
      <c r="AF5" s="2994"/>
      <c r="AG5" s="2994"/>
      <c r="AH5" s="2994"/>
      <c r="AI5" s="2994"/>
    </row>
    <row r="6" spans="1:35" s="2995" customFormat="1" ht="18.75" hidden="1" customHeight="1">
      <c r="A6" s="3190" t="e">
        <f>MID(#REF!,3,LEN(#REF!)-2)</f>
        <v>#REF!</v>
      </c>
      <c r="B6" s="3190"/>
      <c r="C6" s="3190"/>
      <c r="D6" s="3191" t="e">
        <f>#REF!</f>
        <v>#REF!</v>
      </c>
      <c r="E6" s="3192"/>
      <c r="F6" s="3192"/>
      <c r="G6" s="3192"/>
      <c r="H6" s="3192"/>
      <c r="I6" s="3193"/>
      <c r="J6" s="2993"/>
      <c r="K6" s="2993"/>
      <c r="L6" s="2993"/>
      <c r="M6" s="2993"/>
      <c r="N6" s="2993"/>
      <c r="O6" s="2993"/>
      <c r="P6" s="2993"/>
      <c r="Q6" s="2993"/>
      <c r="R6" s="2993"/>
      <c r="S6" s="2993"/>
      <c r="T6" s="2993"/>
      <c r="U6" s="2993"/>
      <c r="V6" s="2993"/>
      <c r="W6" s="2993"/>
      <c r="X6" s="2993"/>
      <c r="Y6" s="2993"/>
      <c r="Z6" s="2993"/>
      <c r="AA6" s="2994"/>
      <c r="AB6" s="2994"/>
      <c r="AC6" s="2994"/>
      <c r="AD6" s="2994"/>
      <c r="AE6" s="2994"/>
      <c r="AF6" s="2994"/>
      <c r="AG6" s="2994"/>
      <c r="AH6" s="2994"/>
      <c r="AI6" s="2994"/>
    </row>
    <row r="7" spans="1:35" s="2995" customFormat="1" ht="18.75" hidden="1" customHeight="1">
      <c r="A7" s="3178" t="s">
        <v>3162</v>
      </c>
      <c r="B7" s="3178"/>
      <c r="C7" s="3178"/>
      <c r="D7" s="3187" t="e">
        <f>NUMBERSTRING(INT(D6*10000),2)&amp;"元整"</f>
        <v>#REF!</v>
      </c>
      <c r="E7" s="3188"/>
      <c r="F7" s="3188"/>
      <c r="G7" s="3188"/>
      <c r="H7" s="3188"/>
      <c r="I7" s="3189"/>
      <c r="J7" s="2993"/>
      <c r="K7" s="2993"/>
      <c r="L7" s="2993"/>
      <c r="M7" s="2993"/>
      <c r="N7" s="2993"/>
      <c r="O7" s="2993"/>
      <c r="P7" s="2993"/>
      <c r="Q7" s="2993"/>
      <c r="R7" s="2993"/>
      <c r="S7" s="2993"/>
      <c r="T7" s="2993"/>
      <c r="U7" s="2993"/>
      <c r="V7" s="2993"/>
      <c r="W7" s="2993"/>
      <c r="X7" s="2993"/>
      <c r="Y7" s="2993"/>
      <c r="Z7" s="2993"/>
      <c r="AA7" s="2994"/>
      <c r="AB7" s="2994"/>
      <c r="AC7" s="2994"/>
      <c r="AD7" s="2994"/>
      <c r="AE7" s="2994"/>
      <c r="AF7" s="2994"/>
      <c r="AG7" s="2994"/>
      <c r="AH7" s="2994"/>
      <c r="AI7" s="2994"/>
    </row>
    <row r="8" spans="1:35" s="2995" customFormat="1" ht="18.75" hidden="1" customHeight="1">
      <c r="A8" s="3190" t="e">
        <f>MID(#REF!,3,LEN(#REF!)-2)</f>
        <v>#REF!</v>
      </c>
      <c r="B8" s="3190"/>
      <c r="C8" s="3190"/>
      <c r="D8" s="3191" t="e">
        <f>#REF!</f>
        <v>#REF!</v>
      </c>
      <c r="E8" s="3192"/>
      <c r="F8" s="3192"/>
      <c r="G8" s="3192"/>
      <c r="H8" s="3192"/>
      <c r="I8" s="3193"/>
      <c r="J8" s="2993"/>
      <c r="K8" s="2993"/>
      <c r="L8" s="2993"/>
      <c r="M8" s="2993"/>
      <c r="N8" s="2993"/>
      <c r="O8" s="2993"/>
      <c r="P8" s="2993"/>
      <c r="Q8" s="2993"/>
      <c r="R8" s="2993"/>
      <c r="S8" s="2993"/>
      <c r="T8" s="2993"/>
      <c r="U8" s="2993"/>
      <c r="V8" s="2993"/>
      <c r="W8" s="2993"/>
      <c r="X8" s="2993"/>
      <c r="Y8" s="2993"/>
      <c r="Z8" s="2993"/>
      <c r="AA8" s="2994"/>
      <c r="AB8" s="2994"/>
      <c r="AC8" s="2994"/>
      <c r="AD8" s="2994"/>
      <c r="AE8" s="2994"/>
      <c r="AF8" s="2994"/>
      <c r="AG8" s="2994"/>
      <c r="AH8" s="2994"/>
      <c r="AI8" s="2994"/>
    </row>
    <row r="9" spans="1:35" s="2995" customFormat="1" ht="18.75" hidden="1" customHeight="1">
      <c r="A9" s="3178" t="s">
        <v>3162</v>
      </c>
      <c r="B9" s="3178"/>
      <c r="C9" s="3178"/>
      <c r="D9" s="3187" t="e">
        <f>NUMBERSTRING(INT(D8*10000),2)&amp;"元整"</f>
        <v>#REF!</v>
      </c>
      <c r="E9" s="3188"/>
      <c r="F9" s="3188"/>
      <c r="G9" s="3188"/>
      <c r="H9" s="3188"/>
      <c r="I9" s="3189"/>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row>
    <row r="10" spans="1:35" s="2995" customFormat="1" ht="18.75" hidden="1" customHeight="1">
      <c r="A10" s="3190" t="e">
        <f>MID(#REF!,3,LEN(#REF!)-2)</f>
        <v>#REF!</v>
      </c>
      <c r="B10" s="3190"/>
      <c r="C10" s="3190"/>
      <c r="D10" s="3191" t="e">
        <f>#REF!</f>
        <v>#REF!</v>
      </c>
      <c r="E10" s="3192"/>
      <c r="F10" s="3192"/>
      <c r="G10" s="3192"/>
      <c r="H10" s="3192"/>
      <c r="I10" s="3193"/>
      <c r="J10" s="2993"/>
      <c r="K10" s="2993"/>
      <c r="L10" s="2993"/>
      <c r="M10" s="2993"/>
      <c r="N10" s="2993"/>
      <c r="O10" s="2993"/>
      <c r="P10" s="2993"/>
      <c r="Q10" s="2993"/>
      <c r="R10" s="2993"/>
      <c r="S10" s="2993"/>
      <c r="T10" s="2993"/>
      <c r="U10" s="2993"/>
      <c r="V10" s="2993"/>
      <c r="W10" s="2993"/>
      <c r="X10" s="2993"/>
      <c r="Y10" s="2993"/>
      <c r="Z10" s="2993"/>
      <c r="AA10" s="2994"/>
      <c r="AB10" s="2994"/>
      <c r="AC10" s="2994"/>
      <c r="AD10" s="2994"/>
      <c r="AE10" s="2994"/>
      <c r="AF10" s="2994"/>
      <c r="AG10" s="2994"/>
      <c r="AH10" s="2994"/>
      <c r="AI10" s="2994"/>
    </row>
    <row r="11" spans="1:35" s="2995" customFormat="1" ht="18.75" hidden="1" customHeight="1">
      <c r="A11" s="3178" t="s">
        <v>3162</v>
      </c>
      <c r="B11" s="3178"/>
      <c r="C11" s="3178"/>
      <c r="D11" s="3187" t="e">
        <f>NUMBERSTRING(INT(D10*10000),2)&amp;"元整"</f>
        <v>#REF!</v>
      </c>
      <c r="E11" s="3188"/>
      <c r="F11" s="3188"/>
      <c r="G11" s="3188"/>
      <c r="H11" s="3188"/>
      <c r="I11" s="3189"/>
      <c r="J11" s="2993"/>
      <c r="K11" s="2993"/>
      <c r="L11" s="2993"/>
      <c r="M11" s="2993"/>
      <c r="N11" s="2993"/>
      <c r="O11" s="2993"/>
      <c r="P11" s="2993"/>
      <c r="Q11" s="2993"/>
      <c r="R11" s="2993"/>
      <c r="S11" s="2993"/>
      <c r="T11" s="2993"/>
      <c r="U11" s="2993"/>
      <c r="V11" s="2993"/>
      <c r="W11" s="2993"/>
      <c r="X11" s="2993"/>
      <c r="Y11" s="2993"/>
      <c r="Z11" s="2993"/>
      <c r="AA11" s="2994"/>
      <c r="AB11" s="2994"/>
      <c r="AC11" s="2994"/>
      <c r="AD11" s="2994"/>
      <c r="AE11" s="2994"/>
      <c r="AF11" s="2994"/>
      <c r="AG11" s="2994"/>
      <c r="AH11" s="2994"/>
      <c r="AI11" s="2994"/>
    </row>
    <row r="12" spans="1:35" s="2995" customFormat="1" ht="21.75" customHeight="1">
      <c r="A12" s="3194" t="s">
        <v>3164</v>
      </c>
      <c r="B12" s="3194"/>
      <c r="C12" s="3194"/>
      <c r="D12" s="3194"/>
      <c r="E12" s="3194"/>
      <c r="F12" s="3194"/>
      <c r="G12" s="3194"/>
      <c r="H12" s="3194"/>
      <c r="I12" s="3194"/>
      <c r="J12" s="2993"/>
      <c r="K12" s="2993"/>
      <c r="L12" s="2993"/>
      <c r="M12" s="2993"/>
      <c r="N12" s="2993"/>
      <c r="O12" s="2993"/>
      <c r="P12" s="2993"/>
      <c r="Q12" s="2993"/>
      <c r="R12" s="2993"/>
      <c r="S12" s="2993"/>
      <c r="T12" s="2993"/>
      <c r="U12" s="2993"/>
      <c r="V12" s="2993"/>
      <c r="W12" s="2993"/>
      <c r="X12" s="2993"/>
      <c r="Y12" s="2993"/>
      <c r="Z12" s="2993"/>
      <c r="AA12" s="2994"/>
      <c r="AB12" s="2994"/>
      <c r="AC12" s="2994"/>
      <c r="AD12" s="2994"/>
      <c r="AE12" s="2994"/>
      <c r="AF12" s="2994"/>
      <c r="AG12" s="2994"/>
      <c r="AH12" s="2994"/>
      <c r="AI12" s="2994"/>
    </row>
    <row r="13" spans="1:35" s="2995" customFormat="1" ht="21.75" customHeight="1">
      <c r="A13" s="2996" t="s">
        <v>3165</v>
      </c>
      <c r="B13" s="2997"/>
      <c r="C13" s="2998" t="s">
        <v>3042</v>
      </c>
      <c r="D13" s="2999"/>
      <c r="E13" s="2999"/>
      <c r="F13" s="2999"/>
      <c r="G13" s="2999"/>
      <c r="H13" s="3000"/>
      <c r="I13" s="3001"/>
      <c r="J13" s="2993"/>
      <c r="K13" s="2993"/>
      <c r="L13" s="2993"/>
      <c r="M13" s="2993"/>
      <c r="N13" s="2993"/>
      <c r="O13" s="2993"/>
      <c r="P13" s="2993"/>
      <c r="Q13" s="2993"/>
      <c r="R13" s="2993"/>
      <c r="S13" s="2993"/>
      <c r="T13" s="2993"/>
      <c r="U13" s="2993"/>
      <c r="V13" s="2993"/>
      <c r="W13" s="2993"/>
      <c r="X13" s="2993"/>
      <c r="Y13" s="2993"/>
      <c r="Z13" s="2993"/>
      <c r="AA13" s="2994"/>
      <c r="AB13" s="2994"/>
      <c r="AC13" s="2994"/>
      <c r="AD13" s="2994"/>
      <c r="AE13" s="2994"/>
      <c r="AF13" s="2994"/>
      <c r="AG13" s="2994"/>
      <c r="AH13" s="2994"/>
      <c r="AI13" s="2994"/>
    </row>
    <row r="14" spans="1:35" s="2995" customFormat="1" ht="21.75" customHeight="1">
      <c r="A14" s="3002">
        <v>1</v>
      </c>
      <c r="B14" s="3003"/>
      <c r="C14" s="3003"/>
      <c r="D14" s="3004"/>
      <c r="E14" s="3004"/>
      <c r="F14" s="3004"/>
      <c r="G14" s="3004"/>
      <c r="H14" s="3005"/>
      <c r="I14" s="3006"/>
      <c r="J14" s="2993"/>
      <c r="K14" s="2993" t="s">
        <v>3166</v>
      </c>
      <c r="L14" s="2993"/>
      <c r="M14" s="2993"/>
      <c r="N14" s="2993"/>
      <c r="O14" s="2993"/>
      <c r="P14" s="2993"/>
      <c r="Q14" s="2993"/>
      <c r="R14" s="2993"/>
      <c r="S14" s="2993"/>
      <c r="T14" s="2993"/>
      <c r="U14" s="2993"/>
      <c r="V14" s="2993"/>
      <c r="W14" s="2993"/>
      <c r="X14" s="2993"/>
      <c r="Y14" s="2993"/>
      <c r="Z14" s="2993"/>
      <c r="AA14" s="2994"/>
      <c r="AB14" s="2994"/>
      <c r="AC14" s="2994"/>
      <c r="AD14" s="2994"/>
      <c r="AE14" s="2994"/>
      <c r="AF14" s="2994"/>
      <c r="AG14" s="2994"/>
      <c r="AH14" s="2994"/>
      <c r="AI14" s="2994"/>
    </row>
    <row r="15" spans="1:35" s="2995" customFormat="1" ht="21.75" customHeight="1">
      <c r="A15" s="3002">
        <v>2</v>
      </c>
      <c r="B15" s="3003"/>
      <c r="C15" s="3003"/>
      <c r="D15" s="3004"/>
      <c r="E15" s="3004"/>
      <c r="F15" s="3004"/>
      <c r="G15" s="3004"/>
      <c r="H15" s="3005"/>
      <c r="I15" s="3006"/>
      <c r="J15" s="2993"/>
      <c r="K15" s="2993"/>
      <c r="L15" s="2993"/>
      <c r="M15" s="2993"/>
      <c r="N15" s="2993"/>
      <c r="O15" s="2993"/>
      <c r="P15" s="2993"/>
      <c r="Q15" s="2993"/>
      <c r="R15" s="2993"/>
      <c r="S15" s="2993"/>
      <c r="T15" s="2993"/>
      <c r="U15" s="2993"/>
      <c r="V15" s="2993"/>
      <c r="W15" s="2993"/>
      <c r="X15" s="2993"/>
      <c r="Y15" s="2993"/>
      <c r="Z15" s="2993"/>
      <c r="AA15" s="2994"/>
      <c r="AB15" s="2994"/>
      <c r="AC15" s="2994"/>
      <c r="AD15" s="2994"/>
      <c r="AE15" s="2994"/>
      <c r="AF15" s="2994"/>
      <c r="AG15" s="2994"/>
      <c r="AH15" s="2994"/>
      <c r="AI15" s="2994"/>
    </row>
    <row r="16" spans="1:35" s="2995" customFormat="1" ht="21.75" customHeight="1">
      <c r="A16" s="3002">
        <v>3</v>
      </c>
      <c r="B16" s="3003"/>
      <c r="C16" s="3003"/>
      <c r="D16" s="3004"/>
      <c r="E16" s="3004"/>
      <c r="F16" s="3004"/>
      <c r="G16" s="3004"/>
      <c r="H16" s="3005"/>
      <c r="I16" s="3006"/>
      <c r="J16" s="2993"/>
      <c r="K16" s="2993" t="s">
        <v>3167</v>
      </c>
      <c r="L16" s="2993"/>
      <c r="M16" s="2993"/>
      <c r="N16" s="2993"/>
      <c r="O16" s="2993"/>
      <c r="P16" s="2993"/>
      <c r="Q16" s="2993"/>
      <c r="R16" s="2993"/>
      <c r="S16" s="2993"/>
      <c r="T16" s="2993"/>
      <c r="U16" s="2993"/>
      <c r="V16" s="2993"/>
      <c r="W16" s="2993"/>
      <c r="X16" s="2993"/>
      <c r="Y16" s="2993"/>
      <c r="Z16" s="2993"/>
      <c r="AA16" s="2994"/>
      <c r="AB16" s="2994"/>
      <c r="AC16" s="2994"/>
      <c r="AD16" s="2994"/>
      <c r="AE16" s="2994"/>
      <c r="AF16" s="2994"/>
      <c r="AG16" s="2994"/>
      <c r="AH16" s="2994"/>
      <c r="AI16" s="2994"/>
    </row>
    <row r="17" spans="1:35" s="2995" customFormat="1" ht="21.75" customHeight="1">
      <c r="A17" s="3007"/>
      <c r="B17" s="3008"/>
      <c r="C17" s="3008"/>
      <c r="D17" s="3009"/>
      <c r="E17" s="3009"/>
      <c r="F17" s="3009"/>
      <c r="G17" s="3009"/>
      <c r="H17" s="3010"/>
      <c r="I17" s="3011"/>
      <c r="J17" s="2993"/>
      <c r="K17" s="2993"/>
      <c r="L17" s="2993"/>
      <c r="M17" s="2993"/>
      <c r="N17" s="2993"/>
      <c r="O17" s="2993"/>
      <c r="P17" s="2993"/>
      <c r="Q17" s="2993"/>
      <c r="R17" s="2993"/>
      <c r="S17" s="2993"/>
      <c r="T17" s="2993"/>
      <c r="U17" s="2993"/>
      <c r="V17" s="2993"/>
      <c r="W17" s="2993"/>
      <c r="X17" s="2993"/>
      <c r="Y17" s="2993"/>
      <c r="Z17" s="2993"/>
      <c r="AA17" s="2994"/>
      <c r="AB17" s="2994"/>
      <c r="AC17" s="2994"/>
      <c r="AD17" s="2994"/>
      <c r="AE17" s="2994"/>
      <c r="AF17" s="2994"/>
      <c r="AG17" s="2994"/>
      <c r="AH17" s="2994"/>
      <c r="AI17" s="2994"/>
    </row>
    <row r="18" spans="1:35" s="2995" customFormat="1" ht="21.75" customHeight="1">
      <c r="A18" s="3003"/>
      <c r="B18" s="3003"/>
      <c r="C18" s="3003"/>
      <c r="D18" s="3004"/>
      <c r="E18" s="3004"/>
      <c r="F18" s="3004"/>
      <c r="G18" s="3004"/>
      <c r="H18" s="3005"/>
      <c r="I18" s="2993"/>
      <c r="J18" s="2993"/>
      <c r="K18" s="2993"/>
      <c r="L18" s="2993"/>
      <c r="M18" s="2993"/>
      <c r="N18" s="2993"/>
      <c r="O18" s="2993"/>
      <c r="P18" s="2993"/>
      <c r="Q18" s="2993"/>
      <c r="R18" s="2993"/>
      <c r="S18" s="2993"/>
      <c r="T18" s="2993"/>
      <c r="U18" s="2993"/>
      <c r="V18" s="2993"/>
      <c r="W18" s="2993"/>
      <c r="X18" s="2993"/>
      <c r="Y18" s="2993"/>
      <c r="Z18" s="2993"/>
      <c r="AA18" s="2994"/>
      <c r="AB18" s="2994"/>
      <c r="AC18" s="2994"/>
      <c r="AD18" s="2994"/>
      <c r="AE18" s="2994"/>
      <c r="AF18" s="2994"/>
      <c r="AG18" s="2994"/>
      <c r="AH18" s="2994"/>
      <c r="AI18" s="2994"/>
    </row>
    <row r="19" spans="1:35" s="2995" customFormat="1" ht="21.75" customHeight="1">
      <c r="A19" s="2993"/>
      <c r="B19" s="2993"/>
      <c r="C19" s="2993"/>
      <c r="D19" s="2993"/>
      <c r="E19" s="2993"/>
      <c r="F19" s="3012" t="s">
        <v>3168</v>
      </c>
      <c r="G19" s="3013"/>
      <c r="H19" s="3013"/>
      <c r="I19" s="3014" t="s">
        <v>3169</v>
      </c>
      <c r="J19" s="2993"/>
      <c r="K19" s="2993"/>
      <c r="L19" s="2993"/>
      <c r="M19" s="2993"/>
      <c r="N19" s="2993"/>
      <c r="O19" s="2993"/>
      <c r="P19" s="2993"/>
      <c r="Q19" s="2993"/>
      <c r="R19" s="2993"/>
      <c r="S19" s="2993"/>
      <c r="T19" s="2993"/>
      <c r="U19" s="2993"/>
      <c r="V19" s="2993"/>
      <c r="W19" s="2993"/>
      <c r="X19" s="2993"/>
      <c r="Y19" s="2993"/>
      <c r="Z19" s="2993"/>
      <c r="AA19" s="2994"/>
      <c r="AB19" s="2994"/>
      <c r="AC19" s="2994"/>
      <c r="AD19" s="2994"/>
      <c r="AE19" s="2994"/>
      <c r="AF19" s="2994"/>
      <c r="AG19" s="2994"/>
      <c r="AH19" s="2994"/>
      <c r="AI19" s="2994"/>
    </row>
    <row r="20" spans="1:35" s="2995" customFormat="1" ht="21.75" customHeight="1">
      <c r="A20" s="2993"/>
      <c r="B20" s="3015" t="s">
        <v>3170</v>
      </c>
      <c r="C20" s="2993"/>
      <c r="D20" s="2993"/>
      <c r="E20" s="2993"/>
      <c r="F20" s="2993"/>
      <c r="G20" s="2993"/>
      <c r="H20" s="2993"/>
      <c r="I20" s="2993"/>
      <c r="J20" s="2993"/>
      <c r="K20" s="2993"/>
      <c r="L20" s="2993"/>
      <c r="M20" s="2993"/>
      <c r="N20" s="2993"/>
      <c r="O20" s="2993"/>
      <c r="P20" s="2993"/>
      <c r="Q20" s="2993"/>
      <c r="R20" s="2993"/>
      <c r="S20" s="2993"/>
      <c r="T20" s="2993"/>
      <c r="U20" s="2993"/>
      <c r="V20" s="2993"/>
      <c r="W20" s="2993"/>
      <c r="X20" s="2993"/>
      <c r="Y20" s="2993"/>
      <c r="Z20" s="2993"/>
      <c r="AA20" s="2994"/>
      <c r="AB20" s="2994"/>
      <c r="AC20" s="2994"/>
      <c r="AD20" s="2994"/>
      <c r="AE20" s="2994"/>
      <c r="AF20" s="2994"/>
      <c r="AG20" s="2994"/>
      <c r="AH20" s="2994"/>
      <c r="AI20" s="2994"/>
    </row>
    <row r="21" spans="1:35" s="2995" customFormat="1" ht="21.75" customHeight="1">
      <c r="A21" s="2993"/>
      <c r="B21" s="2993"/>
      <c r="C21" s="2993"/>
      <c r="D21" s="2993"/>
      <c r="E21" s="2993"/>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4"/>
      <c r="AB21" s="2994"/>
      <c r="AC21" s="2994"/>
      <c r="AD21" s="2994"/>
      <c r="AE21" s="2994"/>
      <c r="AF21" s="2994"/>
      <c r="AG21" s="2994"/>
      <c r="AH21" s="2994"/>
      <c r="AI21" s="2994"/>
    </row>
    <row r="22" spans="1:35" s="2995" customFormat="1" ht="21.75" customHeight="1">
      <c r="A22" s="2993"/>
      <c r="B22" s="3013"/>
      <c r="C22" s="3013"/>
      <c r="D22" s="3013"/>
      <c r="E22" s="3013"/>
      <c r="F22" s="3013"/>
      <c r="G22" s="3013"/>
      <c r="H22" s="3013"/>
      <c r="I22" s="3014" t="s">
        <v>3171</v>
      </c>
      <c r="J22" s="2993"/>
      <c r="K22" s="2993"/>
      <c r="L22" s="2993"/>
      <c r="M22" s="2993"/>
      <c r="N22" s="2993"/>
      <c r="O22" s="2993"/>
      <c r="P22" s="2993"/>
      <c r="Q22" s="2993"/>
      <c r="R22" s="2993"/>
      <c r="S22" s="2993"/>
      <c r="T22" s="2993"/>
      <c r="U22" s="2993"/>
      <c r="V22" s="2993"/>
      <c r="W22" s="2993"/>
      <c r="X22" s="2993"/>
      <c r="Y22" s="2993"/>
      <c r="Z22" s="2993"/>
      <c r="AA22" s="2994"/>
      <c r="AB22" s="2994"/>
      <c r="AC22" s="2994"/>
      <c r="AD22" s="2994"/>
      <c r="AE22" s="2994"/>
      <c r="AF22" s="2994"/>
      <c r="AG22" s="2994"/>
      <c r="AH22" s="2994"/>
      <c r="AI22" s="2994"/>
    </row>
    <row r="23" spans="1:35" s="2995" customFormat="1" ht="21.75" customHeight="1">
      <c r="A23" s="2993"/>
      <c r="B23" s="3015" t="s">
        <v>3172</v>
      </c>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4"/>
      <c r="AB23" s="2994"/>
      <c r="AC23" s="2994"/>
      <c r="AD23" s="2994"/>
      <c r="AE23" s="2994"/>
      <c r="AF23" s="2994"/>
      <c r="AG23" s="2994"/>
      <c r="AH23" s="2994"/>
      <c r="AI23" s="2994"/>
    </row>
    <row r="24" spans="1:35" s="2995" customFormat="1" ht="21.75" customHeight="1">
      <c r="A24" s="2993"/>
      <c r="B24" s="3015"/>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4"/>
      <c r="AB24" s="2994"/>
      <c r="AC24" s="2994"/>
      <c r="AD24" s="2994"/>
      <c r="AE24" s="2994"/>
      <c r="AF24" s="2994"/>
      <c r="AG24" s="2994"/>
      <c r="AH24" s="2994"/>
      <c r="AI24" s="2994"/>
    </row>
    <row r="25" spans="1:35" s="2995" customFormat="1" ht="21.75" customHeight="1">
      <c r="A25" s="2993"/>
      <c r="B25" s="3013"/>
      <c r="C25" s="3013"/>
      <c r="D25" s="3013"/>
      <c r="E25" s="3013"/>
      <c r="F25" s="3013"/>
      <c r="G25" s="3013"/>
      <c r="H25" s="3013"/>
      <c r="I25" s="3014" t="s">
        <v>3171</v>
      </c>
      <c r="J25" s="2993"/>
      <c r="K25" s="2993"/>
      <c r="L25" s="2993"/>
      <c r="M25" s="2993"/>
      <c r="N25" s="2993"/>
      <c r="O25" s="2993"/>
      <c r="P25" s="2993"/>
      <c r="Q25" s="2993"/>
      <c r="R25" s="2993"/>
      <c r="S25" s="2993"/>
      <c r="T25" s="2993"/>
      <c r="U25" s="2993"/>
      <c r="V25" s="2993"/>
      <c r="W25" s="2993"/>
      <c r="X25" s="2993"/>
      <c r="Y25" s="2993"/>
      <c r="Z25" s="2993"/>
      <c r="AA25" s="2994"/>
      <c r="AB25" s="2994"/>
      <c r="AC25" s="2994"/>
      <c r="AD25" s="2994"/>
      <c r="AE25" s="2994"/>
      <c r="AF25" s="2994"/>
      <c r="AG25" s="2994"/>
      <c r="AH25" s="2994"/>
      <c r="AI25" s="2994"/>
    </row>
    <row r="26" spans="1:35" s="2995" customFormat="1" ht="21.75" customHeight="1">
      <c r="A26" s="2993"/>
      <c r="B26" s="3015"/>
      <c r="C26" s="3016"/>
      <c r="D26" s="3017"/>
      <c r="E26" s="3017"/>
      <c r="F26" s="3018"/>
      <c r="G26" s="2993"/>
      <c r="H26" s="2993"/>
      <c r="I26" s="2993"/>
      <c r="J26" s="2993"/>
      <c r="K26" s="2993"/>
      <c r="L26" s="2993"/>
      <c r="M26" s="2993"/>
      <c r="N26" s="2993"/>
      <c r="O26" s="2993"/>
      <c r="P26" s="2993"/>
      <c r="Q26" s="2993"/>
      <c r="R26" s="2993"/>
      <c r="S26" s="2993"/>
      <c r="T26" s="2993"/>
      <c r="U26" s="2993"/>
      <c r="V26" s="2993"/>
      <c r="W26" s="2993"/>
      <c r="X26" s="2993"/>
      <c r="Y26" s="2993"/>
      <c r="Z26" s="2993"/>
      <c r="AA26" s="2994"/>
      <c r="AB26" s="2994"/>
      <c r="AC26" s="2994"/>
      <c r="AD26" s="2994"/>
      <c r="AE26" s="2994"/>
      <c r="AF26" s="2994"/>
      <c r="AG26" s="2994"/>
      <c r="AH26" s="2994"/>
      <c r="AI26" s="2994"/>
    </row>
  </sheetData>
  <mergeCells count="22">
    <mergeCell ref="A11:C11"/>
    <mergeCell ref="D11:I11"/>
    <mergeCell ref="A12:I12"/>
    <mergeCell ref="A8:C8"/>
    <mergeCell ref="D8:I8"/>
    <mergeCell ref="A9:C9"/>
    <mergeCell ref="D9:I9"/>
    <mergeCell ref="A10:C10"/>
    <mergeCell ref="D10:I10"/>
    <mergeCell ref="A5:C5"/>
    <mergeCell ref="D5:I5"/>
    <mergeCell ref="A6:C6"/>
    <mergeCell ref="D6:I6"/>
    <mergeCell ref="A7:C7"/>
    <mergeCell ref="D7:I7"/>
    <mergeCell ref="A1:I1"/>
    <mergeCell ref="A2:A3"/>
    <mergeCell ref="B2:B3"/>
    <mergeCell ref="C2:C3"/>
    <mergeCell ref="D2:E2"/>
    <mergeCell ref="F2:G2"/>
    <mergeCell ref="H2:I2"/>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6" t="str">
        <f>项目基本情况!B1</f>
        <v>北京市通州区砖厂南里40、41、207号楼商业用房房地产抵押价值预评估</v>
      </c>
      <c r="C37" s="3076"/>
      <c r="D37" s="3076"/>
      <c r="E37" s="3076"/>
      <c r="F37" s="3076"/>
      <c r="G37" s="3076"/>
      <c r="H37" s="3076"/>
      <c r="I37" s="3076"/>
    </row>
    <row r="38" spans="1:9">
      <c r="A38" s="1012"/>
      <c r="B38" s="1012"/>
    </row>
    <row r="39" spans="1:9">
      <c r="A39" s="1010" t="s">
        <v>818</v>
      </c>
      <c r="B39" s="1010" t="s">
        <v>820</v>
      </c>
    </row>
    <row r="40" spans="1:9">
      <c r="A40" s="1010"/>
      <c r="B40" s="1936" t="str">
        <f>项目基本情况!B5</f>
        <v>北京华和房地产开发有限公司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崔锴（注册号：1120100036)、欧红伟（注册号：1120000080)</v>
      </c>
    </row>
    <row r="47" spans="1:9">
      <c r="A47" s="1010"/>
      <c r="B47" s="1010" t="str">
        <f>项目基本情况!K5</f>
        <v/>
      </c>
    </row>
    <row r="48" spans="1:9">
      <c r="A48" s="1010" t="s">
        <v>818</v>
      </c>
      <c r="B48" s="1010" t="s">
        <v>824</v>
      </c>
    </row>
    <row r="49" spans="2:2">
      <c r="B49" s="1936"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c r="D1" s="2405"/>
      <c r="E1" s="2405"/>
      <c r="F1" s="2407" t="s">
        <v>2109</v>
      </c>
      <c r="G1" s="2062" t="s">
        <v>3044</v>
      </c>
      <c r="H1" s="2408" t="str">
        <f>IF(G1="现房","——","估价对象范围")</f>
        <v>——</v>
      </c>
      <c r="I1" s="2409"/>
    </row>
    <row r="2" spans="1:12" ht="21.75" customHeight="1" thickBot="1">
      <c r="A2" s="3228" t="str">
        <f>项目基本情况!S2</f>
        <v>北京市通州区砖厂南里40、41、207号楼商业用房房地产</v>
      </c>
      <c r="B2" s="3229"/>
      <c r="C2" s="3229"/>
      <c r="D2" s="3229"/>
      <c r="E2" s="3229"/>
      <c r="F2" s="3229"/>
      <c r="G2" s="3229"/>
      <c r="H2" s="3229"/>
      <c r="I2" s="3230"/>
    </row>
    <row r="3" spans="1:12" ht="12.75">
      <c r="A3" s="3232" t="s">
        <v>2111</v>
      </c>
      <c r="B3" s="3233"/>
      <c r="C3" s="3233"/>
      <c r="D3" s="3233"/>
      <c r="E3" s="3233"/>
      <c r="F3" s="3233"/>
      <c r="G3" s="3233"/>
      <c r="H3" s="3233"/>
      <c r="I3" s="3233"/>
    </row>
    <row r="4" spans="1:12" ht="14.25">
      <c r="A4" s="2412" t="s">
        <v>2112</v>
      </c>
      <c r="B4" s="2413" t="s">
        <v>2113</v>
      </c>
      <c r="C4" s="2414" t="s">
        <v>3150</v>
      </c>
      <c r="D4" s="2414" t="s">
        <v>3063</v>
      </c>
      <c r="E4" s="3225" t="s">
        <v>2114</v>
      </c>
      <c r="F4" s="3226"/>
      <c r="G4" s="3226"/>
      <c r="H4" s="3226"/>
      <c r="I4" s="3234"/>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08" t="s">
        <v>2115</v>
      </c>
      <c r="B5" s="3120">
        <v>25</v>
      </c>
      <c r="C5" s="3211">
        <v>23</v>
      </c>
      <c r="D5" s="3231">
        <v>12</v>
      </c>
      <c r="E5" s="139" t="s">
        <v>2116</v>
      </c>
      <c r="F5" s="2416"/>
      <c r="G5" s="2416"/>
      <c r="H5" s="2416"/>
      <c r="I5" s="1825"/>
    </row>
    <row r="6" spans="1:12" ht="12.75">
      <c r="A6" s="3208"/>
      <c r="B6" s="3120"/>
      <c r="C6" s="3212"/>
      <c r="D6" s="3231"/>
      <c r="E6" s="139" t="s">
        <v>2117</v>
      </c>
      <c r="F6" s="2416"/>
      <c r="G6" s="2416"/>
      <c r="H6" s="2416"/>
      <c r="I6" s="1825"/>
    </row>
    <row r="7" spans="1:12" ht="12.75">
      <c r="A7" s="3208"/>
      <c r="B7" s="3120"/>
      <c r="C7" s="3213"/>
      <c r="D7" s="3231"/>
      <c r="E7" s="139" t="s">
        <v>2118</v>
      </c>
      <c r="F7" s="2416"/>
      <c r="G7" s="2416"/>
      <c r="H7" s="2416"/>
      <c r="I7" s="1825"/>
    </row>
    <row r="8" spans="1:12" ht="12.75">
      <c r="A8" s="3208" t="s">
        <v>2119</v>
      </c>
      <c r="B8" s="3120">
        <v>15</v>
      </c>
      <c r="C8" s="3211">
        <v>14</v>
      </c>
      <c r="D8" s="3231">
        <v>8</v>
      </c>
      <c r="E8" s="139" t="s">
        <v>2120</v>
      </c>
      <c r="F8" s="2416"/>
      <c r="G8" s="2416"/>
      <c r="H8" s="2416"/>
      <c r="I8" s="1825"/>
    </row>
    <row r="9" spans="1:12" ht="12.75">
      <c r="A9" s="3208"/>
      <c r="B9" s="3120"/>
      <c r="C9" s="3213"/>
      <c r="D9" s="3231"/>
      <c r="E9" s="139" t="s">
        <v>2121</v>
      </c>
      <c r="F9" s="2416"/>
      <c r="G9" s="2416"/>
      <c r="H9" s="2416"/>
      <c r="I9" s="1825"/>
    </row>
    <row r="10" spans="1:12" ht="12.75">
      <c r="A10" s="3208" t="s">
        <v>2122</v>
      </c>
      <c r="B10" s="3120">
        <v>15</v>
      </c>
      <c r="C10" s="3211">
        <v>14</v>
      </c>
      <c r="D10" s="3231">
        <v>8</v>
      </c>
      <c r="E10" s="139" t="s">
        <v>2123</v>
      </c>
      <c r="F10" s="2416"/>
      <c r="G10" s="2416"/>
      <c r="H10" s="2416"/>
      <c r="I10" s="1825"/>
    </row>
    <row r="11" spans="1:12" ht="12.75">
      <c r="A11" s="3208"/>
      <c r="B11" s="3120"/>
      <c r="C11" s="3213"/>
      <c r="D11" s="3231"/>
      <c r="E11" s="139" t="s">
        <v>2124</v>
      </c>
      <c r="F11" s="2416"/>
      <c r="G11" s="2416"/>
      <c r="H11" s="2416"/>
      <c r="I11" s="1825"/>
    </row>
    <row r="12" spans="1:12" ht="12.75">
      <c r="A12" s="3208" t="s">
        <v>2125</v>
      </c>
      <c r="B12" s="3120">
        <v>15</v>
      </c>
      <c r="C12" s="3211">
        <v>13</v>
      </c>
      <c r="D12" s="3231">
        <v>10</v>
      </c>
      <c r="E12" s="139" t="s">
        <v>2126</v>
      </c>
      <c r="F12" s="2416"/>
      <c r="G12" s="2416"/>
      <c r="H12" s="2416"/>
      <c r="I12" s="1825"/>
    </row>
    <row r="13" spans="1:12" ht="12.75">
      <c r="A13" s="3208"/>
      <c r="B13" s="3120"/>
      <c r="C13" s="3213"/>
      <c r="D13" s="3231"/>
      <c r="E13" s="139" t="s">
        <v>2127</v>
      </c>
      <c r="F13" s="2416"/>
      <c r="G13" s="2416"/>
      <c r="H13" s="2416"/>
      <c r="I13" s="1825"/>
    </row>
    <row r="14" spans="1:12" ht="12.75">
      <c r="A14" s="3208" t="s">
        <v>2128</v>
      </c>
      <c r="B14" s="3120">
        <v>30</v>
      </c>
      <c r="C14" s="3211">
        <v>27</v>
      </c>
      <c r="D14" s="3231">
        <v>12</v>
      </c>
      <c r="E14" s="139" t="s">
        <v>2129</v>
      </c>
      <c r="F14" s="2416"/>
      <c r="G14" s="2416"/>
      <c r="H14" s="2416"/>
      <c r="I14" s="1825"/>
    </row>
    <row r="15" spans="1:12" ht="12.75">
      <c r="A15" s="3208"/>
      <c r="B15" s="3120"/>
      <c r="C15" s="3212"/>
      <c r="D15" s="3231"/>
      <c r="E15" s="139" t="s">
        <v>2130</v>
      </c>
      <c r="F15" s="2416"/>
      <c r="G15" s="2416"/>
      <c r="H15" s="2416"/>
      <c r="I15" s="1825"/>
    </row>
    <row r="16" spans="1:12" ht="12.75">
      <c r="A16" s="3208"/>
      <c r="B16" s="3120"/>
      <c r="C16" s="3213"/>
      <c r="D16" s="3231"/>
      <c r="E16" s="139" t="s">
        <v>2131</v>
      </c>
      <c r="F16" s="2416"/>
      <c r="G16" s="2416"/>
      <c r="H16" s="2416"/>
      <c r="I16" s="1825"/>
    </row>
    <row r="17" spans="1:35" ht="15">
      <c r="A17" s="2417" t="s">
        <v>2132</v>
      </c>
      <c r="B17" s="63"/>
      <c r="C17" s="140">
        <f>SUM(C5:C16)</f>
        <v>91</v>
      </c>
      <c r="D17" s="140">
        <f>SUM(D5:D16)</f>
        <v>50</v>
      </c>
      <c r="E17" s="137"/>
      <c r="F17" s="137"/>
      <c r="G17" s="137"/>
      <c r="H17" s="137"/>
      <c r="I17" s="137"/>
      <c r="K17" s="2415"/>
      <c r="L17" s="2418" t="s">
        <v>2133</v>
      </c>
      <c r="M17" s="2418" t="s">
        <v>2134</v>
      </c>
    </row>
    <row r="18" spans="1:35" ht="15.75" thickBot="1">
      <c r="A18" s="2419" t="s">
        <v>2135</v>
      </c>
      <c r="B18" s="2420"/>
      <c r="C18" s="141">
        <f>ROUND(C17/SUM(C17:D17),2)</f>
        <v>0.65</v>
      </c>
      <c r="D18" s="141">
        <f>1-C18</f>
        <v>0.35</v>
      </c>
      <c r="E18" s="137"/>
      <c r="F18" s="137"/>
      <c r="G18" s="137"/>
      <c r="H18" s="137"/>
      <c r="I18" s="137"/>
      <c r="K18" s="2415" t="s">
        <v>2136</v>
      </c>
      <c r="L18" s="2415">
        <f>IF(C1="",'数据-汇总表'!E3,SUMIF(项目类型,C1,'数据-汇总表'!E17:E26)+SUMIF(项目类型,C1,'数据-汇总表'!I17:I26))</f>
        <v>17329.439999999999</v>
      </c>
      <c r="M18" s="2415">
        <f>IF(C1="",'数据-汇总表'!E3,SUMIF(项目类型,C1,'数据-汇总表'!E17:E26))</f>
        <v>17329.439999999999</v>
      </c>
    </row>
    <row r="19" spans="1:35" ht="15">
      <c r="A19" s="2421" t="s">
        <v>2137</v>
      </c>
      <c r="B19" s="2422" t="s">
        <v>2138</v>
      </c>
      <c r="C19" s="142">
        <f ca="1">SUMIF(INDIRECT("'"&amp;C4&amp;"'"&amp;"!A:A"),结果表!B19,INDIRECT("'"&amp;C4&amp;"'"&amp;"!B:B"))</f>
        <v>37527</v>
      </c>
      <c r="D19" s="143">
        <f ca="1">SUMIF(INDIRECT("'"&amp;D4&amp;"'"&amp;"!A:A"),结果表!B19,INDIRECT("'"&amp;D4&amp;"'"&amp;"!B:B"))</f>
        <v>24578</v>
      </c>
      <c r="E19" s="2421" t="s">
        <v>2139</v>
      </c>
      <c r="F19" s="2422" t="s">
        <v>2138</v>
      </c>
      <c r="G19" s="144">
        <f ca="1">ROUND(C19*$C$18+D19*$D$18,0)</f>
        <v>32995</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f ca="1">SUMIF(INDIRECT("'"&amp;C4&amp;"'"&amp;"!A:A"),结果表!B20,INDIRECT("'"&amp;C4&amp;"'"&amp;"!B:B"))</f>
        <v>21655</v>
      </c>
      <c r="D20" s="146">
        <f ca="1">SUMIF(INDIRECT("'"&amp;D4&amp;"'"&amp;"!A:A"),结果表!B20,INDIRECT("'"&amp;D4&amp;"'"&amp;"!B:B"))</f>
        <v>14183</v>
      </c>
      <c r="E20" s="2424"/>
      <c r="F20" s="1241" t="s">
        <v>2142</v>
      </c>
      <c r="G20" s="3024">
        <f ca="1">J21*10000</f>
        <v>19039.853567108923</v>
      </c>
      <c r="H20" s="976" t="s">
        <v>2143</v>
      </c>
      <c r="I20" s="137"/>
    </row>
    <row r="21" spans="1:35" ht="15" customHeight="1" thickBot="1">
      <c r="A21" s="996"/>
      <c r="B21" s="2425" t="s">
        <v>2144</v>
      </c>
      <c r="C21" s="787" t="e">
        <f ca="1">ROUND(C19*10000/L19,0)</f>
        <v>#DIV/0!</v>
      </c>
      <c r="D21" s="788" t="e">
        <f ca="1">ROUND(D19*10000/L19,0)</f>
        <v>#DIV/0!</v>
      </c>
      <c r="E21" s="996"/>
      <c r="F21" s="2425" t="s">
        <v>2144</v>
      </c>
      <c r="G21" s="148" t="e">
        <f ca="1">ROUND(G19*10000/L19,0)</f>
        <v>#DIV/0!</v>
      </c>
      <c r="H21" s="2426" t="s">
        <v>2143</v>
      </c>
      <c r="I21" s="137"/>
      <c r="J21" s="793">
        <f ca="1">G19/('数据-取费表'!K6+'数据-取费表'!K8+'数据-取费表'!S6+'数据-取费表'!S8)</f>
        <v>1.9039853567108922</v>
      </c>
    </row>
    <row r="22" spans="1:35" ht="15" thickBot="1">
      <c r="A22" s="2271" t="s">
        <v>2145</v>
      </c>
      <c r="B22" s="2427"/>
      <c r="C22" s="2428"/>
      <c r="D22" s="789">
        <f ca="1">IF(C19&lt;D19,D19/C19-1,C19/D19-1)</f>
        <v>0.52685328342420057</v>
      </c>
      <c r="E22" s="137"/>
      <c r="F22" s="137"/>
      <c r="G22" s="137"/>
      <c r="H22" s="137"/>
      <c r="I22" s="137"/>
    </row>
    <row r="23" spans="1:35" ht="13.5" thickBot="1">
      <c r="A23" s="2405"/>
      <c r="B23" s="2405"/>
      <c r="C23" s="2405"/>
      <c r="D23" s="2405"/>
      <c r="E23" s="137"/>
      <c r="F23" s="137"/>
      <c r="G23" s="137"/>
      <c r="H23" s="137"/>
      <c r="I23" s="137"/>
      <c r="J23" s="793">
        <v>264998</v>
      </c>
    </row>
    <row r="24" spans="1:35" ht="14.25">
      <c r="A24" s="3202" t="s">
        <v>2146</v>
      </c>
      <c r="B24" s="2422" t="s">
        <v>2138</v>
      </c>
      <c r="C24" s="144">
        <f>IF(B30=0,0,D30)</f>
        <v>0</v>
      </c>
      <c r="D24" s="2429"/>
      <c r="E24" s="137"/>
      <c r="F24" s="137"/>
      <c r="G24" s="137"/>
      <c r="H24" s="137"/>
      <c r="I24" s="137"/>
    </row>
    <row r="25" spans="1:35" ht="14.25">
      <c r="A25" s="3203"/>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f>ROUND(C27*B27/10000,0)</f>
        <v>0</v>
      </c>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f ca="1">IF(D32="总价",G19-C24,G20-C25)</f>
        <v>32995</v>
      </c>
      <c r="D32" s="2436" t="s">
        <v>2153</v>
      </c>
      <c r="E32" s="137"/>
      <c r="F32" s="137"/>
      <c r="G32" s="137"/>
      <c r="H32" s="137"/>
      <c r="I32" s="137"/>
    </row>
    <row r="33" spans="1:15" ht="15">
      <c r="A33" s="953" t="s">
        <v>2154</v>
      </c>
      <c r="B33" s="2437"/>
      <c r="C33" s="2438" t="s">
        <v>3173</v>
      </c>
      <c r="D33" s="2439" t="s">
        <v>3061</v>
      </c>
      <c r="E33" s="2440" t="s">
        <v>2155</v>
      </c>
      <c r="F33" s="2441"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20" t="s">
        <v>2160</v>
      </c>
      <c r="B36" s="2448" t="s">
        <v>2161</v>
      </c>
      <c r="C36" s="153"/>
      <c r="D36" s="2449"/>
      <c r="E36" s="2450"/>
      <c r="F36" s="2451"/>
      <c r="G36" s="137"/>
      <c r="H36" s="137"/>
      <c r="I36" s="137"/>
    </row>
    <row r="37" spans="1:15" ht="15.75" thickBot="1">
      <c r="A37" s="3221"/>
      <c r="B37" s="2257" t="s">
        <v>2162</v>
      </c>
      <c r="C37" s="155"/>
      <c r="D37" s="1386"/>
      <c r="E37" s="1386"/>
      <c r="F37" s="2451"/>
      <c r="G37" s="137"/>
      <c r="H37" s="137"/>
      <c r="I37" s="137"/>
    </row>
    <row r="38" spans="1:15" ht="15.75" thickBot="1">
      <c r="A38" s="3222"/>
      <c r="B38" s="2452" t="s">
        <v>2163</v>
      </c>
      <c r="C38" s="725"/>
      <c r="D38" s="2453" t="s">
        <v>2164</v>
      </c>
      <c r="E38" s="1386"/>
      <c r="F38" s="2451"/>
      <c r="G38" s="137"/>
      <c r="H38" s="137"/>
      <c r="I38" s="137"/>
    </row>
    <row r="39" spans="1:15" ht="15">
      <c r="A39" s="2424" t="s">
        <v>2165</v>
      </c>
      <c r="B39" s="2454" t="s">
        <v>2166</v>
      </c>
      <c r="C39" s="2455" t="s">
        <v>2167</v>
      </c>
      <c r="D39" s="2455" t="s">
        <v>2168</v>
      </c>
      <c r="E39" s="2456" t="s">
        <v>2169</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199" t="s">
        <v>2174</v>
      </c>
      <c r="B45" s="3200"/>
      <c r="C45" s="3201"/>
      <c r="D45" s="163">
        <f ca="1">ROUND(H101*F45,0)</f>
        <v>32995</v>
      </c>
      <c r="E45" s="164" t="s">
        <v>2175</v>
      </c>
      <c r="F45" s="165">
        <v>1</v>
      </c>
      <c r="G45" s="166" t="s">
        <v>2176</v>
      </c>
      <c r="H45" s="137"/>
      <c r="I45" s="137"/>
      <c r="J45" s="3259" t="s">
        <v>2177</v>
      </c>
      <c r="K45" s="3259"/>
      <c r="L45" s="3259"/>
      <c r="M45" s="3259"/>
      <c r="N45" s="3259"/>
      <c r="O45" s="3259"/>
    </row>
    <row r="46" spans="1:15" ht="14.25" customHeight="1">
      <c r="A46" s="3196" t="s">
        <v>2178</v>
      </c>
      <c r="B46" s="3197"/>
      <c r="C46" s="3197"/>
      <c r="D46" s="3197"/>
      <c r="E46" s="3197"/>
      <c r="F46" s="3197"/>
      <c r="G46" s="3198"/>
      <c r="H46" s="2467"/>
      <c r="I46" s="167"/>
      <c r="J46" s="1803">
        <v>1</v>
      </c>
      <c r="K46" s="3259" t="s">
        <v>2179</v>
      </c>
      <c r="L46" s="3259"/>
      <c r="M46" s="3279"/>
      <c r="N46" s="3279"/>
      <c r="O46" s="3279"/>
    </row>
    <row r="47" spans="1:15" ht="12" customHeight="1">
      <c r="A47" s="168" t="s">
        <v>2180</v>
      </c>
      <c r="B47" s="169"/>
      <c r="C47" s="170"/>
      <c r="D47" s="171" t="s">
        <v>2181</v>
      </c>
      <c r="E47" s="24" t="s">
        <v>2182</v>
      </c>
      <c r="F47" s="172" t="s">
        <v>2183</v>
      </c>
      <c r="G47" s="173" t="s">
        <v>2184</v>
      </c>
      <c r="H47" s="2467"/>
      <c r="I47" s="167"/>
      <c r="J47" s="1803">
        <v>2</v>
      </c>
      <c r="K47" s="3259" t="s">
        <v>2185</v>
      </c>
      <c r="L47" s="3259"/>
      <c r="M47" s="3280">
        <f>'数据-取费表'!B2</f>
        <v>43185</v>
      </c>
      <c r="N47" s="3280"/>
      <c r="O47" s="3280"/>
    </row>
    <row r="48" spans="1:15" ht="25.5">
      <c r="A48" s="3227" t="s">
        <v>2186</v>
      </c>
      <c r="B48" s="3210"/>
      <c r="C48" s="3210"/>
      <c r="D48" s="139">
        <f>IF(H48="情况1",0,IF(H48="情况2",D52,IF(H48="情况3",D53,IF(H48="情况4",D54))))</f>
        <v>0</v>
      </c>
      <c r="E48" s="1792" t="str">
        <f>IF(H48="情况4","(销售额-原购置价)×税（费）率","销售额×税（费）率")</f>
        <v>销售额×税（费）率</v>
      </c>
      <c r="F48" s="174" t="str">
        <f>IF(H48="情况1","免征",'数据-取费表'!B41)</f>
        <v>免征</v>
      </c>
      <c r="G48" s="2468" t="s">
        <v>2187</v>
      </c>
      <c r="H48" s="2469" t="s">
        <v>2188</v>
      </c>
      <c r="I48" s="2467"/>
      <c r="J48" s="1803">
        <v>3</v>
      </c>
      <c r="K48" s="3259" t="s">
        <v>2189</v>
      </c>
      <c r="L48" s="3259"/>
      <c r="M48" s="3281">
        <f ca="1">H101</f>
        <v>32995</v>
      </c>
      <c r="N48" s="3281"/>
      <c r="O48" s="3281"/>
    </row>
    <row r="49" spans="1:35" ht="25.5" customHeight="1">
      <c r="A49" s="175" t="s">
        <v>2190</v>
      </c>
      <c r="B49" s="3195" t="s">
        <v>2191</v>
      </c>
      <c r="C49" s="3195"/>
      <c r="D49" s="176">
        <v>0</v>
      </c>
      <c r="E49" s="23" t="s">
        <v>2192</v>
      </c>
      <c r="F49" s="28" t="s">
        <v>34</v>
      </c>
      <c r="G49" s="3265"/>
      <c r="H49" s="137"/>
      <c r="I49" s="2470"/>
      <c r="J49" s="1803">
        <v>4</v>
      </c>
      <c r="K49" s="3259" t="str">
        <f>IF(项目基本情况!E8="房地产抵押价值","房地产抵押价值","抵押担保权已注销时的房地产抵押价值")</f>
        <v>房地产抵押价值</v>
      </c>
      <c r="L49" s="3259"/>
      <c r="M49" s="3281">
        <f ca="1">IF(项目基本情况!E8="房地产抵押价值",H107,H109)</f>
        <v>32995</v>
      </c>
      <c r="N49" s="3281"/>
      <c r="O49" s="3281"/>
    </row>
    <row r="50" spans="1:35" ht="25.5" customHeight="1">
      <c r="A50" s="177"/>
      <c r="B50" s="3195" t="s">
        <v>2193</v>
      </c>
      <c r="C50" s="3195"/>
      <c r="D50" s="178"/>
      <c r="E50" s="31"/>
      <c r="F50" s="179"/>
      <c r="G50" s="3266"/>
      <c r="H50" s="137"/>
      <c r="I50" s="2470"/>
      <c r="J50" s="3259" t="s">
        <v>2194</v>
      </c>
      <c r="K50" s="3259"/>
      <c r="L50" s="3259"/>
      <c r="M50" s="3259"/>
      <c r="N50" s="3259"/>
      <c r="O50" s="3259"/>
    </row>
    <row r="51" spans="1:35" ht="12" customHeight="1">
      <c r="A51" s="180"/>
      <c r="B51" s="3195" t="s">
        <v>2195</v>
      </c>
      <c r="C51" s="3195"/>
      <c r="D51" s="181"/>
      <c r="E51" s="30"/>
      <c r="F51" s="179"/>
      <c r="G51" s="3267"/>
      <c r="H51" s="137"/>
      <c r="I51" s="2470"/>
      <c r="J51" s="2471" t="s">
        <v>2196</v>
      </c>
      <c r="K51" s="3259" t="s">
        <v>2197</v>
      </c>
      <c r="L51" s="3259"/>
      <c r="M51" s="2471" t="s">
        <v>2198</v>
      </c>
      <c r="N51" s="2471" t="s">
        <v>2199</v>
      </c>
      <c r="O51" s="2471" t="s">
        <v>2200</v>
      </c>
    </row>
    <row r="52" spans="1:35" ht="24" customHeight="1">
      <c r="A52" s="182" t="s">
        <v>2201</v>
      </c>
      <c r="B52" s="3195" t="s">
        <v>2202</v>
      </c>
      <c r="C52" s="3195"/>
      <c r="D52" s="181">
        <f ca="1">ROUND(D45*'数据-取费表'!B41/(1+'数据-取费表'!C42),0)</f>
        <v>1728</v>
      </c>
      <c r="E52" s="11" t="s">
        <v>2203</v>
      </c>
      <c r="F52" s="183">
        <f>'数据-取费表'!B41</f>
        <v>5.5000000000000007E-2</v>
      </c>
      <c r="G52" s="2472"/>
      <c r="H52" s="137"/>
      <c r="I52" s="2470"/>
      <c r="J52" s="1803">
        <v>1</v>
      </c>
      <c r="K52" s="3260" t="s">
        <v>2204</v>
      </c>
      <c r="L52" s="3260"/>
      <c r="M52" s="1745">
        <f>D48</f>
        <v>0</v>
      </c>
      <c r="N52" s="1803" t="str">
        <f>E48</f>
        <v>销售额×税（费）率</v>
      </c>
      <c r="O52" s="1746" t="str">
        <f>F48</f>
        <v>免征</v>
      </c>
    </row>
    <row r="53" spans="1:35" ht="12" customHeight="1">
      <c r="A53" s="182" t="s">
        <v>2205</v>
      </c>
      <c r="B53" s="3218" t="s">
        <v>2206</v>
      </c>
      <c r="C53" s="3219"/>
      <c r="D53" s="181">
        <f ca="1">ROUND(D45*'数据-取费表'!B41/(1+'数据-取费表'!C42),0)</f>
        <v>1728</v>
      </c>
      <c r="E53" s="11" t="s">
        <v>2203</v>
      </c>
      <c r="F53" s="183">
        <f>'数据-取费表'!B41</f>
        <v>5.5000000000000007E-2</v>
      </c>
      <c r="G53" s="2472"/>
      <c r="H53" s="137"/>
      <c r="I53" s="2470"/>
      <c r="J53" s="1803">
        <v>2</v>
      </c>
      <c r="K53" s="3260" t="s">
        <v>2207</v>
      </c>
      <c r="L53" s="3260"/>
      <c r="M53" s="1745">
        <f t="shared" ref="M53:O54" ca="1" si="0">D55</f>
        <v>16</v>
      </c>
      <c r="N53" s="1803" t="str">
        <f t="shared" si="0"/>
        <v>销售额×税（费）率</v>
      </c>
      <c r="O53" s="1746">
        <f t="shared" si="0"/>
        <v>5.0000000000000001E-4</v>
      </c>
    </row>
    <row r="54" spans="1:35" ht="12" customHeight="1">
      <c r="A54" s="182" t="s">
        <v>2208</v>
      </c>
      <c r="B54" s="3218" t="s">
        <v>2209</v>
      </c>
      <c r="C54" s="3219"/>
      <c r="D54" s="181">
        <f ca="1">C68</f>
        <v>1728</v>
      </c>
      <c r="E54" s="30" t="s">
        <v>2210</v>
      </c>
      <c r="F54" s="183">
        <f>'数据-取费表'!B41</f>
        <v>5.5000000000000007E-2</v>
      </c>
      <c r="G54" s="2472"/>
      <c r="H54" s="2473"/>
      <c r="I54" s="2470"/>
      <c r="J54" s="1803">
        <v>3</v>
      </c>
      <c r="K54" s="3260" t="s">
        <v>2211</v>
      </c>
      <c r="L54" s="3260"/>
      <c r="M54" s="1745">
        <f t="shared" ca="1" si="0"/>
        <v>18705</v>
      </c>
      <c r="N54" s="1803" t="str">
        <f t="shared" si="0"/>
        <v>增值额×税（费）率</v>
      </c>
      <c r="O54" s="1747" t="str">
        <f t="shared" si="0"/>
        <v>——</v>
      </c>
    </row>
    <row r="55" spans="1:35" ht="24" customHeight="1">
      <c r="A55" s="3209" t="s">
        <v>2212</v>
      </c>
      <c r="B55" s="3210"/>
      <c r="C55" s="3210"/>
      <c r="D55" s="184">
        <f ca="1">IF(H55="个人住宅",0,ROUND(D45*I55,0))</f>
        <v>16</v>
      </c>
      <c r="E55" s="11" t="s">
        <v>2213</v>
      </c>
      <c r="F55" s="183">
        <f>IF(H55="正常",I55,"免征")</f>
        <v>5.0000000000000001E-4</v>
      </c>
      <c r="G55" s="2472"/>
      <c r="H55" s="2469" t="s">
        <v>2214</v>
      </c>
      <c r="I55" s="185">
        <f>'数据-取费表'!B49</f>
        <v>5.0000000000000001E-4</v>
      </c>
      <c r="J55" s="1803" t="str">
        <f>IF(H59="非个人房产","",4)</f>
        <v/>
      </c>
      <c r="K55" s="3260" t="str">
        <f>IF(H59="非个人房产","——","个人所得税")</f>
        <v>——</v>
      </c>
      <c r="L55" s="3260"/>
      <c r="M55" s="1748" t="str">
        <f>D59</f>
        <v>——</v>
      </c>
      <c r="N55" s="1801" t="str">
        <f>E59</f>
        <v>——</v>
      </c>
      <c r="O55" s="1749" t="str">
        <f>F59</f>
        <v>——</v>
      </c>
    </row>
    <row r="56" spans="1:35" ht="24.75">
      <c r="A56" s="3209" t="s">
        <v>2215</v>
      </c>
      <c r="B56" s="3210"/>
      <c r="C56" s="3210"/>
      <c r="D56" s="184">
        <f ca="1">IF(H56="个人住宅",D57,D58)</f>
        <v>18705</v>
      </c>
      <c r="E56" s="11" t="s">
        <v>2216</v>
      </c>
      <c r="F56" s="183" t="str">
        <f>IF(H56="正常",F58,"免征")</f>
        <v>——</v>
      </c>
      <c r="G56" s="2474" t="s">
        <v>2217</v>
      </c>
      <c r="H56" s="2475" t="s">
        <v>2214</v>
      </c>
      <c r="I56" s="2476"/>
      <c r="J56" s="1803" t="str">
        <f>IF(项目基本情况!K6="上海银行",IF(J55="",4,J55+1),"")</f>
        <v/>
      </c>
      <c r="K56" s="3283" t="str">
        <f>IF(项目基本情况!K6="上海银行","其他处置费用","")</f>
        <v/>
      </c>
      <c r="L56" s="3284"/>
      <c r="M56" s="1745" t="str">
        <f>IF(项目基本情况!K6="上海银行",M69,"")</f>
        <v/>
      </c>
      <c r="N56" s="3286" t="str">
        <f>IF(项目基本情况!K6="上海银行","包含处置中涉及的律师、诉讼、拍卖、评估等费用","")</f>
        <v/>
      </c>
      <c r="O56" s="3287"/>
    </row>
    <row r="57" spans="1:35" ht="12.75">
      <c r="A57" s="182" t="s">
        <v>2190</v>
      </c>
      <c r="B57" s="3225" t="s">
        <v>2218</v>
      </c>
      <c r="C57" s="3234"/>
      <c r="D57" s="186">
        <v>0</v>
      </c>
      <c r="E57" s="23" t="s">
        <v>2192</v>
      </c>
      <c r="F57" s="154"/>
      <c r="G57" s="2472"/>
      <c r="H57" s="2476"/>
      <c r="I57" s="2476"/>
      <c r="J57" s="3260">
        <f>IF(AND(J55="",J56=""),4,IF(项目基本情况!K6="上海银行",结果表!J56+1,结果表!J55+1))</f>
        <v>4</v>
      </c>
      <c r="K57" s="3260" t="s">
        <v>2219</v>
      </c>
      <c r="L57" s="2477" t="s">
        <v>2220</v>
      </c>
      <c r="M57" s="1750"/>
      <c r="N57" s="1751">
        <f ca="1">SUMIF(M52:M56,"&lt;9e307")</f>
        <v>18721</v>
      </c>
      <c r="O57" s="2478"/>
      <c r="P57" s="1744">
        <f ca="1">N57/M49</f>
        <v>0.56738899833308076</v>
      </c>
    </row>
    <row r="58" spans="1:35" ht="24.75">
      <c r="A58" s="182" t="s">
        <v>2201</v>
      </c>
      <c r="B58" s="3225" t="s">
        <v>2221</v>
      </c>
      <c r="C58" s="3226"/>
      <c r="D58" s="184">
        <f ca="1">IF(H58="转让取得",C81,C97)</f>
        <v>18705</v>
      </c>
      <c r="E58" s="11" t="s">
        <v>2216</v>
      </c>
      <c r="F58" s="24" t="s">
        <v>34</v>
      </c>
      <c r="G58" s="2472"/>
      <c r="H58" s="2475" t="s">
        <v>2222</v>
      </c>
      <c r="I58" s="2476"/>
      <c r="J58" s="3260"/>
      <c r="K58" s="3260"/>
      <c r="L58" s="2477" t="s">
        <v>2223</v>
      </c>
      <c r="M58" s="1752"/>
      <c r="N58" s="2479" t="str">
        <f ca="1">NUMBERSTRING(INT(N57*10000),2)&amp;"元整"</f>
        <v>壹亿捌仟柒佰贰拾壹万元整</v>
      </c>
      <c r="O58" s="2480"/>
    </row>
    <row r="59" spans="1:35" ht="24.75" thickBot="1">
      <c r="A59" s="3263" t="s">
        <v>2224</v>
      </c>
      <c r="B59" s="3264"/>
      <c r="C59" s="3264"/>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61">
        <f>J57+1</f>
        <v>5</v>
      </c>
      <c r="K59" s="3260" t="s">
        <v>2226</v>
      </c>
      <c r="L59" s="1803" t="s">
        <v>2220</v>
      </c>
      <c r="M59" s="1753"/>
      <c r="N59" s="1754">
        <f ca="1">M49-N57</f>
        <v>14274</v>
      </c>
      <c r="O59" s="2482"/>
    </row>
    <row r="60" spans="1:35" ht="12" customHeight="1">
      <c r="A60" s="2483"/>
      <c r="B60" s="2405"/>
      <c r="C60" s="2405"/>
      <c r="D60" s="2405"/>
      <c r="E60" s="2158"/>
      <c r="F60" s="2476"/>
      <c r="G60" s="2476"/>
      <c r="H60" s="2484"/>
      <c r="I60" s="137"/>
      <c r="J60" s="3262"/>
      <c r="K60" s="3260"/>
      <c r="L60" s="2477" t="s">
        <v>2223</v>
      </c>
      <c r="M60" s="1752"/>
      <c r="N60" s="2479" t="str">
        <f ca="1">NUMBERSTRING(INT(N59*10000),2)&amp;"元整"</f>
        <v>壹亿肆仟贰佰柒拾肆万元整</v>
      </c>
      <c r="O60" s="2480"/>
    </row>
    <row r="61" spans="1:35" ht="13.5" thickBot="1">
      <c r="A61" s="3207" t="s">
        <v>2227</v>
      </c>
      <c r="B61" s="3207"/>
      <c r="C61" s="3207"/>
      <c r="D61" s="3207"/>
      <c r="E61" s="3207"/>
      <c r="F61" s="2476"/>
      <c r="G61" s="2476"/>
      <c r="H61" s="2484"/>
      <c r="I61" s="137"/>
      <c r="J61" s="1803">
        <f>J59+1</f>
        <v>6</v>
      </c>
      <c r="K61" s="3260" t="s">
        <v>2228</v>
      </c>
      <c r="L61" s="3260"/>
      <c r="M61" s="1755"/>
      <c r="N61" s="1756">
        <f ca="1">ROUND(N59*10000/'数据-汇总表'!E3,0)</f>
        <v>8237</v>
      </c>
      <c r="O61" s="2485"/>
    </row>
    <row r="62" spans="1:35" ht="12.75">
      <c r="A62" s="3223" t="s">
        <v>2229</v>
      </c>
      <c r="B62" s="3224"/>
      <c r="C62" s="1795"/>
      <c r="D62" s="1795" t="s">
        <v>2230</v>
      </c>
      <c r="E62" s="191" t="s">
        <v>2231</v>
      </c>
      <c r="F62" s="2476"/>
      <c r="G62" s="2476"/>
      <c r="H62" s="2484"/>
      <c r="I62" s="137"/>
    </row>
    <row r="63" spans="1:35" ht="12.75">
      <c r="A63" s="202" t="s">
        <v>775</v>
      </c>
      <c r="B63" s="192" t="s">
        <v>2232</v>
      </c>
      <c r="C63" s="193">
        <f ca="1">ROUND((C64+C65)/(1+'数据-取费表'!C42),0)</f>
        <v>31424</v>
      </c>
      <c r="D63" s="194"/>
      <c r="E63" s="195"/>
      <c r="F63" s="2476"/>
      <c r="G63" s="2476"/>
      <c r="H63" s="2484"/>
      <c r="I63" s="137"/>
      <c r="J63" s="3285" t="s">
        <v>2233</v>
      </c>
      <c r="K63" s="2486" t="s">
        <v>2234</v>
      </c>
      <c r="L63" s="1743">
        <f ca="1">IF(M49&gt;10000,M49*0.5%,IF(AND(M49&gt;1000,M49&lt;=10000),M49*1%,IF(AND(M49&gt;100,M49&lt;=1000),M49*3%,IF(AND(M49&gt;10,M49&lt;=100),M49*5%,M49*8%))))</f>
        <v>164.97499999999999</v>
      </c>
      <c r="M63" s="24">
        <f ca="1">ROUND(L63,1)</f>
        <v>165</v>
      </c>
      <c r="Z63" s="2410"/>
      <c r="AI63" s="2411"/>
    </row>
    <row r="64" spans="1:35" ht="14.25" customHeight="1">
      <c r="A64" s="196" t="s">
        <v>770</v>
      </c>
      <c r="B64" s="197" t="s">
        <v>2235</v>
      </c>
      <c r="C64" s="198">
        <f ca="1">D45</f>
        <v>32995</v>
      </c>
      <c r="D64" s="199" t="s">
        <v>32</v>
      </c>
      <c r="E64" s="200"/>
      <c r="F64" s="2476"/>
      <c r="G64" s="2476"/>
      <c r="H64" s="2484"/>
      <c r="I64" s="137"/>
      <c r="J64" s="3285"/>
      <c r="K64" s="2486" t="s">
        <v>2236</v>
      </c>
      <c r="L64" s="1743">
        <f ca="1">IF(M49&gt;2000,M49*0.5%,IF(AND(M49&gt;1000,M49&lt;=2000),M49*0.6%,IF(AND(M49&gt;500,M49&lt;=1000),M49*0.7%,IF(AND(M49&gt;200,M49&lt;=500),M49*0.8%,IF(AND(M49&gt;100,M49&lt;=200),M49*0.9%,IF(AND(M49&gt;50,M49&lt;=100),M49*1%,IF(AND(M49&gt;20,M49&lt;=50),M49*1.5%,IF(AND(M49&gt;10,M49&lt;=20),M49*2%,IF(AND(M49&gt;1,M49&lt;=10),M49*2.5%)))))))))</f>
        <v>164.97499999999999</v>
      </c>
      <c r="M64" s="24">
        <f t="shared" ref="M64:M65" ca="1" si="1">ROUND(L64,1)</f>
        <v>165</v>
      </c>
      <c r="N64" s="137" t="s">
        <v>2237</v>
      </c>
      <c r="Z64" s="2410"/>
      <c r="AI64" s="2411"/>
    </row>
    <row r="65" spans="1:35" ht="14.25" customHeight="1">
      <c r="A65" s="196" t="s">
        <v>771</v>
      </c>
      <c r="B65" s="197" t="s">
        <v>2238</v>
      </c>
      <c r="C65" s="201"/>
      <c r="D65" s="199"/>
      <c r="E65" s="200"/>
      <c r="F65" s="2476"/>
      <c r="G65" s="2476"/>
      <c r="H65" s="2484"/>
      <c r="I65" s="137"/>
      <c r="J65" s="3285"/>
      <c r="K65" s="2486" t="s">
        <v>2239</v>
      </c>
      <c r="L65" s="1743">
        <f ca="1">IF(M49&gt;1000,M49*0.1%,IF(AND(M49&gt;500,M49&lt;=1000),M49*0.5%,IF(AND(M49&gt;50,M49&lt;=500),M49*1%,IF(AND(M49&gt;1,M49&lt;=50),M49*1.5%))))</f>
        <v>32.994999999999997</v>
      </c>
      <c r="M65" s="24">
        <f t="shared" ca="1" si="1"/>
        <v>33</v>
      </c>
      <c r="N65" s="137" t="s">
        <v>2237</v>
      </c>
      <c r="Z65" s="2410"/>
      <c r="AI65" s="2411"/>
    </row>
    <row r="66" spans="1:35" ht="14.25" customHeight="1">
      <c r="A66" s="202" t="s">
        <v>772</v>
      </c>
      <c r="B66" s="203" t="s">
        <v>2240</v>
      </c>
      <c r="C66" s="204"/>
      <c r="D66" s="205" t="s">
        <v>32</v>
      </c>
      <c r="E66" s="1767" t="s">
        <v>1369</v>
      </c>
      <c r="F66" s="2476"/>
      <c r="G66" s="2476"/>
      <c r="H66" s="2484"/>
      <c r="I66" s="137"/>
      <c r="J66" s="3285"/>
      <c r="K66" s="2486" t="s">
        <v>2241</v>
      </c>
      <c r="L66" s="1743">
        <f ca="1">M49*0.5%</f>
        <v>164.97499999999999</v>
      </c>
      <c r="M66" s="24">
        <f ca="1">IF(L66&gt;0.5,0.5,ROUND(L66,0))</f>
        <v>0.5</v>
      </c>
      <c r="N66" s="137" t="s">
        <v>2242</v>
      </c>
      <c r="Z66" s="2410"/>
      <c r="AI66" s="2411"/>
    </row>
    <row r="67" spans="1:35" ht="14.25" customHeight="1">
      <c r="A67" s="202" t="s">
        <v>773</v>
      </c>
      <c r="B67" s="203" t="s">
        <v>2243</v>
      </c>
      <c r="C67" s="206">
        <f ca="1">C63-C66</f>
        <v>31424</v>
      </c>
      <c r="D67" s="199" t="s">
        <v>32</v>
      </c>
      <c r="E67" s="200"/>
      <c r="F67" s="2476"/>
      <c r="G67" s="2476"/>
      <c r="H67" s="2484"/>
      <c r="I67" s="137"/>
      <c r="J67" s="3285"/>
      <c r="K67" s="2486" t="s">
        <v>2244</v>
      </c>
      <c r="L67" s="1743">
        <f ca="1">IF(M49&gt;=10000,(8.25+(M49-10000)*0.01%),IF(AND(M49&gt;=8000,M49&lt;10000),(7.85+(M49-8000)*0.02%),IF(AND(M49&gt;=5000,M49&lt;8000),(6.65+(M49-5000)*0.04%),IF(AND(M49&gt;=2000,M49&lt;5000),(4.25+(PM49-2000)*0.08%),IF(AND(M49&gt;=1000,M49&lt;2000),(2.75+(M49-1000)*0.15%),IF(AND(M49&gt;=100,M49&lt;1000),(0.5+(M49-100)*0.25%),IF(AND(M49&gt;0,M49&lt;100),M49*0.5%)))))))</f>
        <v>10.5495</v>
      </c>
      <c r="M67" s="24">
        <f ca="1">ROUND(L67*0.9,1)</f>
        <v>9.5</v>
      </c>
      <c r="Z67" s="2410"/>
      <c r="AI67" s="2411"/>
    </row>
    <row r="68" spans="1:35" ht="14.25" customHeight="1" thickBot="1">
      <c r="A68" s="207" t="s">
        <v>774</v>
      </c>
      <c r="B68" s="208" t="s">
        <v>2245</v>
      </c>
      <c r="C68" s="209">
        <f ca="1">IF(C67&lt;=0,0,ROUND(C67*D68,0))</f>
        <v>1728</v>
      </c>
      <c r="D68" s="210">
        <f>'数据-取费表'!B41</f>
        <v>5.5000000000000007E-2</v>
      </c>
      <c r="E68" s="211"/>
      <c r="F68" s="2476"/>
      <c r="G68" s="2476"/>
      <c r="H68" s="2484"/>
      <c r="I68" s="137"/>
      <c r="J68" s="3285"/>
      <c r="K68" s="2486" t="s">
        <v>2246</v>
      </c>
      <c r="L68" s="1743">
        <f ca="1">IF(M49&gt;10000,M49*0.5%,IF(AND(M49&gt;5000,M49&lt;=10000),M49*1%,IF(AND(M49&gt;1000,M49&lt;=5000),M49*2%,IF(AND(M49&gt;200,M49&lt;=1000),M49*3%,M49*5%))))</f>
        <v>164.97499999999999</v>
      </c>
      <c r="M68" s="24">
        <f ca="1">ROUND(L68,1)</f>
        <v>165</v>
      </c>
      <c r="Z68" s="2410"/>
      <c r="AI68" s="2411"/>
    </row>
    <row r="69" spans="1:35" s="2433" customFormat="1" ht="16.5" customHeight="1">
      <c r="A69" s="2487"/>
      <c r="B69" s="2488"/>
      <c r="C69" s="2489"/>
      <c r="D69" s="2490"/>
      <c r="E69" s="2491"/>
      <c r="F69" s="2158"/>
      <c r="G69" s="2158"/>
      <c r="H69" s="2157"/>
      <c r="I69" s="2405"/>
      <c r="J69" s="3285"/>
      <c r="K69" s="2486" t="s">
        <v>2247</v>
      </c>
      <c r="L69" s="2492"/>
      <c r="M69" s="24">
        <f ca="1">ROUND(SUM(M63:M68),0)</f>
        <v>538</v>
      </c>
      <c r="N69" s="1744">
        <f ca="1">M69/M49</f>
        <v>1.6305500833459614E-2</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thickBot="1">
      <c r="A70" s="3244" t="s">
        <v>2248</v>
      </c>
      <c r="B70" s="3245"/>
      <c r="C70" s="3245"/>
      <c r="D70" s="3245"/>
      <c r="E70" s="3245"/>
      <c r="F70" s="3245"/>
      <c r="G70" s="3245"/>
      <c r="H70" s="3245"/>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23" t="s">
        <v>2229</v>
      </c>
      <c r="B71" s="3224"/>
      <c r="C71" s="1795"/>
      <c r="D71" s="1795"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2" t="s">
        <v>775</v>
      </c>
      <c r="B72" s="203" t="s">
        <v>2249</v>
      </c>
      <c r="C72" s="206">
        <f ca="1">ROUND(D45/(1+'数据-取费表'!C42),0)</f>
        <v>31424</v>
      </c>
      <c r="D72" s="199" t="s">
        <v>32</v>
      </c>
      <c r="E72" s="1794"/>
      <c r="F72" s="1788"/>
      <c r="G72" s="178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2" t="s">
        <v>772</v>
      </c>
      <c r="B73" s="172" t="s">
        <v>2250</v>
      </c>
      <c r="C73" s="206">
        <f ca="1">C74+C78</f>
        <v>157</v>
      </c>
      <c r="D73" s="199" t="s">
        <v>32</v>
      </c>
      <c r="E73" s="1794"/>
      <c r="F73" s="1788"/>
      <c r="G73" s="178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2251</v>
      </c>
      <c r="C74" s="199">
        <f>ROUND(IF(G77="2016年5月1日后购买",C75/(1+'数据-取费表'!C42)+C76+C77,C75+C76+C77),0)</f>
        <v>0</v>
      </c>
      <c r="D74" s="199" t="s">
        <v>32</v>
      </c>
      <c r="E74" s="1794"/>
      <c r="F74" s="1788"/>
      <c r="G74" s="178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2256</v>
      </c>
      <c r="C76" s="199">
        <f>IF(F75="购房发票",ROUND(C75*H75*D76,0),0)</f>
        <v>0</v>
      </c>
      <c r="D76" s="221">
        <v>0.05</v>
      </c>
      <c r="E76" s="3218" t="s">
        <v>2257</v>
      </c>
      <c r="F76" s="3195"/>
      <c r="G76" s="3195"/>
      <c r="H76" s="324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0" t="s">
        <v>2260</v>
      </c>
      <c r="H77" s="179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2261</v>
      </c>
      <c r="C78" s="224">
        <f ca="1">ROUND(D45*D78/(1+'数据-取费表'!C42),0)</f>
        <v>157</v>
      </c>
      <c r="D78" s="225">
        <f>'数据-取费表'!B43</f>
        <v>5.000000000000001E-3</v>
      </c>
      <c r="E78" s="3204" t="s">
        <v>2262</v>
      </c>
      <c r="F78" s="3205"/>
      <c r="G78" s="3205"/>
      <c r="H78" s="321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3" t="s">
        <v>2263</v>
      </c>
      <c r="C79" s="206">
        <f ca="1">C72-C73</f>
        <v>31267</v>
      </c>
      <c r="D79" s="199" t="s">
        <v>32</v>
      </c>
      <c r="E79" s="1794"/>
      <c r="F79" s="1788"/>
      <c r="G79" s="178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2264</v>
      </c>
      <c r="C80" s="226">
        <f ca="1">IF(C79&lt;=0,0,C79/C73)</f>
        <v>199.15286624203821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8" t="s">
        <v>2265</v>
      </c>
      <c r="C81" s="227">
        <f ca="1">ROUND(IF(C79&lt;=0,0,IF(C80&gt;=200%,C79*60%-C73*35%,IF(C80&gt;=100%,C79*50%-C73*15%,IF(C80&gt;=50%,C79*40%-C73*5%,IF(C80&lt;50%,C79*30%,0))))),0)</f>
        <v>18705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44" t="s">
        <v>2266</v>
      </c>
      <c r="B83" s="3245"/>
      <c r="C83" s="3245"/>
      <c r="D83" s="3245"/>
      <c r="E83" s="3245"/>
      <c r="F83" s="3245"/>
      <c r="G83" s="3245"/>
      <c r="H83" s="3245"/>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23" t="s">
        <v>2229</v>
      </c>
      <c r="B84" s="3224"/>
      <c r="C84" s="1795"/>
      <c r="D84" s="1795"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2" t="s">
        <v>775</v>
      </c>
      <c r="B85" s="203" t="s">
        <v>2249</v>
      </c>
      <c r="C85" s="206">
        <f ca="1">ROUND(D45/(1+'数据-取费表'!C42),0)</f>
        <v>31424</v>
      </c>
      <c r="D85" s="199" t="s">
        <v>32</v>
      </c>
      <c r="E85" s="1794"/>
      <c r="F85" s="1788"/>
      <c r="G85" s="178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2" t="s">
        <v>772</v>
      </c>
      <c r="B86" s="172" t="s">
        <v>2250</v>
      </c>
      <c r="C86" s="206">
        <f ca="1">IF(H88="仅含出让金",C87+C90+C91+C92+C93+C94,C87+C91+C92+C93+C94)</f>
        <v>157</v>
      </c>
      <c r="D86" s="234"/>
      <c r="E86" s="1794"/>
      <c r="F86" s="1788"/>
      <c r="G86" s="178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6" t="s">
        <v>770</v>
      </c>
      <c r="B87" s="197" t="s">
        <v>2267</v>
      </c>
      <c r="C87" s="224">
        <f>C88+C89</f>
        <v>0</v>
      </c>
      <c r="D87" s="225"/>
      <c r="E87" s="1790"/>
      <c r="F87" s="1791"/>
      <c r="G87" s="1791"/>
      <c r="H87" s="1793"/>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6" t="s">
        <v>776</v>
      </c>
      <c r="B88" s="197" t="s">
        <v>2268</v>
      </c>
      <c r="C88" s="235"/>
      <c r="D88" s="225"/>
      <c r="E88" s="236" t="s">
        <v>2269</v>
      </c>
      <c r="F88" s="1791"/>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6" t="s">
        <v>777</v>
      </c>
      <c r="B89" s="197" t="s">
        <v>2258</v>
      </c>
      <c r="C89" s="224">
        <f>ROUND(C88*D89,0)</f>
        <v>0</v>
      </c>
      <c r="D89" s="225">
        <f>'数据-取费表'!B48+'数据-取费表'!B49</f>
        <v>3.0499999999999999E-2</v>
      </c>
      <c r="E89" s="236" t="s">
        <v>2271</v>
      </c>
      <c r="F89" s="1791"/>
      <c r="G89" s="1791"/>
      <c r="H89" s="1793"/>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6" t="s">
        <v>771</v>
      </c>
      <c r="B90" s="197" t="s">
        <v>2272</v>
      </c>
      <c r="C90" s="235"/>
      <c r="D90" s="225"/>
      <c r="E90" s="236" t="str">
        <f>IF(H88="-","土地取得成本中已包含该笔费用"," ")</f>
        <v xml:space="preserve"> </v>
      </c>
      <c r="F90" s="1791"/>
      <c r="G90" s="1791"/>
      <c r="H90" s="1793"/>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2273</v>
      </c>
      <c r="B91" s="197" t="s">
        <v>2274</v>
      </c>
      <c r="C91" s="224">
        <f>IF(H91="——",成本法!C33,I91)</f>
        <v>0</v>
      </c>
      <c r="D91" s="225"/>
      <c r="E91" s="3204" t="s">
        <v>2275</v>
      </c>
      <c r="F91" s="3205"/>
      <c r="G91" s="3205"/>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2277</v>
      </c>
      <c r="B92" s="197" t="s">
        <v>2278</v>
      </c>
      <c r="C92" s="224">
        <f>ROUND((C87+C90+C91)*D92,0)</f>
        <v>0</v>
      </c>
      <c r="D92" s="225">
        <v>0.1</v>
      </c>
      <c r="E92" s="3204" t="s">
        <v>2279</v>
      </c>
      <c r="F92" s="3205"/>
      <c r="G92" s="3205"/>
      <c r="H92" s="321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2280</v>
      </c>
      <c r="B93" s="197" t="s">
        <v>2261</v>
      </c>
      <c r="C93" s="224">
        <f ca="1">ROUND(D45*D93/(1+'数据-取费表'!C42),0)</f>
        <v>157</v>
      </c>
      <c r="D93" s="225">
        <f>'数据-取费表'!B43</f>
        <v>5.000000000000001E-3</v>
      </c>
      <c r="E93" s="3204" t="s">
        <v>2262</v>
      </c>
      <c r="F93" s="3205"/>
      <c r="G93" s="3205"/>
      <c r="H93" s="321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2281</v>
      </c>
      <c r="B94" s="197" t="s">
        <v>2282</v>
      </c>
      <c r="C94" s="235">
        <f>ROUND((C87+C90+C91)*D94,0)</f>
        <v>0</v>
      </c>
      <c r="D94" s="225">
        <v>0.2</v>
      </c>
      <c r="E94" s="3215" t="s">
        <v>2283</v>
      </c>
      <c r="F94" s="3216"/>
      <c r="G94" s="3216"/>
      <c r="H94" s="321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3" t="s">
        <v>2263</v>
      </c>
      <c r="C95" s="206">
        <f ca="1">ROUND(C85-C86,0)</f>
        <v>31267</v>
      </c>
      <c r="D95" s="199" t="s">
        <v>32</v>
      </c>
      <c r="E95" s="1794"/>
      <c r="F95" s="1788"/>
      <c r="G95" s="178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2264</v>
      </c>
      <c r="C96" s="226">
        <f ca="1">IF(C95&lt;=0,0,C95/C86)</f>
        <v>199.15286624203821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8" t="s">
        <v>2265</v>
      </c>
      <c r="C97" s="227">
        <f ca="1">ROUND(IF(C95&lt;=0,0,IF(C96&gt;=200%,C95*60%-C86*35%,IF(C96&gt;=100%,C95*50%-C86*15%,IF(C96&gt;=50%,C95*40%-C86*5%,IF(C96&lt;50%,C95*30%,0))))),0)</f>
        <v>18705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06"/>
      <c r="E100" s="3170" t="s">
        <v>2286</v>
      </c>
      <c r="F100" s="3170"/>
      <c r="G100" s="3170"/>
      <c r="H100" s="3206"/>
      <c r="I100" s="137"/>
    </row>
    <row r="101" spans="1:35" ht="18.75" customHeight="1">
      <c r="A101" s="3268" t="s">
        <v>2287</v>
      </c>
      <c r="B101" s="3269"/>
      <c r="C101" s="734" t="str">
        <f>C4</f>
        <v>典型户型修正</v>
      </c>
      <c r="D101" s="735" t="str">
        <f>D4</f>
        <v>收益法（汇总）</v>
      </c>
      <c r="E101" s="3282" t="s">
        <v>2288</v>
      </c>
      <c r="F101" s="3236"/>
      <c r="G101" s="2507" t="s">
        <v>2289</v>
      </c>
      <c r="H101" s="1041">
        <f ca="1">H118</f>
        <v>32995</v>
      </c>
      <c r="I101" s="137"/>
    </row>
    <row r="102" spans="1:35" ht="18.75" customHeight="1">
      <c r="A102" s="3238" t="s">
        <v>2290</v>
      </c>
      <c r="B102" s="2507" t="s">
        <v>2289</v>
      </c>
      <c r="C102" s="734">
        <f ca="1">C19</f>
        <v>37527</v>
      </c>
      <c r="D102" s="735">
        <f ca="1">D19</f>
        <v>24578</v>
      </c>
      <c r="E102" s="3282"/>
      <c r="F102" s="3236"/>
      <c r="G102" s="2507" t="s">
        <v>2291</v>
      </c>
      <c r="H102" s="370">
        <f ca="1">I118</f>
        <v>19040</v>
      </c>
      <c r="I102" s="137"/>
    </row>
    <row r="103" spans="1:35" ht="42.75" customHeight="1">
      <c r="A103" s="3238"/>
      <c r="B103" s="2507" t="s">
        <v>2291</v>
      </c>
      <c r="C103" s="736">
        <f ca="1">C20</f>
        <v>21655</v>
      </c>
      <c r="D103" s="737">
        <f ca="1">D20</f>
        <v>14183</v>
      </c>
      <c r="E103" s="3277" t="s">
        <v>2292</v>
      </c>
      <c r="F103" s="3278"/>
      <c r="G103" s="2508" t="s">
        <v>2293</v>
      </c>
      <c r="H103" s="1041">
        <f>IF(D36="正常操作",H104+H105+H106,H105+H106)</f>
        <v>0</v>
      </c>
      <c r="I103" s="137"/>
    </row>
    <row r="104" spans="1:35" ht="18.75" customHeight="1">
      <c r="A104" s="3238" t="s">
        <v>2294</v>
      </c>
      <c r="B104" s="2509" t="s">
        <v>2289</v>
      </c>
      <c r="C104" s="738">
        <f ca="1">H118</f>
        <v>32995</v>
      </c>
      <c r="D104" s="739"/>
      <c r="E104" s="2257" t="s">
        <v>2295</v>
      </c>
      <c r="F104" s="2249"/>
      <c r="G104" s="2508" t="s">
        <v>2293</v>
      </c>
      <c r="H104" s="1042">
        <f>IF(D36="同一抵押权人同一抵押物续贷",C36&amp;"（未扣减，详见特别提示）",C36)</f>
        <v>0</v>
      </c>
      <c r="I104" s="137"/>
    </row>
    <row r="105" spans="1:35" ht="18.75" customHeight="1" thickBot="1">
      <c r="A105" s="3239"/>
      <c r="B105" s="2510" t="s">
        <v>2291</v>
      </c>
      <c r="C105" s="740">
        <f ca="1">I118</f>
        <v>19040</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5" t="str">
        <f>IF(项目基本情况!E8="已注销","——","3.房地产抵押价值")</f>
        <v>3.房地产抵押价值</v>
      </c>
      <c r="F107" s="3236"/>
      <c r="G107" s="2507" t="s">
        <v>2289</v>
      </c>
      <c r="H107" s="1041">
        <f ca="1">IF(E107="——","——",H101-H103)</f>
        <v>32995</v>
      </c>
      <c r="I107" s="137"/>
    </row>
    <row r="108" spans="1:35" ht="18.75" customHeight="1">
      <c r="A108" s="137"/>
      <c r="B108" s="137"/>
      <c r="C108" s="137"/>
      <c r="D108" s="137"/>
      <c r="E108" s="3235"/>
      <c r="F108" s="3236"/>
      <c r="G108" s="2507" t="s">
        <v>2291</v>
      </c>
      <c r="H108" s="370">
        <f ca="1">ROUND(H107*10000/'数据-汇总表'!E3,0)</f>
        <v>19040</v>
      </c>
      <c r="I108" s="137"/>
    </row>
    <row r="109" spans="1:35" ht="18.75" customHeight="1">
      <c r="A109" s="137"/>
      <c r="B109" s="137"/>
      <c r="C109" s="137"/>
      <c r="D109" s="137"/>
      <c r="E109" s="3235" t="str">
        <f>IF(项目基本情况!E8="已注销及未注销","4.抵押担保权已注销时的房地产抵押价值",IF(项目基本情况!E8="已注销","3.抵押担保权已注销时的房地产抵押价值","——"))</f>
        <v>——</v>
      </c>
      <c r="F109" s="3236"/>
      <c r="G109" s="2507" t="s">
        <v>2289</v>
      </c>
      <c r="H109" s="347" t="str">
        <f>IF(E109="——","——",H101-H105-H106)</f>
        <v>——</v>
      </c>
      <c r="I109" s="137"/>
    </row>
    <row r="110" spans="1:35" ht="18.75" customHeight="1">
      <c r="A110" s="137"/>
      <c r="B110" s="137"/>
      <c r="C110" s="137"/>
      <c r="D110" s="137"/>
      <c r="E110" s="3235"/>
      <c r="F110" s="3236"/>
      <c r="G110" s="2507" t="s">
        <v>2291</v>
      </c>
      <c r="H110" s="370" t="str">
        <f>IF(H109="——","——",ROUND(H109*10000/'数据-汇总表'!E3,0))</f>
        <v>——</v>
      </c>
      <c r="I110" s="137"/>
    </row>
    <row r="111" spans="1:35" ht="18.75" customHeight="1">
      <c r="A111" s="137"/>
      <c r="B111" s="137"/>
      <c r="C111" s="137"/>
      <c r="D111" s="137"/>
      <c r="E111" s="3270" t="str">
        <f>IF(项目基本情况!E9="抵押净值",IF(OR(项目基本情况!E8="已注销",项目基本情况!E8="房地产抵押价值"),"4.抵押净值","5.抵押净值"),"——")</f>
        <v>——</v>
      </c>
      <c r="F111" s="3271"/>
      <c r="G111" s="2507" t="s">
        <v>2289</v>
      </c>
      <c r="H111" s="1041" t="str">
        <f>IF(E111="——","——",N59)</f>
        <v>——</v>
      </c>
      <c r="I111" s="137"/>
    </row>
    <row r="112" spans="1:35" ht="18.75" customHeight="1" thickBot="1">
      <c r="A112" s="137"/>
      <c r="B112" s="137"/>
      <c r="C112" s="137"/>
      <c r="D112" s="137"/>
      <c r="E112" s="3272"/>
      <c r="F112" s="3273"/>
      <c r="G112" s="2512" t="s">
        <v>2291</v>
      </c>
      <c r="H112" s="788" t="str">
        <f>IF(E111="——","——",N61)</f>
        <v>——</v>
      </c>
      <c r="I112" s="137"/>
    </row>
    <row r="113" spans="1:11" ht="18.75" customHeight="1">
      <c r="A113" s="137"/>
      <c r="B113" s="137"/>
      <c r="C113" s="137"/>
      <c r="D113" s="137"/>
      <c r="E113" s="3240" t="s">
        <v>2297</v>
      </c>
      <c r="F113" s="3240"/>
      <c r="G113" s="3240"/>
      <c r="H113" s="3240"/>
      <c r="I113" s="137"/>
    </row>
    <row r="114" spans="1:11" ht="3.75" customHeight="1">
      <c r="A114" s="2405"/>
      <c r="B114" s="2405"/>
      <c r="C114" s="2405"/>
      <c r="D114" s="2405"/>
      <c r="E114" s="2483"/>
      <c r="F114" s="2483"/>
      <c r="G114" s="2483"/>
      <c r="H114" s="2483"/>
      <c r="I114" s="2405"/>
    </row>
    <row r="115" spans="1:11" ht="18.75" customHeight="1">
      <c r="A115" s="3253" t="s">
        <v>2299</v>
      </c>
      <c r="B115" s="3254"/>
      <c r="C115" s="3254"/>
      <c r="D115" s="3254"/>
      <c r="E115" s="3254"/>
      <c r="F115" s="3254"/>
      <c r="G115" s="3254"/>
      <c r="H115" s="3254"/>
      <c r="I115" s="3255"/>
    </row>
    <row r="116" spans="1:11" ht="27" customHeight="1">
      <c r="A116" s="3120" t="s">
        <v>2300</v>
      </c>
      <c r="B116" s="3241" t="s">
        <v>2301</v>
      </c>
      <c r="C116" s="3241" t="s">
        <v>2302</v>
      </c>
      <c r="D116" s="3257" t="s">
        <v>2303</v>
      </c>
      <c r="E116" s="3258"/>
      <c r="F116" s="3249" t="s">
        <v>2304</v>
      </c>
      <c r="G116" s="3249"/>
      <c r="H116" s="3120" t="s">
        <v>2305</v>
      </c>
      <c r="I116" s="3120"/>
    </row>
    <row r="117" spans="1:11" ht="18.75" customHeight="1">
      <c r="A117" s="3120"/>
      <c r="B117" s="3242"/>
      <c r="C117" s="3242"/>
      <c r="D117" s="1789" t="s">
        <v>2306</v>
      </c>
      <c r="E117" s="1789" t="s">
        <v>2307</v>
      </c>
      <c r="F117" s="1789" t="s">
        <v>2306</v>
      </c>
      <c r="G117" s="1789" t="s">
        <v>2308</v>
      </c>
      <c r="H117" s="1789" t="s">
        <v>2306</v>
      </c>
      <c r="I117" s="1789" t="s">
        <v>2308</v>
      </c>
    </row>
    <row r="118" spans="1:11" ht="69.75" customHeight="1">
      <c r="A118" s="2513" t="str">
        <f>项目基本情况!S2</f>
        <v>北京市通州区砖厂南里40、41、207号楼商业用房房地产</v>
      </c>
      <c r="B118" s="1789">
        <f>M18</f>
        <v>17329.439999999999</v>
      </c>
      <c r="C118" s="1789">
        <f>M19</f>
        <v>0</v>
      </c>
      <c r="D118" s="1789" t="e">
        <f ca="1">ROUND(IF(D32="总价",C34,E118*B118/10000),0)</f>
        <v>#N/A</v>
      </c>
      <c r="E118" s="1789" t="e">
        <f ca="1">ROUND(IF(C33="自定义",IF(D32="楼面单价",C34,D118*10000/B118),I118-G118),0)</f>
        <v>#N/A</v>
      </c>
      <c r="F118" s="1789" t="e">
        <f ca="1">ROUND(IF(D32="总价",C35,G118*B118/10000),0)</f>
        <v>#N/A</v>
      </c>
      <c r="G118" s="1789" t="e">
        <f ca="1">ROUND(IF(D32="楼面单价",C35,F118*10000/B118),0)</f>
        <v>#N/A</v>
      </c>
      <c r="H118" s="1789">
        <f ca="1">ROUND(IF(D32="总价",C32,I118*B118/10000),0)</f>
        <v>32995</v>
      </c>
      <c r="I118" s="1789">
        <f ca="1">ROUND(IF(D32="楼面单价",C32,H118*10000/B118),0)</f>
        <v>19040</v>
      </c>
    </row>
    <row r="119" spans="1:11" ht="36" customHeight="1">
      <c r="A119" s="3120" t="s">
        <v>2309</v>
      </c>
      <c r="B119" s="3120"/>
      <c r="C119" s="3120"/>
      <c r="D119" s="3246" t="e">
        <f ca="1">NUMBERSTRING(INT(D118*10000),2)&amp;"元整"</f>
        <v>#N/A</v>
      </c>
      <c r="E119" s="3248"/>
      <c r="F119" s="3246" t="e">
        <f ca="1">NUMBERSTRING(INT(F118*10000),2)&amp;"元整"</f>
        <v>#N/A</v>
      </c>
      <c r="G119" s="3248"/>
      <c r="H119" s="3246" t="str">
        <f ca="1">NUMBERSTRING(INT(H118*10000),2)&amp;"元整"</f>
        <v>叁亿贰仟玖佰玖拾伍万元整</v>
      </c>
      <c r="I119" s="3248"/>
    </row>
    <row r="120" spans="1:11" ht="18.75" customHeight="1">
      <c r="A120" s="3274" t="str">
        <f>IF(项目基本情况!B9="房地产市场价值","",MID(E103,3,LEN(E103)-2))</f>
        <v>估价师知悉的法定优先受偿款</v>
      </c>
      <c r="B120" s="3275"/>
      <c r="C120" s="3276"/>
      <c r="D120" s="3274">
        <f>H103</f>
        <v>0</v>
      </c>
      <c r="E120" s="3275"/>
      <c r="F120" s="3275"/>
      <c r="G120" s="3275"/>
      <c r="H120" s="3275"/>
      <c r="I120" s="3276"/>
      <c r="K120" s="2410" t="str">
        <f>IF(D120=0,"故，本次评估不存在"&amp;A120,"故，本次评估"&amp;A120&amp;"为人民币"&amp;D120&amp;"万元整。")</f>
        <v>故，本次评估不存在估价师知悉的法定优先受偿款</v>
      </c>
    </row>
    <row r="121" spans="1:11" ht="18.75" customHeight="1">
      <c r="A121" s="3250" t="s">
        <v>2309</v>
      </c>
      <c r="B121" s="3251"/>
      <c r="C121" s="3252"/>
      <c r="D121" s="3246" t="str">
        <f>IF(D120=0,"零元整",NUMBERSTRING(INT(D120*10000),2)&amp;"元整")</f>
        <v>零元整</v>
      </c>
      <c r="E121" s="3247"/>
      <c r="F121" s="3247"/>
      <c r="G121" s="3247"/>
      <c r="H121" s="3247"/>
      <c r="I121" s="3248"/>
    </row>
    <row r="122" spans="1:11" ht="18.75" customHeight="1">
      <c r="A122" s="3237" t="str">
        <f>IF(项目基本情况!B9="房地产市场价值","",MID(E107,3,LEN(E107)-2))</f>
        <v>房地产抵押价值</v>
      </c>
      <c r="B122" s="3237"/>
      <c r="C122" s="3237"/>
      <c r="D122" s="3274">
        <f ca="1">H107</f>
        <v>32995</v>
      </c>
      <c r="E122" s="3275"/>
      <c r="F122" s="3275"/>
      <c r="G122" s="3275"/>
      <c r="H122" s="3275"/>
      <c r="I122" s="3276"/>
    </row>
    <row r="123" spans="1:11" ht="18.75" customHeight="1">
      <c r="A123" s="3120" t="s">
        <v>2309</v>
      </c>
      <c r="B123" s="3120"/>
      <c r="C123" s="3120"/>
      <c r="D123" s="3246" t="str">
        <f ca="1">NUMBERSTRING(INT(D122*10000),2)&amp;"元整"</f>
        <v>叁亿贰仟玖佰玖拾伍万元整</v>
      </c>
      <c r="E123" s="3247"/>
      <c r="F123" s="3247"/>
      <c r="G123" s="3247"/>
      <c r="H123" s="3247"/>
      <c r="I123" s="3248"/>
    </row>
    <row r="124" spans="1:11" ht="18.75" customHeight="1">
      <c r="A124" s="3237" t="str">
        <f>IF(项目基本情况!B9="房地产市场价值","",MID(E109,3,LEN(E109)-2))</f>
        <v/>
      </c>
      <c r="B124" s="3237"/>
      <c r="C124" s="3237"/>
      <c r="D124" s="3274" t="str">
        <f>H109</f>
        <v>——</v>
      </c>
      <c r="E124" s="3275"/>
      <c r="F124" s="3275"/>
      <c r="G124" s="3275"/>
      <c r="H124" s="3275"/>
      <c r="I124" s="3276"/>
    </row>
    <row r="125" spans="1:11" ht="18.75" customHeight="1">
      <c r="A125" s="3120" t="s">
        <v>2309</v>
      </c>
      <c r="B125" s="3120"/>
      <c r="C125" s="3120"/>
      <c r="D125" s="3246" t="e">
        <f>NUMBERSTRING(INT(D124*10000),2)&amp;"元整"</f>
        <v>#VALUE!</v>
      </c>
      <c r="E125" s="3247"/>
      <c r="F125" s="3247"/>
      <c r="G125" s="3247"/>
      <c r="H125" s="3247"/>
      <c r="I125" s="3248"/>
    </row>
    <row r="126" spans="1:11" ht="18.75" customHeight="1">
      <c r="A126" s="3237" t="str">
        <f>IF(项目基本情况!B9="房地产市场价值","",MID(E111,3,LEN(E111)-2))</f>
        <v/>
      </c>
      <c r="B126" s="3237"/>
      <c r="C126" s="3237"/>
      <c r="D126" s="3274" t="str">
        <f>H111</f>
        <v>——</v>
      </c>
      <c r="E126" s="3275"/>
      <c r="F126" s="3275"/>
      <c r="G126" s="3275"/>
      <c r="H126" s="3275"/>
      <c r="I126" s="3276"/>
    </row>
    <row r="127" spans="1:11" ht="18.75" customHeight="1">
      <c r="A127" s="3120" t="s">
        <v>2309</v>
      </c>
      <c r="B127" s="3120"/>
      <c r="C127" s="3120"/>
      <c r="D127" s="3246" t="e">
        <f>NUMBERSTRING(INT(D126*10000),2)&amp;"元整"</f>
        <v>#VALUE!</v>
      </c>
      <c r="E127" s="3247"/>
      <c r="F127" s="3247"/>
      <c r="G127" s="3247"/>
      <c r="H127" s="3247"/>
      <c r="I127" s="3248"/>
    </row>
    <row r="128" spans="1:11" ht="21.75" customHeight="1">
      <c r="A128" s="3256" t="s">
        <v>2310</v>
      </c>
      <c r="B128" s="3256"/>
      <c r="C128" s="3256"/>
      <c r="D128" s="3256"/>
      <c r="E128" s="3256"/>
      <c r="F128" s="3256"/>
      <c r="G128" s="3256"/>
      <c r="H128" s="3256"/>
      <c r="I128" s="325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1"/>
      <c r="C1" s="241"/>
      <c r="D1" s="241"/>
      <c r="E1" s="241"/>
      <c r="F1" s="241"/>
      <c r="G1" s="1373">
        <f>MATCH(B1,'数据-取费表'!A6:A16,0)+5</f>
        <v>7</v>
      </c>
    </row>
    <row r="2" spans="1:9" s="243" customFormat="1" ht="18" customHeight="1">
      <c r="A2" s="244" t="s">
        <v>2319</v>
      </c>
      <c r="B2" s="245">
        <f ca="1">IF(D2="——",C52,C52-E2)</f>
        <v>9126</v>
      </c>
      <c r="C2" s="242" t="s">
        <v>2320</v>
      </c>
      <c r="D2" s="2536" t="s">
        <v>70</v>
      </c>
      <c r="E2" s="1434" t="e">
        <f ca="1">SUMIF(INDIRECT("'"&amp;G2&amp;"'"&amp;"!A:A"),"承租人权益价值",INDIRECT("'"&amp;G2&amp;"'"&amp;"!c:c"))</f>
        <v>#REF!</v>
      </c>
      <c r="F2" s="2537" t="s">
        <v>2320</v>
      </c>
      <c r="G2" s="2538"/>
    </row>
    <row r="3" spans="1:9" s="243" customFormat="1" ht="18" customHeight="1" thickBot="1">
      <c r="A3" s="246" t="s">
        <v>2321</v>
      </c>
      <c r="B3" s="247">
        <f ca="1">ROUND(B2*10000/(IF(B1="",'数据-汇总表'!E3,INDIRECT("'数据-取费表'!k"&amp;$G$1))),0)</f>
        <v>5266</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347</v>
      </c>
      <c r="D5" s="254" t="s">
        <v>2326</v>
      </c>
      <c r="E5" s="255" t="s">
        <v>2327</v>
      </c>
      <c r="F5" s="255" t="s">
        <v>2328</v>
      </c>
      <c r="G5" s="256"/>
    </row>
    <row r="6" spans="1:9" s="257" customFormat="1" ht="13.5" customHeight="1">
      <c r="A6" s="945" t="s">
        <v>2329</v>
      </c>
      <c r="B6" s="258" t="s">
        <v>2330</v>
      </c>
      <c r="C6" s="259"/>
      <c r="D6" s="260"/>
      <c r="E6" s="261"/>
      <c r="F6" s="261"/>
      <c r="G6" s="262"/>
    </row>
    <row r="7" spans="1:9" s="257" customFormat="1" ht="13.5" customHeight="1">
      <c r="A7" s="945" t="s">
        <v>2331</v>
      </c>
      <c r="B7" s="258" t="s">
        <v>2332</v>
      </c>
      <c r="C7" s="263">
        <f>ROUND(C6*F7,0)</f>
        <v>0</v>
      </c>
      <c r="D7" s="263"/>
      <c r="E7" s="261"/>
      <c r="F7" s="264">
        <f>'数据-取费表'!B48+'数据-取费表'!B49</f>
        <v>3.0499999999999999E-2</v>
      </c>
      <c r="G7" s="262"/>
    </row>
    <row r="8" spans="1:9" s="266" customFormat="1">
      <c r="A8" s="945" t="s">
        <v>2333</v>
      </c>
      <c r="B8" s="258" t="s">
        <v>2334</v>
      </c>
      <c r="C8" s="263">
        <f>IF(G8="已包含在土地购买价格中","0",IF(B1="",'数据-取费表'!B29,IF(G9="全部缴纳",C9+C10,H9)))</f>
        <v>347</v>
      </c>
      <c r="D8" s="265"/>
      <c r="E8" s="263"/>
      <c r="F8" s="264"/>
      <c r="G8" s="2539"/>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0"/>
      <c r="H9" s="1384"/>
      <c r="I9" s="2541" t="s">
        <v>2336</v>
      </c>
    </row>
    <row r="10" spans="1:9" s="257" customFormat="1" ht="13.5" customHeight="1">
      <c r="A10" s="946" t="s">
        <v>801</v>
      </c>
      <c r="B10" s="267" t="s">
        <v>2337</v>
      </c>
      <c r="C10" s="268">
        <f ca="1">ROUND(D10*E10/10000,0)</f>
        <v>347</v>
      </c>
      <c r="D10" s="1028">
        <f ca="1">IF(B1="",'数据-汇总表'!E6,IF(INDIRECT("'数据-取费表'!c"&amp;$G$1)="住宅",INDIRECT("'数据-取费表'!s"&amp;$G$1),INDIRECT("'数据-取费表'!k"&amp;$G$1)+INDIRECT("'数据-取费表'!s"&amp;$G$1)))</f>
        <v>17329.439999999999</v>
      </c>
      <c r="E10" s="268">
        <f>'数据-取费表'!B28</f>
        <v>200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f ca="1">IF(G19="已包含在土地取得成本中","0",ROUND(D19*E19/10000,0))</f>
        <v>347</v>
      </c>
      <c r="D19" s="1032">
        <f ca="1">D9+D10</f>
        <v>17329.439999999999</v>
      </c>
      <c r="E19" s="254">
        <f>'数据-取费表'!B31</f>
        <v>200</v>
      </c>
      <c r="F19" s="274"/>
      <c r="G19" s="2539"/>
    </row>
    <row r="20" spans="1:7" s="257" customFormat="1" ht="13.5" customHeight="1">
      <c r="A20" s="298" t="s">
        <v>2350</v>
      </c>
      <c r="B20" s="253" t="s">
        <v>2351</v>
      </c>
      <c r="C20" s="275">
        <f ca="1">ROUND((C5+C19)*F20,0)</f>
        <v>14</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8">
        <f ca="1">ROUND(SUM(C23:C25),0)</f>
        <v>30</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7" t="s">
        <v>2359</v>
      </c>
      <c r="B23" s="258" t="s">
        <v>2360</v>
      </c>
      <c r="C23" s="1349">
        <f ca="1">ROUND(IF('数据-取费表'!B22&lt;=1,C5*F22*'数据-取费表'!B23,C5*(POWER((1+F22),'数据-取费表'!B23)-1)),0)</f>
        <v>15</v>
      </c>
      <c r="D23" s="281"/>
      <c r="E23" s="281"/>
      <c r="F23" s="282"/>
      <c r="G23" s="283" t="s">
        <v>2361</v>
      </c>
    </row>
    <row r="24" spans="1:7" s="257" customFormat="1" ht="13.5" customHeight="1">
      <c r="A24" s="947" t="s">
        <v>2362</v>
      </c>
      <c r="B24" s="258" t="s">
        <v>2363</v>
      </c>
      <c r="C24" s="1349">
        <f ca="1">ROUND(IF('数据-取费表'!B22&lt;=1,C19*F22*('数据-取费表'!B19/2+'数据-取费表'!B21),C19*(POWER((1+F22),('数据-取费表'!B19/2+'数据-取费表'!B21))-1)),0)</f>
        <v>15</v>
      </c>
      <c r="D24" s="281"/>
      <c r="E24" s="281"/>
      <c r="F24" s="282"/>
      <c r="G24" s="283" t="s">
        <v>2364</v>
      </c>
    </row>
    <row r="25" spans="1:7" s="257" customFormat="1" ht="24">
      <c r="A25" s="947" t="s">
        <v>2365</v>
      </c>
      <c r="B25" s="258" t="s">
        <v>2366</v>
      </c>
      <c r="C25" s="1349">
        <f ca="1">ROUND(IF('数据-取费表'!B22&lt;=1,C20*F22*'数据-取费表'!B23/2,C20*(POWER((1+F22),'数据-取费表'!B23/2)-1)),0)</f>
        <v>0</v>
      </c>
      <c r="D25" s="281"/>
      <c r="E25" s="284"/>
      <c r="F25" s="282"/>
      <c r="G25" s="285" t="s">
        <v>2367</v>
      </c>
    </row>
    <row r="26" spans="1:7" s="257" customFormat="1">
      <c r="A26" s="947"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106</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ROUND((C5+C19+C20)*F27*'数据-取费表'!B21/'数据-取费表'!B20,0)</f>
        <v>106</v>
      </c>
      <c r="D28" s="278"/>
      <c r="E28" s="279"/>
      <c r="F28" s="289"/>
      <c r="G28" s="290"/>
    </row>
    <row r="29" spans="1:7" s="257" customFormat="1" ht="13.5" customHeight="1">
      <c r="A29" s="947" t="s">
        <v>792</v>
      </c>
      <c r="B29" s="291" t="s">
        <v>2374</v>
      </c>
      <c r="C29" s="281">
        <f ca="1">ROUND(C21*F27*'数据-取费表'!B21/'数据-取费表'!B20,4)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913</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6685</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6065</v>
      </c>
      <c r="D34" s="260"/>
      <c r="E34" s="263"/>
      <c r="F34" s="300">
        <f ca="1">IF('数据-取费表'!B24=0,1,IF(B1="",'数据-取费表'!N16,INDIRECT("'数据-取费表'!n"&amp;$G$1)))</f>
        <v>1</v>
      </c>
      <c r="G34" s="262" t="s">
        <v>2383</v>
      </c>
    </row>
    <row r="35" spans="1:7" ht="13.5" customHeight="1">
      <c r="A35" s="947" t="s">
        <v>796</v>
      </c>
      <c r="B35" s="258" t="s">
        <v>2384</v>
      </c>
      <c r="C35" s="263">
        <f ca="1">ROUND(C34*F35,0)</f>
        <v>182</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347</v>
      </c>
      <c r="D37" s="260">
        <f ca="1">D19</f>
        <v>17329.439999999999</v>
      </c>
      <c r="E37" s="292">
        <f>'数据-取费表'!B35</f>
        <v>200</v>
      </c>
      <c r="F37" s="302"/>
      <c r="G37" s="304" t="s">
        <v>2389</v>
      </c>
    </row>
    <row r="38" spans="1:7" ht="13.5" customHeight="1">
      <c r="A38" s="947" t="s">
        <v>799</v>
      </c>
      <c r="B38" s="258" t="s">
        <v>2390</v>
      </c>
      <c r="C38" s="263">
        <f ca="1">ROUND(C34*F38,0)</f>
        <v>91</v>
      </c>
      <c r="D38" s="263"/>
      <c r="E38" s="263"/>
      <c r="F38" s="302">
        <f>'数据-取费表'!B36</f>
        <v>1.4999999999999999E-2</v>
      </c>
      <c r="G38" s="262" t="s">
        <v>2385</v>
      </c>
    </row>
    <row r="39" spans="1:7" s="257" customFormat="1" ht="13.5" customHeight="1">
      <c r="A39" s="298" t="s">
        <v>2391</v>
      </c>
      <c r="B39" s="253" t="s">
        <v>2392</v>
      </c>
      <c r="C39" s="275">
        <f ca="1">ROUND(C33*F20,0)</f>
        <v>134</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ROUND(IF('数据-取费表'!B22&lt;=1,C33*F22*'数据-取费表'!B21/2,C33*(POWER((1+F22),'数据-取费表'!B21/2)-1)),0)</f>
        <v>145</v>
      </c>
      <c r="D42" s="281"/>
      <c r="E42" s="281"/>
      <c r="F42" s="282"/>
      <c r="G42" s="3288" t="s">
        <v>2401</v>
      </c>
    </row>
    <row r="43" spans="1:7" ht="13.5" customHeight="1">
      <c r="A43" s="947" t="s">
        <v>792</v>
      </c>
      <c r="B43" s="258" t="s">
        <v>2402</v>
      </c>
      <c r="C43" s="281">
        <f ca="1">ROUND(IF('数据-取费表'!B22&lt;=1,C39*F22*'数据-取费表'!B21/2,C39*(POWER((1+F22),'数据-取费表'!B21/2)-1)),0)</f>
        <v>3</v>
      </c>
      <c r="D43" s="281"/>
      <c r="E43" s="281"/>
      <c r="F43" s="282"/>
      <c r="G43" s="3289"/>
    </row>
    <row r="44" spans="1:7" ht="13.5" customHeight="1">
      <c r="A44" s="947" t="s">
        <v>793</v>
      </c>
      <c r="B44" s="258" t="s">
        <v>2403</v>
      </c>
      <c r="C44" s="281">
        <f ca="1">ROUND(IF('数据-取费表'!B22&lt;=1,C40*F22*'数据-取费表'!B21/2,C40*(POWER((1+F22),'数据-取费表'!B21/2)-1)),4)</f>
        <v>4.0000000000000002E-4</v>
      </c>
      <c r="D44" s="281"/>
      <c r="E44" s="281"/>
      <c r="F44" s="282"/>
      <c r="G44" s="3290"/>
    </row>
    <row r="45" spans="1:7" s="257" customFormat="1" ht="13.5" customHeight="1">
      <c r="A45" s="298" t="s">
        <v>2404</v>
      </c>
      <c r="B45" s="287" t="s">
        <v>2370</v>
      </c>
      <c r="C45" s="288">
        <f ca="1">C46</f>
        <v>1023</v>
      </c>
      <c r="D45" s="278">
        <f ca="1">C47</f>
        <v>3.0000000000000001E-3</v>
      </c>
      <c r="E45" s="279" t="s">
        <v>2396</v>
      </c>
      <c r="F45" s="289"/>
      <c r="G45" s="290" t="s">
        <v>2405</v>
      </c>
    </row>
    <row r="46" spans="1:7" s="257" customFormat="1" ht="13.5" customHeight="1">
      <c r="A46" s="947" t="s">
        <v>791</v>
      </c>
      <c r="B46" s="291" t="s">
        <v>2406</v>
      </c>
      <c r="C46" s="292">
        <f ca="1">ROUND((C33+C39)*F27,0)</f>
        <v>1023</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1722">
        <f>ROUND(F30/(1+'数据-取费表'!C42),4)</f>
        <v>5.2400000000000002E-2</v>
      </c>
      <c r="D48" s="279" t="s">
        <v>2396</v>
      </c>
      <c r="E48" s="275"/>
      <c r="F48" s="280"/>
      <c r="G48" s="277" t="s">
        <v>2409</v>
      </c>
    </row>
    <row r="49" spans="1:7" ht="16.5" customHeight="1">
      <c r="A49" s="298" t="s">
        <v>2375</v>
      </c>
      <c r="B49" s="253" t="s">
        <v>2410</v>
      </c>
      <c r="C49" s="275">
        <f ca="1">ROUND((C33+C39+C41+C45)/(1-C40-D41-D45-C48),0)</f>
        <v>8645</v>
      </c>
      <c r="D49" s="275"/>
      <c r="E49" s="275"/>
      <c r="F49" s="307"/>
      <c r="G49" s="277" t="s">
        <v>2411</v>
      </c>
    </row>
    <row r="50" spans="1:7" s="301" customFormat="1" ht="24">
      <c r="A50" s="298" t="s">
        <v>2412</v>
      </c>
      <c r="B50" s="253" t="s">
        <v>2413</v>
      </c>
      <c r="C50" s="275"/>
      <c r="D50" s="275"/>
      <c r="E50" s="275"/>
      <c r="F50" s="307">
        <f>IF('数据-取费表'!B24=0,'数据-取费表'!N16,1)</f>
        <v>0.95</v>
      </c>
      <c r="G50" s="290" t="s">
        <v>2414</v>
      </c>
    </row>
    <row r="51" spans="1:7" ht="16.5" customHeight="1">
      <c r="A51" s="298" t="s">
        <v>2415</v>
      </c>
      <c r="B51" s="253" t="s">
        <v>2416</v>
      </c>
      <c r="C51" s="275">
        <f ca="1">ROUND(C49*F50,0)</f>
        <v>8213</v>
      </c>
      <c r="D51" s="275"/>
      <c r="E51" s="275"/>
      <c r="F51" s="307"/>
      <c r="G51" s="277" t="s">
        <v>2417</v>
      </c>
    </row>
    <row r="52" spans="1:7" s="251" customFormat="1" ht="16.5" thickBot="1">
      <c r="A52" s="308" t="s">
        <v>2418</v>
      </c>
      <c r="B52" s="309"/>
      <c r="C52" s="310">
        <f ca="1">C31+C51</f>
        <v>9126</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1"/>
      <c r="C1" s="2542" t="s">
        <v>2420</v>
      </c>
      <c r="D1" s="241"/>
      <c r="E1" s="241"/>
      <c r="F1" s="241"/>
      <c r="G1" s="1373">
        <f>MATCH(B1,'数据-取费表'!A6:A16,0)+5</f>
        <v>7</v>
      </c>
      <c r="H1" s="1276" t="str">
        <f>IF(ISERROR(FIND("住宅",B1)),"非住宅","住宅")</f>
        <v>非住宅</v>
      </c>
    </row>
    <row r="2" spans="1:8" s="243" customFormat="1" ht="18" customHeight="1">
      <c r="A2" s="244" t="s">
        <v>2319</v>
      </c>
      <c r="B2" s="245">
        <f ca="1">ROUND(IF(D2="——",C52/10000,C52/10000-E2),0)</f>
        <v>9125</v>
      </c>
      <c r="C2" s="242" t="s">
        <v>2320</v>
      </c>
      <c r="D2" s="2536" t="s">
        <v>70</v>
      </c>
      <c r="E2" s="1434" t="e">
        <f ca="1">SUMIF(INDIRECT("'"&amp;G2&amp;"'"&amp;"!A:A"),"承租人权益价值",INDIRECT("'"&amp;G2&amp;"'"&amp;"!c:c"))</f>
        <v>#REF!</v>
      </c>
      <c r="F2" s="2537" t="s">
        <v>2320</v>
      </c>
      <c r="G2" s="2538"/>
    </row>
    <row r="3" spans="1:8" s="243" customFormat="1" ht="18" customHeight="1" thickBot="1">
      <c r="A3" s="246" t="s">
        <v>2321</v>
      </c>
      <c r="B3" s="247">
        <f ca="1">ROUND(B2*10000/(IF(B1="",'数据-汇总表'!E3,INDIRECT("'数据-取费表'!k"&amp;$G$1))),0)</f>
        <v>5266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3465888</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3465888</v>
      </c>
      <c r="D8" s="265"/>
      <c r="E8" s="263"/>
      <c r="F8" s="264"/>
      <c r="G8" s="2539"/>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3465888</v>
      </c>
      <c r="D10" s="1028">
        <f ca="1">IF(B1="",'数据-汇总表'!E6,IF(INDIRECT("'数据-取费表'!c"&amp;$G$1)="住宅",INDIRECT("'数据-取费表'!s"&amp;$G$1),INDIRECT("'数据-取费表'!k"&amp;$G$1)+INDIRECT("'数据-取费表'!s"&amp;$G$1)))</f>
        <v>17329.439999999999</v>
      </c>
      <c r="E10" s="268">
        <f>'数据-取费表'!B28</f>
        <v>200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3465888</v>
      </c>
      <c r="D19" s="1032">
        <f ca="1">D9+D10</f>
        <v>17329.439999999999</v>
      </c>
      <c r="E19" s="254">
        <f>'数据-取费表'!B31</f>
        <v>200</v>
      </c>
      <c r="F19" s="274"/>
      <c r="G19" s="2539"/>
    </row>
    <row r="20" spans="1:7" s="257" customFormat="1" ht="13.5" customHeight="1">
      <c r="A20" s="298" t="s">
        <v>2431</v>
      </c>
      <c r="B20" s="253" t="s">
        <v>2432</v>
      </c>
      <c r="C20" s="275">
        <f ca="1">ROUND((C5+C19)*F20,0)</f>
        <v>138636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4">
        <f ca="1">ROUND(SUM(C23:C25),0)</f>
        <v>304547</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7" t="s">
        <v>2329</v>
      </c>
      <c r="B23" s="258" t="s">
        <v>2440</v>
      </c>
      <c r="C23" s="1375">
        <f ca="1">ROUND(IF('数据-取费表'!B22&lt;=1,C5*F22*'数据-取费表'!B22,C5*(POWER((1+F22),'数据-取费表'!B22)-1)),0)</f>
        <v>150766</v>
      </c>
      <c r="D23" s="281"/>
      <c r="E23" s="281"/>
      <c r="F23" s="282"/>
      <c r="G23" s="283" t="s">
        <v>2441</v>
      </c>
    </row>
    <row r="24" spans="1:7" s="257" customFormat="1" ht="13.5" customHeight="1">
      <c r="A24" s="947" t="s">
        <v>2331</v>
      </c>
      <c r="B24" s="258" t="s">
        <v>2442</v>
      </c>
      <c r="C24" s="1375">
        <f ca="1">ROUND(IF('数据-取费表'!B22&lt;=1,C19*F22*('数据-取费表'!B19/2+'数据-取费表'!B20),C19*(POWER((1+F22),('数据-取费表'!B19/2+'数据-取费表'!B20))-1)),0)</f>
        <v>150766</v>
      </c>
      <c r="D24" s="281"/>
      <c r="E24" s="281"/>
      <c r="F24" s="282"/>
      <c r="G24" s="283" t="s">
        <v>2443</v>
      </c>
    </row>
    <row r="25" spans="1:7" s="257" customFormat="1" ht="24">
      <c r="A25" s="947" t="s">
        <v>2333</v>
      </c>
      <c r="B25" s="258" t="s">
        <v>2444</v>
      </c>
      <c r="C25" s="1375">
        <f ca="1">ROUND(IF('数据-取费表'!B22&lt;=1,C20*F22*'数据-取费表'!B22/2,C20*(POWER((1+F22),'数据-取费表'!B22/2)-1)),0)</f>
        <v>3015</v>
      </c>
      <c r="D25" s="281"/>
      <c r="E25" s="284"/>
      <c r="F25" s="282"/>
      <c r="G25" s="285" t="s">
        <v>2445</v>
      </c>
    </row>
    <row r="26" spans="1:7" s="257" customFormat="1">
      <c r="A26" s="947"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1060562</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ROUND((C5+C19+C20)*F27,0)</f>
        <v>1060562</v>
      </c>
      <c r="D28" s="278"/>
      <c r="E28" s="279"/>
      <c r="F28" s="289"/>
      <c r="G28" s="290"/>
    </row>
    <row r="29" spans="1:7" s="257" customFormat="1" ht="13.5" customHeight="1">
      <c r="A29" s="947" t="s">
        <v>792</v>
      </c>
      <c r="B29" s="291" t="s">
        <v>2374</v>
      </c>
      <c r="C29" s="281">
        <f ca="1">ROUND(C21*F27,4)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9127376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66848315</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60653040</v>
      </c>
      <c r="D34" s="260"/>
      <c r="E34" s="263"/>
      <c r="F34" s="300"/>
      <c r="G34" s="262"/>
    </row>
    <row r="35" spans="1:7" ht="13.5" customHeight="1">
      <c r="A35" s="947" t="s">
        <v>796</v>
      </c>
      <c r="B35" s="258" t="s">
        <v>2384</v>
      </c>
      <c r="C35" s="263">
        <f ca="1">ROUND(C34*F35,0)</f>
        <v>1819591</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3465888</v>
      </c>
      <c r="D37" s="260">
        <f ca="1">D19</f>
        <v>17329.439999999999</v>
      </c>
      <c r="E37" s="292">
        <f>'数据-取费表'!B35</f>
        <v>200</v>
      </c>
      <c r="F37" s="302"/>
      <c r="G37" s="304"/>
    </row>
    <row r="38" spans="1:7" ht="13.5" customHeight="1">
      <c r="A38" s="947" t="s">
        <v>799</v>
      </c>
      <c r="B38" s="258" t="s">
        <v>2390</v>
      </c>
      <c r="C38" s="263">
        <f ca="1">ROUND(C34*F38,0)</f>
        <v>909796</v>
      </c>
      <c r="D38" s="263"/>
      <c r="E38" s="263"/>
      <c r="F38" s="302">
        <f>'数据-取费表'!B36</f>
        <v>1.4999999999999999E-2</v>
      </c>
      <c r="G38" s="262" t="s">
        <v>2385</v>
      </c>
    </row>
    <row r="39" spans="1:7" s="257" customFormat="1" ht="13.5" customHeight="1">
      <c r="A39" s="298" t="s">
        <v>2391</v>
      </c>
      <c r="B39" s="253" t="s">
        <v>2392</v>
      </c>
      <c r="C39" s="275">
        <f ca="1">ROUND(C33*F20,0)</f>
        <v>1336966</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1483030</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ROUND(IF('数据-取费表'!B22&lt;=1,C33*F22*'数据-取费表'!B20/2,C33*(POWER((1+F22),'数据-取费表'!B20/2)-1)),0)</f>
        <v>1453951</v>
      </c>
      <c r="D42" s="281"/>
      <c r="E42" s="281"/>
      <c r="F42" s="282"/>
      <c r="G42" s="3288" t="s">
        <v>2448</v>
      </c>
    </row>
    <row r="43" spans="1:7" ht="13.5" customHeight="1">
      <c r="A43" s="947" t="s">
        <v>792</v>
      </c>
      <c r="B43" s="258" t="s">
        <v>2402</v>
      </c>
      <c r="C43" s="281">
        <f ca="1">ROUND(IF('数据-取费表'!B22&lt;=1,C39*F22*'数据-取费表'!B20/2,C39*(POWER((1+F22),'数据-取费表'!B20/2)-1)),0)</f>
        <v>29079</v>
      </c>
      <c r="D43" s="281"/>
      <c r="E43" s="281"/>
      <c r="F43" s="282"/>
      <c r="G43" s="3289"/>
    </row>
    <row r="44" spans="1:7" ht="13.5" customHeight="1">
      <c r="A44" s="947" t="s">
        <v>793</v>
      </c>
      <c r="B44" s="258" t="s">
        <v>2403</v>
      </c>
      <c r="C44" s="281">
        <f ca="1">ROUND(IF('数据-取费表'!B22&lt;=1,C40*F22*'数据-取费表'!B20/2,C40*(POWER((1+F22),'数据-取费表'!B20/2)-1)),4)</f>
        <v>4.0000000000000002E-4</v>
      </c>
      <c r="D44" s="281"/>
      <c r="E44" s="281"/>
      <c r="F44" s="282"/>
      <c r="G44" s="3290"/>
    </row>
    <row r="45" spans="1:7" s="257" customFormat="1" ht="13.5" customHeight="1">
      <c r="A45" s="298" t="s">
        <v>2404</v>
      </c>
      <c r="B45" s="287" t="s">
        <v>2370</v>
      </c>
      <c r="C45" s="288">
        <f ca="1">C46</f>
        <v>10227792</v>
      </c>
      <c r="D45" s="278">
        <f ca="1">C47</f>
        <v>3.0000000000000001E-3</v>
      </c>
      <c r="E45" s="279" t="s">
        <v>2396</v>
      </c>
      <c r="F45" s="289"/>
      <c r="G45" s="290" t="s">
        <v>2405</v>
      </c>
    </row>
    <row r="46" spans="1:7" s="257" customFormat="1" ht="13.5" customHeight="1">
      <c r="A46" s="947" t="s">
        <v>791</v>
      </c>
      <c r="B46" s="291" t="s">
        <v>2406</v>
      </c>
      <c r="C46" s="292">
        <f ca="1">ROUND((C33+C39)*F27,0)</f>
        <v>10227792</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86448932</v>
      </c>
      <c r="D49" s="275"/>
      <c r="E49" s="275"/>
      <c r="F49" s="307"/>
      <c r="G49" s="277" t="s">
        <v>2411</v>
      </c>
    </row>
    <row r="50" spans="1:7" s="301" customFormat="1">
      <c r="A50" s="298" t="s">
        <v>2412</v>
      </c>
      <c r="B50" s="253" t="s">
        <v>2413</v>
      </c>
      <c r="C50" s="275"/>
      <c r="D50" s="275"/>
      <c r="E50" s="275"/>
      <c r="F50" s="307">
        <f>IF('数据-取费表'!B24=0,'数据-取费表'!N16,1)</f>
        <v>0.95</v>
      </c>
      <c r="G50" s="290"/>
    </row>
    <row r="51" spans="1:7" ht="16.5" customHeight="1">
      <c r="A51" s="298" t="s">
        <v>2415</v>
      </c>
      <c r="B51" s="253" t="s">
        <v>2450</v>
      </c>
      <c r="C51" s="275">
        <f ca="1">ROUND(C49*F50,0)</f>
        <v>82126485</v>
      </c>
      <c r="D51" s="275"/>
      <c r="E51" s="275"/>
      <c r="F51" s="307"/>
      <c r="G51" s="277" t="s">
        <v>2417</v>
      </c>
    </row>
    <row r="52" spans="1:7" s="251" customFormat="1" ht="16.5" thickBot="1">
      <c r="A52" s="308" t="s">
        <v>2418</v>
      </c>
      <c r="B52" s="309"/>
      <c r="C52" s="310">
        <f ca="1">C31+C51</f>
        <v>91253861</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5"/>
      <c r="C1" s="1576"/>
      <c r="D1" s="1574"/>
      <c r="E1" s="319"/>
      <c r="F1" s="319"/>
      <c r="G1" s="1575"/>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3" t="s">
        <v>2457</v>
      </c>
      <c r="D5" s="2543" t="s">
        <v>2458</v>
      </c>
      <c r="E5" s="2543" t="s">
        <v>2459</v>
      </c>
      <c r="F5" s="2543"/>
      <c r="G5" s="2543"/>
      <c r="H5" s="2543"/>
      <c r="I5" s="2543"/>
      <c r="J5" s="2543"/>
      <c r="K5" s="254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4"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1332</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2473</v>
      </c>
      <c r="C12" s="24">
        <f ca="1">ROUND(C11*F12,0)</f>
        <v>0</v>
      </c>
      <c r="D12" s="969"/>
      <c r="E12" s="374"/>
      <c r="F12" s="972">
        <f>'数据-取费表'!B33</f>
        <v>0.03</v>
      </c>
      <c r="G12" s="8" t="s">
        <v>2474</v>
      </c>
      <c r="H12" s="964"/>
      <c r="I12" s="964"/>
      <c r="J12" s="964"/>
      <c r="K12" s="965"/>
    </row>
    <row r="13" spans="1:33" s="971" customFormat="1" ht="13.5" customHeight="1">
      <c r="A13" s="967" t="s">
        <v>1334</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1335</v>
      </c>
      <c r="B14" s="968" t="s">
        <v>2477</v>
      </c>
      <c r="C14" s="24">
        <f ca="1">ROUND(D14*E14*F11/10000,0)</f>
        <v>0</v>
      </c>
      <c r="D14" s="1029">
        <f ca="1">IF(C1="",'数据-汇总表'!E3,INDIRECT("'数据-取费表'!K"&amp;$K$1)+INDIRECT("'数据-取费表'!S"&amp;$K$1))</f>
        <v>17329.439999999999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17329.439999999999</v>
      </c>
      <c r="E17" s="24">
        <f>'数据-取费表'!B32</f>
        <v>0</v>
      </c>
      <c r="F17" s="974"/>
      <c r="G17" s="139"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2484</v>
      </c>
      <c r="C18" s="24">
        <f ca="1">C19+C20-IF(C1="",'数据-取费表'!B29,IF(G18="已全部缴纳",C19+C20,H18))</f>
        <v>0</v>
      </c>
      <c r="D18" s="1029"/>
      <c r="E18" s="24"/>
      <c r="F18" s="972"/>
      <c r="G18" s="2545"/>
      <c r="H18" s="1571"/>
      <c r="I18" s="2546"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2487</v>
      </c>
      <c r="C20" s="24">
        <f ca="1">ROUND(D20*E20/10000,0)</f>
        <v>347</v>
      </c>
      <c r="D20" s="1029">
        <f ca="1">IF(C1="",'数据-汇总表'!E6,IF(INDIRECT("'数据-取费表'!c"&amp;$K$1)="住宅",INDIRECT("'数据-取费表'!s"&amp;$K$1),INDIRECT("'数据-取费表'!k"&amp;$K$1)+INDIRECT("'数据-取费表'!s"&amp;$K$1)))</f>
        <v>17329.439999999999</v>
      </c>
      <c r="E20" s="24">
        <f>'数据-取费表'!B28</f>
        <v>200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0">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7"/>
      <c r="E26" s="328"/>
      <c r="F26" s="329"/>
      <c r="G26" s="2547"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7"/>
      <c r="E27" s="328"/>
      <c r="F27" s="329"/>
      <c r="G27" s="2547" t="str">
        <f>IF('数据-取费表'!B22&lt;=1,"（1）-（3）项×年利率×建设期÷2","（1）-（3）项×((1+年利率)^(建设期÷2)-1)")</f>
        <v>（1）-（3）项×年利率×建设期÷2</v>
      </c>
      <c r="H27" s="975"/>
      <c r="I27" s="975"/>
      <c r="J27" s="975"/>
      <c r="K27" s="976"/>
    </row>
    <row r="28" spans="1:33" s="332" customFormat="1" ht="13.5" customHeight="1">
      <c r="A28" s="957" t="s">
        <v>2501</v>
      </c>
      <c r="B28" s="2548" t="s">
        <v>2502</v>
      </c>
      <c r="C28" s="330">
        <f ca="1">C30</f>
        <v>0</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49"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2678</v>
      </c>
      <c r="C1" s="1614" t="s">
        <v>2522</v>
      </c>
      <c r="D1" s="1615" t="s">
        <v>3068</v>
      </c>
      <c r="E1" s="1624"/>
      <c r="F1" s="2573" t="s">
        <v>3056</v>
      </c>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IF(C2="——",ROUND(C50*D3/10000,0),ROUND(C50*D3/10000,0)-D2)</f>
        <v>#DIV/0!</v>
      </c>
      <c r="C2" s="2575" t="s">
        <v>70</v>
      </c>
      <c r="D2" s="1359"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IF(C2="——",C50,ROUND(B2*10000/D3,0))</f>
        <v>#DIV/0!</v>
      </c>
      <c r="C3" s="399" t="s">
        <v>2636</v>
      </c>
      <c r="D3" s="398">
        <f>IF(D1="",'数据-汇总表'!E3,SUMIF('数据-汇总表'!$C19:$C33,D1,'数据-汇总表'!$E19:$E33))</f>
        <v>0</v>
      </c>
      <c r="E3" s="2652"/>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13" t="s">
        <v>2643</v>
      </c>
      <c r="Q4" s="3314"/>
      <c r="R4" s="3319" t="s">
        <v>2639</v>
      </c>
      <c r="S4" s="3320"/>
      <c r="T4" s="3319" t="s">
        <v>2640</v>
      </c>
      <c r="U4" s="3320"/>
      <c r="V4" s="3325" t="s">
        <v>2641</v>
      </c>
      <c r="W4" s="3325"/>
      <c r="X4" s="2659"/>
      <c r="Y4" s="3319" t="s">
        <v>2643</v>
      </c>
      <c r="Z4" s="3320"/>
      <c r="AA4" s="3337" t="s">
        <v>2639</v>
      </c>
      <c r="AB4" s="3337" t="s">
        <v>2640</v>
      </c>
      <c r="AC4" s="3306" t="s">
        <v>2641</v>
      </c>
    </row>
    <row r="5" spans="1:29" ht="15">
      <c r="A5" s="403"/>
      <c r="B5" s="404"/>
      <c r="C5" s="3329" t="s">
        <v>3069</v>
      </c>
      <c r="D5" s="3330"/>
      <c r="E5" s="3340" t="s">
        <v>3192</v>
      </c>
      <c r="F5" s="3341"/>
      <c r="G5" s="3329" t="s">
        <v>3105</v>
      </c>
      <c r="H5" s="3330"/>
      <c r="I5" s="3329" t="s">
        <v>3070</v>
      </c>
      <c r="J5" s="3330"/>
      <c r="K5" s="609"/>
      <c r="L5" s="1124"/>
      <c r="M5" s="1125"/>
      <c r="N5" s="1125"/>
      <c r="O5" s="1125"/>
      <c r="P5" s="3315"/>
      <c r="Q5" s="3316"/>
      <c r="R5" s="3321"/>
      <c r="S5" s="3322"/>
      <c r="T5" s="3321"/>
      <c r="U5" s="3322"/>
      <c r="V5" s="3326"/>
      <c r="W5" s="3326"/>
      <c r="X5" s="1807"/>
      <c r="Y5" s="3321"/>
      <c r="Z5" s="3322"/>
      <c r="AA5" s="3338"/>
      <c r="AB5" s="3338"/>
      <c r="AC5" s="3307"/>
    </row>
    <row r="6" spans="1:29" ht="15.75" thickBot="1">
      <c r="A6" s="405"/>
      <c r="B6" s="406"/>
      <c r="C6" s="3327" t="s">
        <v>3071</v>
      </c>
      <c r="D6" s="3328"/>
      <c r="E6" s="3335" t="s">
        <v>3106</v>
      </c>
      <c r="F6" s="3336"/>
      <c r="G6" s="3327" t="s">
        <v>3072</v>
      </c>
      <c r="H6" s="3328"/>
      <c r="I6" s="3327" t="s">
        <v>3200</v>
      </c>
      <c r="J6" s="3328"/>
      <c r="K6" s="609" t="s">
        <v>2539</v>
      </c>
      <c r="L6" s="1124"/>
      <c r="M6" s="1125"/>
      <c r="N6" s="1125"/>
      <c r="O6" s="1125"/>
      <c r="P6" s="3317"/>
      <c r="Q6" s="3318"/>
      <c r="R6" s="3321"/>
      <c r="S6" s="3322"/>
      <c r="T6" s="3323"/>
      <c r="U6" s="3324"/>
      <c r="V6" s="3326"/>
      <c r="W6" s="3326"/>
      <c r="X6" s="1807"/>
      <c r="Y6" s="3323"/>
      <c r="Z6" s="3324"/>
      <c r="AA6" s="3339"/>
      <c r="AB6" s="3339"/>
      <c r="AC6" s="3308"/>
    </row>
    <row r="7" spans="1:29" s="116" customFormat="1" ht="15.75" thickBot="1">
      <c r="A7" s="407" t="s">
        <v>2540</v>
      </c>
      <c r="B7" s="408"/>
      <c r="C7" s="409">
        <f>'数据-取费表'!B2</f>
        <v>43185</v>
      </c>
      <c r="D7" s="410">
        <v>100</v>
      </c>
      <c r="E7" s="411">
        <v>43160</v>
      </c>
      <c r="F7" s="412">
        <f>SUMIF(59:59,YEAR(E7)&amp;"-"&amp;MONTH(E7),60:60)</f>
        <v>100</v>
      </c>
      <c r="G7" s="2966">
        <v>43132</v>
      </c>
      <c r="H7" s="410">
        <f>SUMIF(59:59,YEAR(G7)&amp;"-"&amp;MONTH(G7),60:60)</f>
        <v>100</v>
      </c>
      <c r="I7" s="2966">
        <v>43162</v>
      </c>
      <c r="J7" s="410">
        <f>SUMIF(59:59,YEAR(I7)&amp;"-"&amp;MONTH(I7),60:60)</f>
        <v>100</v>
      </c>
      <c r="K7" s="610"/>
      <c r="L7" s="1126"/>
      <c r="M7" s="1127"/>
      <c r="N7" s="1127"/>
      <c r="O7" s="1127"/>
      <c r="P7" s="3331" t="s">
        <v>2541</v>
      </c>
      <c r="Q7" s="3334"/>
      <c r="R7" s="768" t="s">
        <v>17</v>
      </c>
      <c r="S7" s="769">
        <f t="shared" ref="S7:S15" si="0">F7</f>
        <v>100</v>
      </c>
      <c r="T7" s="768" t="s">
        <v>17</v>
      </c>
      <c r="U7" s="769">
        <f t="shared" ref="U7:U15" si="1">H7</f>
        <v>100</v>
      </c>
      <c r="V7" s="768" t="s">
        <v>17</v>
      </c>
      <c r="W7" s="769">
        <f t="shared" ref="W7:W15" si="2">J7</f>
        <v>100</v>
      </c>
      <c r="X7" s="770"/>
      <c r="Y7" s="3333" t="s">
        <v>2541</v>
      </c>
      <c r="Z7" s="3332"/>
      <c r="AA7" s="771">
        <f>D7/F7</f>
        <v>1</v>
      </c>
      <c r="AB7" s="771">
        <f>D7/H7</f>
        <v>1</v>
      </c>
      <c r="AC7" s="2660">
        <f>D7/J7</f>
        <v>1</v>
      </c>
    </row>
    <row r="8" spans="1:29" s="116" customFormat="1" ht="15.75" thickBot="1">
      <c r="A8" s="407" t="s">
        <v>2542</v>
      </c>
      <c r="B8" s="408"/>
      <c r="C8" s="2963" t="s">
        <v>3073</v>
      </c>
      <c r="D8" s="410">
        <v>100</v>
      </c>
      <c r="E8" s="2963" t="s">
        <v>3073</v>
      </c>
      <c r="F8" s="412">
        <f>SUMIF(62:62,E8,63:63)-SUMIF(62:62,C8,63:63)+100</f>
        <v>100</v>
      </c>
      <c r="G8" s="2963" t="s">
        <v>3073</v>
      </c>
      <c r="H8" s="410">
        <f>SUMIF(62:62,G8,63:63)-SUMIF(62:62,C8,63:63)+100</f>
        <v>100</v>
      </c>
      <c r="I8" s="2963" t="s">
        <v>3073</v>
      </c>
      <c r="J8" s="410">
        <f>SUMIF(62:62,I8,63:63)-SUMIF(62:62,C8,63:63)+100</f>
        <v>100</v>
      </c>
      <c r="K8" s="610"/>
      <c r="L8" s="1126"/>
      <c r="M8" s="1127"/>
      <c r="N8" s="1127"/>
      <c r="O8" s="1127"/>
      <c r="P8" s="3331" t="s">
        <v>2544</v>
      </c>
      <c r="Q8" s="3332"/>
      <c r="R8" s="768" t="s">
        <v>17</v>
      </c>
      <c r="S8" s="769">
        <f t="shared" si="0"/>
        <v>100</v>
      </c>
      <c r="T8" s="768" t="s">
        <v>17</v>
      </c>
      <c r="U8" s="769">
        <f t="shared" si="1"/>
        <v>100</v>
      </c>
      <c r="V8" s="768" t="s">
        <v>17</v>
      </c>
      <c r="W8" s="769">
        <f t="shared" si="2"/>
        <v>100</v>
      </c>
      <c r="X8" s="770"/>
      <c r="Y8" s="3333" t="s">
        <v>2544</v>
      </c>
      <c r="Z8" s="3332"/>
      <c r="AA8" s="771">
        <f t="shared" ref="AA8:AA47" si="3">D8/F8</f>
        <v>1</v>
      </c>
      <c r="AB8" s="771">
        <f t="shared" ref="AB8:AB47" si="4">D8/H8</f>
        <v>1</v>
      </c>
      <c r="AC8" s="2660">
        <f t="shared" ref="AC8:AC47" si="5">D8/J8</f>
        <v>1</v>
      </c>
    </row>
    <row r="9" spans="1:29" s="116" customFormat="1">
      <c r="A9" s="414" t="s">
        <v>2545</v>
      </c>
      <c r="B9" s="70" t="s">
        <v>2546</v>
      </c>
      <c r="C9" s="2964" t="s">
        <v>3074</v>
      </c>
      <c r="D9" s="134">
        <v>100</v>
      </c>
      <c r="E9" s="2964" t="s">
        <v>3074</v>
      </c>
      <c r="F9" s="134">
        <f>SUMIF(64:64,E9,65:65)-SUMIF(64:64,C9,65:65)+100</f>
        <v>100</v>
      </c>
      <c r="G9" s="2967" t="s">
        <v>27</v>
      </c>
      <c r="H9" s="134">
        <f>SUMIF(64:64,G9,65:65)-SUMIF(64:64,C9,65:65)+100</f>
        <v>100</v>
      </c>
      <c r="I9" s="2967" t="s">
        <v>27</v>
      </c>
      <c r="J9" s="134">
        <f>SUMIF(64:64,I9,65:65)-SUMIF(64:64,C9,65:65)+100</f>
        <v>100</v>
      </c>
      <c r="K9" s="610"/>
      <c r="L9" s="1126"/>
      <c r="M9" s="1127"/>
      <c r="N9" s="1127"/>
      <c r="O9" s="1127"/>
      <c r="P9" s="3291"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2660">
        <f t="shared" si="5"/>
        <v>1</v>
      </c>
    </row>
    <row r="10" spans="1:29" s="426" customFormat="1" ht="27">
      <c r="A10" s="420"/>
      <c r="B10" s="421" t="s">
        <v>2549</v>
      </c>
      <c r="C10" s="2965" t="s">
        <v>3075</v>
      </c>
      <c r="D10" s="135">
        <v>100</v>
      </c>
      <c r="E10" s="2965" t="s">
        <v>3107</v>
      </c>
      <c r="F10" s="135">
        <f>SUMIF(66:66,E10,67:67)-SUMIF(66:66,C10,67:67)+100</f>
        <v>98</v>
      </c>
      <c r="G10" s="2968" t="s">
        <v>3075</v>
      </c>
      <c r="H10" s="135">
        <f>SUMIF(66:66,G10,67:67)-SUMIF(66:66,C10,67:67)+100</f>
        <v>100</v>
      </c>
      <c r="I10" s="2968" t="s">
        <v>3076</v>
      </c>
      <c r="J10" s="135">
        <f>SUMIF(66:66,I10,67:67)-SUMIF(66:66,C10,67:67)+100</f>
        <v>102</v>
      </c>
      <c r="K10" s="611">
        <v>2</v>
      </c>
      <c r="L10" s="1129"/>
      <c r="M10" s="1130"/>
      <c r="N10" s="1130"/>
      <c r="O10" s="1130"/>
      <c r="P10" s="3291"/>
      <c r="Q10" s="1789" t="str">
        <f t="shared" si="6"/>
        <v>土地使用年限（年）</v>
      </c>
      <c r="R10" s="768" t="s">
        <v>17</v>
      </c>
      <c r="S10" s="769">
        <f t="shared" si="0"/>
        <v>98</v>
      </c>
      <c r="T10" s="768" t="s">
        <v>17</v>
      </c>
      <c r="U10" s="769">
        <f t="shared" si="1"/>
        <v>100</v>
      </c>
      <c r="V10" s="768" t="s">
        <v>17</v>
      </c>
      <c r="W10" s="769">
        <f t="shared" si="2"/>
        <v>102</v>
      </c>
      <c r="X10" s="770"/>
      <c r="Y10" s="3120"/>
      <c r="Z10" s="55" t="str">
        <f t="shared" si="7"/>
        <v>土地使用年限（年）</v>
      </c>
      <c r="AA10" s="771">
        <f t="shared" si="3"/>
        <v>1.0204081632653061</v>
      </c>
      <c r="AB10" s="771">
        <f t="shared" si="4"/>
        <v>1</v>
      </c>
      <c r="AC10" s="2660">
        <f t="shared" si="5"/>
        <v>0.98039215686274506</v>
      </c>
    </row>
    <row r="11" spans="1:29" ht="15">
      <c r="A11" s="427"/>
      <c r="B11" s="421" t="s">
        <v>2550</v>
      </c>
      <c r="C11" s="428" t="e">
        <f>'数据-汇总表'!I6</f>
        <v>#DIV/0!</v>
      </c>
      <c r="D11" s="135">
        <v>100</v>
      </c>
      <c r="E11" s="428">
        <v>4.5</v>
      </c>
      <c r="F11" s="135" t="e">
        <f>LOOKUP(E11,69:69,70:70)-LOOKUP(C11,69:69,70:70)+100</f>
        <v>#DIV/0!</v>
      </c>
      <c r="G11" s="428">
        <v>4.5</v>
      </c>
      <c r="H11" s="135" t="e">
        <f>LOOKUP(G11,69:69,70:70)-LOOKUP(C11,69:69,70:70)+100</f>
        <v>#DIV/0!</v>
      </c>
      <c r="I11" s="428">
        <v>4.5</v>
      </c>
      <c r="J11" s="135" t="e">
        <f>LOOKUP(I11,69:69,70:70)-LOOKUP(C11,69:69,70:70)+100</f>
        <v>#DIV/0!</v>
      </c>
      <c r="K11" s="611">
        <v>1</v>
      </c>
      <c r="L11" s="1132"/>
      <c r="M11" s="1125"/>
      <c r="N11" s="1125"/>
      <c r="O11" s="1125"/>
      <c r="P11" s="3291"/>
      <c r="Q11" s="1789" t="str">
        <f t="shared" si="6"/>
        <v>容积率</v>
      </c>
      <c r="R11" s="768" t="s">
        <v>17</v>
      </c>
      <c r="S11" s="769" t="e">
        <f t="shared" si="0"/>
        <v>#DIV/0!</v>
      </c>
      <c r="T11" s="768" t="s">
        <v>17</v>
      </c>
      <c r="U11" s="769" t="e">
        <f t="shared" si="1"/>
        <v>#DIV/0!</v>
      </c>
      <c r="V11" s="768" t="s">
        <v>17</v>
      </c>
      <c r="W11" s="769" t="e">
        <f t="shared" si="2"/>
        <v>#DIV/0!</v>
      </c>
      <c r="X11" s="770"/>
      <c r="Y11" s="3120"/>
      <c r="Z11" s="55" t="str">
        <f t="shared" si="7"/>
        <v>容积率</v>
      </c>
      <c r="AA11" s="771" t="e">
        <f t="shared" si="3"/>
        <v>#DIV/0!</v>
      </c>
      <c r="AB11" s="771" t="e">
        <f t="shared" si="4"/>
        <v>#DIV/0!</v>
      </c>
      <c r="AC11" s="2660" t="e">
        <f t="shared" si="5"/>
        <v>#DIV/0!</v>
      </c>
    </row>
    <row r="12" spans="1:29" s="116" customFormat="1" ht="15">
      <c r="A12" s="430"/>
      <c r="B12" s="2589">
        <v>111</v>
      </c>
      <c r="C12" s="431"/>
      <c r="D12" s="432">
        <v>100</v>
      </c>
      <c r="E12" s="431"/>
      <c r="F12" s="135">
        <f>SUMIF(71:71,E12,72:72)-SUMIF(71:71,C12,72:72)+100</f>
        <v>100</v>
      </c>
      <c r="G12" s="2969"/>
      <c r="H12" s="135">
        <f>SUMIF(71:71,G12,72:72)-SUMIF(71:71,C12,72:72)+100</f>
        <v>100</v>
      </c>
      <c r="I12" s="2984"/>
      <c r="J12" s="135">
        <f>SUMIF(71:71,I12,72:72)-SUMIF(71:71,C12,72:72)+100</f>
        <v>100</v>
      </c>
      <c r="K12" s="612"/>
      <c r="L12" s="1126"/>
      <c r="M12" s="1127"/>
      <c r="N12" s="1127"/>
      <c r="O12" s="1127"/>
      <c r="P12" s="3291"/>
      <c r="Q12" s="1789">
        <f t="shared" si="6"/>
        <v>111</v>
      </c>
      <c r="R12" s="768" t="s">
        <v>17</v>
      </c>
      <c r="S12" s="769">
        <f t="shared" si="0"/>
        <v>100</v>
      </c>
      <c r="T12" s="768" t="s">
        <v>17</v>
      </c>
      <c r="U12" s="769">
        <f t="shared" si="1"/>
        <v>100</v>
      </c>
      <c r="V12" s="768" t="s">
        <v>17</v>
      </c>
      <c r="W12" s="769">
        <f t="shared" si="2"/>
        <v>100</v>
      </c>
      <c r="X12" s="770"/>
      <c r="Y12" s="3120"/>
      <c r="Z12" s="55">
        <f t="shared" si="7"/>
        <v>111</v>
      </c>
      <c r="AA12" s="771">
        <f>D12/F12</f>
        <v>1</v>
      </c>
      <c r="AB12" s="771">
        <f>D12/H12</f>
        <v>1</v>
      </c>
      <c r="AC12" s="2660">
        <f>D12/J12</f>
        <v>1</v>
      </c>
    </row>
    <row r="13" spans="1:29" ht="15">
      <c r="A13" s="427"/>
      <c r="B13" s="2589">
        <v>111</v>
      </c>
      <c r="C13" s="433"/>
      <c r="D13" s="434">
        <v>100</v>
      </c>
      <c r="E13" s="431"/>
      <c r="F13" s="135">
        <f>SUMIF(73:73,E13,74:74)-SUMIF(73:73,C13,74:74)+100</f>
        <v>100</v>
      </c>
      <c r="G13" s="2969"/>
      <c r="H13" s="434">
        <f>SUMIF(73:73,G13,74:74)-SUMIF(73:73,C13,74:74)+100</f>
        <v>100</v>
      </c>
      <c r="I13" s="2984"/>
      <c r="J13" s="434">
        <f>SUMIF(73:73,I13,74:74)-SUMIF(73:73,C13,74:74)+100</f>
        <v>100</v>
      </c>
      <c r="K13" s="612"/>
      <c r="L13" s="1134"/>
      <c r="M13" s="1125"/>
      <c r="N13" s="1125"/>
      <c r="O13" s="1125"/>
      <c r="P13" s="3291"/>
      <c r="Q13" s="1789">
        <f t="shared" si="6"/>
        <v>111</v>
      </c>
      <c r="R13" s="768" t="s">
        <v>17</v>
      </c>
      <c r="S13" s="769">
        <f t="shared" si="0"/>
        <v>100</v>
      </c>
      <c r="T13" s="768" t="s">
        <v>17</v>
      </c>
      <c r="U13" s="769">
        <f t="shared" si="1"/>
        <v>100</v>
      </c>
      <c r="V13" s="768" t="s">
        <v>17</v>
      </c>
      <c r="W13" s="769">
        <f t="shared" si="2"/>
        <v>100</v>
      </c>
      <c r="X13" s="770"/>
      <c r="Y13" s="3120"/>
      <c r="Z13" s="55">
        <f t="shared" si="7"/>
        <v>111</v>
      </c>
      <c r="AA13" s="771">
        <f t="shared" si="3"/>
        <v>1</v>
      </c>
      <c r="AB13" s="771">
        <f t="shared" si="4"/>
        <v>1</v>
      </c>
      <c r="AC13" s="2660">
        <f t="shared" si="5"/>
        <v>1</v>
      </c>
    </row>
    <row r="14" spans="1:29" ht="15.75" thickBot="1">
      <c r="A14" s="435"/>
      <c r="B14" s="2591">
        <v>111</v>
      </c>
      <c r="C14" s="436"/>
      <c r="D14" s="437">
        <v>100</v>
      </c>
      <c r="E14" s="627"/>
      <c r="F14" s="437">
        <f>SUMIF(75:75,E14,76:76)-SUMIF(75:75,C14,76:76)+100</f>
        <v>100</v>
      </c>
      <c r="G14" s="2969"/>
      <c r="H14" s="437">
        <f>SUMIF(75:75,G14,76:76)-SUMIF(75:75,C14,76:76)+100</f>
        <v>100</v>
      </c>
      <c r="I14" s="2984"/>
      <c r="J14" s="437">
        <f>SUMIF(75:75,I14,76:76)-SUMIF(75:75,C14,76:76)+100</f>
        <v>100</v>
      </c>
      <c r="K14" s="612"/>
      <c r="L14" s="1134"/>
      <c r="M14" s="1125"/>
      <c r="N14" s="1125"/>
      <c r="O14" s="1125"/>
      <c r="P14" s="3291"/>
      <c r="Q14" s="1789">
        <f t="shared" si="6"/>
        <v>111</v>
      </c>
      <c r="R14" s="768" t="s">
        <v>17</v>
      </c>
      <c r="S14" s="769">
        <f t="shared" si="0"/>
        <v>100</v>
      </c>
      <c r="T14" s="768" t="s">
        <v>17</v>
      </c>
      <c r="U14" s="769">
        <f t="shared" si="1"/>
        <v>100</v>
      </c>
      <c r="V14" s="768" t="s">
        <v>17</v>
      </c>
      <c r="W14" s="769">
        <f t="shared" si="2"/>
        <v>100</v>
      </c>
      <c r="X14" s="770"/>
      <c r="Y14" s="3120"/>
      <c r="Z14" s="55">
        <f t="shared" si="7"/>
        <v>111</v>
      </c>
      <c r="AA14" s="771">
        <f t="shared" si="3"/>
        <v>1</v>
      </c>
      <c r="AB14" s="771">
        <f t="shared" si="4"/>
        <v>1</v>
      </c>
      <c r="AC14" s="2660">
        <f t="shared" si="5"/>
        <v>1</v>
      </c>
    </row>
    <row r="15" spans="1:29" ht="67.5">
      <c r="A15" s="439" t="s">
        <v>2551</v>
      </c>
      <c r="B15" s="628" t="s">
        <v>2679</v>
      </c>
      <c r="C15" s="2661">
        <f>估价对象房地状况!C5</f>
        <v>0</v>
      </c>
      <c r="D15" s="440">
        <v>100</v>
      </c>
      <c r="E15" s="2970" t="s">
        <v>3193</v>
      </c>
      <c r="F15" s="440">
        <f>SUMIF(77:77,E16,78:78)-SUMIF(77:77,C16,78:78)+100</f>
        <v>102</v>
      </c>
      <c r="G15" s="2970" t="s">
        <v>3196</v>
      </c>
      <c r="H15" s="440">
        <f>SUMIF(77:77,G16,78:78)-SUMIF(77:77,C16,78:78)+100</f>
        <v>100</v>
      </c>
      <c r="I15" s="2970" t="s">
        <v>3199</v>
      </c>
      <c r="J15" s="440">
        <f>SUMIF(77:77,I16,78:78)-SUMIF(77:77,C16,78:78)+100</f>
        <v>100</v>
      </c>
      <c r="K15" s="613">
        <v>2</v>
      </c>
      <c r="L15" s="1134"/>
      <c r="M15" s="1125"/>
      <c r="N15" s="1125"/>
      <c r="O15" s="1125"/>
      <c r="P15" s="3297" t="s">
        <v>2552</v>
      </c>
      <c r="Q15" s="1804" t="str">
        <f t="shared" si="6"/>
        <v>办公集聚程度</v>
      </c>
      <c r="R15" s="772" t="s">
        <v>17</v>
      </c>
      <c r="S15" s="773">
        <f t="shared" si="0"/>
        <v>102</v>
      </c>
      <c r="T15" s="772" t="s">
        <v>17</v>
      </c>
      <c r="U15" s="773">
        <f t="shared" si="1"/>
        <v>100</v>
      </c>
      <c r="V15" s="772" t="s">
        <v>17</v>
      </c>
      <c r="W15" s="773">
        <f t="shared" si="2"/>
        <v>100</v>
      </c>
      <c r="X15" s="1807"/>
      <c r="Y15" s="3299" t="s">
        <v>2552</v>
      </c>
      <c r="Z15" s="1808" t="str">
        <f t="shared" si="7"/>
        <v>办公集聚程度</v>
      </c>
      <c r="AA15" s="1805">
        <f t="shared" si="3"/>
        <v>0.98039215686274506</v>
      </c>
      <c r="AB15" s="1805">
        <f t="shared" si="4"/>
        <v>1</v>
      </c>
      <c r="AC15" s="2662">
        <f t="shared" si="5"/>
        <v>1</v>
      </c>
    </row>
    <row r="16" spans="1:29" ht="15">
      <c r="A16" s="427"/>
      <c r="B16" s="629"/>
      <c r="C16" s="2600" t="s">
        <v>3077</v>
      </c>
      <c r="D16" s="447"/>
      <c r="E16" s="446" t="s">
        <v>3078</v>
      </c>
      <c r="F16" s="447"/>
      <c r="G16" s="2971" t="s">
        <v>3077</v>
      </c>
      <c r="H16" s="449"/>
      <c r="I16" s="2976" t="s">
        <v>3077</v>
      </c>
      <c r="J16" s="447"/>
      <c r="K16" s="614"/>
      <c r="L16" s="1134"/>
      <c r="M16" s="1125"/>
      <c r="N16" s="1125"/>
      <c r="O16" s="1125"/>
      <c r="P16" s="3298"/>
      <c r="Q16" s="1804"/>
      <c r="R16" s="772"/>
      <c r="S16" s="773"/>
      <c r="T16" s="772"/>
      <c r="U16" s="773"/>
      <c r="V16" s="772"/>
      <c r="W16" s="773"/>
      <c r="X16" s="1807"/>
      <c r="Y16" s="3300"/>
      <c r="Z16" s="1808"/>
      <c r="AA16" s="1805">
        <v>1</v>
      </c>
      <c r="AB16" s="1805">
        <v>1</v>
      </c>
      <c r="AC16" s="2662">
        <v>1</v>
      </c>
    </row>
    <row r="17" spans="1:29" ht="108">
      <c r="A17" s="427"/>
      <c r="B17" s="630" t="s">
        <v>2090</v>
      </c>
      <c r="C17" s="2663" t="str">
        <f>估价对象房地状况!C6</f>
        <v>估价对象周边道路状况、周边有810、910、938等多路及地铁八通线经过，综合评价交通便捷度较好</v>
      </c>
      <c r="D17" s="449">
        <v>100</v>
      </c>
      <c r="E17" s="453" t="s">
        <v>3194</v>
      </c>
      <c r="F17" s="449">
        <f>SUMIF(79:79,E18,80:80)-SUMIF(79:79,C18,80:80)+100</f>
        <v>100</v>
      </c>
      <c r="G17" s="2972" t="s">
        <v>3197</v>
      </c>
      <c r="H17" s="454">
        <f>SUMIF(79:79,G18,80:80)-SUMIF(79:79,C18,80:80)+100</f>
        <v>100</v>
      </c>
      <c r="I17" s="2972" t="s">
        <v>3088</v>
      </c>
      <c r="J17" s="454">
        <f>SUMIF(79:79,I18,80:80)-SUMIF(79:79,C18,80:80)+100</f>
        <v>98</v>
      </c>
      <c r="K17" s="613">
        <v>2</v>
      </c>
      <c r="L17" s="1134"/>
      <c r="M17" s="1125"/>
      <c r="N17" s="1125"/>
      <c r="O17" s="1125"/>
      <c r="P17" s="3298"/>
      <c r="Q17" s="1804" t="str">
        <f>B17</f>
        <v>交通便捷度</v>
      </c>
      <c r="R17" s="772" t="s">
        <v>17</v>
      </c>
      <c r="S17" s="773">
        <f>F17</f>
        <v>100</v>
      </c>
      <c r="T17" s="772" t="s">
        <v>17</v>
      </c>
      <c r="U17" s="773">
        <f>H17</f>
        <v>100</v>
      </c>
      <c r="V17" s="772" t="s">
        <v>17</v>
      </c>
      <c r="W17" s="773">
        <f>J17</f>
        <v>98</v>
      </c>
      <c r="X17" s="1807"/>
      <c r="Y17" s="3300"/>
      <c r="Z17" s="1808" t="str">
        <f>Q17</f>
        <v>交通便捷度</v>
      </c>
      <c r="AA17" s="1805">
        <f t="shared" si="3"/>
        <v>1</v>
      </c>
      <c r="AB17" s="1805">
        <f t="shared" si="4"/>
        <v>1</v>
      </c>
      <c r="AC17" s="2662">
        <f t="shared" si="5"/>
        <v>1.0204081632653061</v>
      </c>
    </row>
    <row r="18" spans="1:29" ht="15">
      <c r="A18" s="427"/>
      <c r="B18" s="631"/>
      <c r="C18" s="2973" t="s">
        <v>3078</v>
      </c>
      <c r="D18" s="449"/>
      <c r="E18" s="2598" t="s">
        <v>3078</v>
      </c>
      <c r="F18" s="449"/>
      <c r="G18" s="2973" t="s">
        <v>3078</v>
      </c>
      <c r="H18" s="447"/>
      <c r="I18" s="2973" t="s">
        <v>3077</v>
      </c>
      <c r="J18" s="447"/>
      <c r="K18" s="614"/>
      <c r="L18" s="1134"/>
      <c r="M18" s="1125"/>
      <c r="N18" s="1125"/>
      <c r="O18" s="1125"/>
      <c r="P18" s="3298"/>
      <c r="Q18" s="1804"/>
      <c r="R18" s="772"/>
      <c r="S18" s="773"/>
      <c r="T18" s="772"/>
      <c r="U18" s="773"/>
      <c r="V18" s="772"/>
      <c r="W18" s="773"/>
      <c r="X18" s="1807"/>
      <c r="Y18" s="3300"/>
      <c r="Z18" s="1808"/>
      <c r="AA18" s="1805">
        <v>1</v>
      </c>
      <c r="AB18" s="1805">
        <v>1</v>
      </c>
      <c r="AC18" s="2662">
        <v>1</v>
      </c>
    </row>
    <row r="19" spans="1:29" ht="81">
      <c r="A19" s="427"/>
      <c r="B19" s="630" t="s">
        <v>2680</v>
      </c>
      <c r="C19" s="2663" t="str">
        <f>估价对象房地状况!C7</f>
        <v>周边有银行、购物场所、餐饮等配套设施，公共服务设施状况一般。</v>
      </c>
      <c r="D19" s="454">
        <v>100</v>
      </c>
      <c r="E19" s="2974" t="s">
        <v>3053</v>
      </c>
      <c r="F19" s="454">
        <f>SUMIF(81:81,E20,82:82)-SUMIF(81:81,C20,82:82)+100</f>
        <v>100</v>
      </c>
      <c r="G19" s="2974" t="s">
        <v>3053</v>
      </c>
      <c r="H19" s="449">
        <f>SUMIF(81:81,G20,82:82)-SUMIF(81:81,C20,82:82)+100</f>
        <v>100</v>
      </c>
      <c r="I19" s="2974" t="s">
        <v>3053</v>
      </c>
      <c r="J19" s="449">
        <f>SUMIF(81:81,I20,82:82)-SUMIF(81:81,C20,82:82)+100</f>
        <v>100</v>
      </c>
      <c r="K19" s="613">
        <v>3</v>
      </c>
      <c r="L19" s="1134"/>
      <c r="M19" s="1125"/>
      <c r="N19" s="1125"/>
      <c r="O19" s="1125"/>
      <c r="P19" s="3298"/>
      <c r="Q19" s="1804" t="str">
        <f>B19</f>
        <v>公共配套设施</v>
      </c>
      <c r="R19" s="772" t="s">
        <v>17</v>
      </c>
      <c r="S19" s="773">
        <f>F19</f>
        <v>100</v>
      </c>
      <c r="T19" s="772" t="s">
        <v>17</v>
      </c>
      <c r="U19" s="773">
        <f>H19</f>
        <v>100</v>
      </c>
      <c r="V19" s="772" t="s">
        <v>17</v>
      </c>
      <c r="W19" s="773">
        <f>J19</f>
        <v>100</v>
      </c>
      <c r="X19" s="1807"/>
      <c r="Y19" s="3300"/>
      <c r="Z19" s="1808" t="str">
        <f>Q19</f>
        <v>公共配套设施</v>
      </c>
      <c r="AA19" s="1805">
        <f t="shared" si="3"/>
        <v>1</v>
      </c>
      <c r="AB19" s="1805">
        <f t="shared" si="4"/>
        <v>1</v>
      </c>
      <c r="AC19" s="2662">
        <f t="shared" si="5"/>
        <v>1</v>
      </c>
    </row>
    <row r="20" spans="1:29" ht="15">
      <c r="A20" s="427"/>
      <c r="B20" s="631"/>
      <c r="C20" s="2971" t="s">
        <v>3077</v>
      </c>
      <c r="D20" s="447"/>
      <c r="E20" s="2971" t="s">
        <v>3077</v>
      </c>
      <c r="F20" s="447"/>
      <c r="G20" s="2971" t="s">
        <v>3077</v>
      </c>
      <c r="H20" s="447"/>
      <c r="I20" s="2971" t="s">
        <v>3077</v>
      </c>
      <c r="J20" s="447"/>
      <c r="K20" s="614"/>
      <c r="L20" s="1134"/>
      <c r="M20" s="1125"/>
      <c r="N20" s="1125"/>
      <c r="O20" s="1125"/>
      <c r="P20" s="3298"/>
      <c r="Q20" s="1804"/>
      <c r="R20" s="772"/>
      <c r="S20" s="773"/>
      <c r="T20" s="772"/>
      <c r="U20" s="773"/>
      <c r="V20" s="772"/>
      <c r="W20" s="773"/>
      <c r="X20" s="1807"/>
      <c r="Y20" s="3300"/>
      <c r="Z20" s="1808"/>
      <c r="AA20" s="1805">
        <v>1</v>
      </c>
      <c r="AB20" s="1805">
        <v>1</v>
      </c>
      <c r="AC20" s="2662">
        <v>1</v>
      </c>
    </row>
    <row r="21" spans="1:29" ht="15">
      <c r="A21" s="427"/>
      <c r="B21" s="632" t="s">
        <v>2681</v>
      </c>
      <c r="C21" s="2663" t="str">
        <f>估价对象房地状况!C8</f>
        <v>七通</v>
      </c>
      <c r="D21" s="449">
        <v>100</v>
      </c>
      <c r="E21" s="458"/>
      <c r="F21" s="454">
        <f>SUMIF(83:83,E22,84:84)-SUMIF(83:83,C22,84:84)+100</f>
        <v>100</v>
      </c>
      <c r="G21" s="2975"/>
      <c r="H21" s="449">
        <f>SUMIF(83:83,G22,84:84)-SUMIF(83:83,C22,84:84)+100</f>
        <v>100</v>
      </c>
      <c r="I21" s="2975"/>
      <c r="J21" s="449">
        <f>SUMIF(83:83,I22,84:84)-SUMIF(83:83,C22,84:84)+100</f>
        <v>100</v>
      </c>
      <c r="K21" s="613">
        <v>1</v>
      </c>
      <c r="L21" s="1134"/>
      <c r="M21" s="1125"/>
      <c r="N21" s="1125"/>
      <c r="O21" s="1125"/>
      <c r="P21" s="3298"/>
      <c r="Q21" s="1804" t="str">
        <f>B21</f>
        <v>基础设施水平</v>
      </c>
      <c r="R21" s="772" t="s">
        <v>17</v>
      </c>
      <c r="S21" s="773">
        <f>F21</f>
        <v>100</v>
      </c>
      <c r="T21" s="772" t="s">
        <v>17</v>
      </c>
      <c r="U21" s="773">
        <f>H21</f>
        <v>100</v>
      </c>
      <c r="V21" s="772" t="s">
        <v>17</v>
      </c>
      <c r="W21" s="773">
        <f>J21</f>
        <v>100</v>
      </c>
      <c r="X21" s="1807"/>
      <c r="Y21" s="3300"/>
      <c r="Z21" s="1808" t="str">
        <f>Q21</f>
        <v>基础设施水平</v>
      </c>
      <c r="AA21" s="1805">
        <f t="shared" ref="AA21" si="8">D21/F21</f>
        <v>1</v>
      </c>
      <c r="AB21" s="1805">
        <f t="shared" ref="AB21" si="9">D21/H21</f>
        <v>1</v>
      </c>
      <c r="AC21" s="2662">
        <f t="shared" ref="AC21" si="10">D21/J21</f>
        <v>1</v>
      </c>
    </row>
    <row r="22" spans="1:29" ht="15">
      <c r="A22" s="427"/>
      <c r="B22" s="632"/>
      <c r="C22" s="2976" t="s">
        <v>3054</v>
      </c>
      <c r="D22" s="447"/>
      <c r="E22" s="2976" t="s">
        <v>3054</v>
      </c>
      <c r="F22" s="447"/>
      <c r="G22" s="2976" t="s">
        <v>3054</v>
      </c>
      <c r="H22" s="447"/>
      <c r="I22" s="2976" t="s">
        <v>3054</v>
      </c>
      <c r="J22" s="447"/>
      <c r="K22" s="1377"/>
      <c r="L22" s="1134"/>
      <c r="M22" s="1125"/>
      <c r="N22" s="1125"/>
      <c r="O22" s="1125"/>
      <c r="P22" s="3298"/>
      <c r="Q22" s="1804"/>
      <c r="R22" s="772"/>
      <c r="S22" s="773"/>
      <c r="T22" s="772"/>
      <c r="U22" s="773"/>
      <c r="V22" s="772"/>
      <c r="W22" s="773"/>
      <c r="X22" s="1807"/>
      <c r="Y22" s="3300"/>
      <c r="Z22" s="1808"/>
      <c r="AA22" s="1805">
        <v>1</v>
      </c>
      <c r="AB22" s="1805">
        <v>1</v>
      </c>
      <c r="AC22" s="2662">
        <v>1</v>
      </c>
    </row>
    <row r="23" spans="1:29" ht="121.5">
      <c r="A23" s="427"/>
      <c r="B23" s="630" t="s">
        <v>2682</v>
      </c>
      <c r="C23" s="2663" t="str">
        <f>估价对象房地状况!C9</f>
        <v>区域自然环境：梨园主题公园；人文环境：无；综合评价环境状况一般</v>
      </c>
      <c r="D23" s="449">
        <v>100</v>
      </c>
      <c r="E23" s="2972" t="s">
        <v>3195</v>
      </c>
      <c r="F23" s="449">
        <f>SUMIF(85:85,E24,86:86)-SUMIF(85:85,C24,86:86)+100</f>
        <v>100</v>
      </c>
      <c r="G23" s="2972" t="s">
        <v>3198</v>
      </c>
      <c r="H23" s="449">
        <f>SUMIF(85:85,G24,86:86)-SUMIF(85:85,C24,86:86)+100</f>
        <v>100</v>
      </c>
      <c r="I23" s="2972" t="s">
        <v>3055</v>
      </c>
      <c r="J23" s="449">
        <f>SUMIF(85:85,I24,86:86)-SUMIF(85:85,C24,86:86)+100</f>
        <v>100</v>
      </c>
      <c r="K23" s="613">
        <v>2</v>
      </c>
      <c r="L23" s="1134"/>
      <c r="M23" s="1125"/>
      <c r="N23" s="1125"/>
      <c r="O23" s="1125"/>
      <c r="P23" s="3298"/>
      <c r="Q23" s="1804" t="str">
        <f>B23</f>
        <v>环境质量</v>
      </c>
      <c r="R23" s="772" t="s">
        <v>17</v>
      </c>
      <c r="S23" s="773">
        <f>F23</f>
        <v>100</v>
      </c>
      <c r="T23" s="772" t="s">
        <v>17</v>
      </c>
      <c r="U23" s="773">
        <f>H23</f>
        <v>100</v>
      </c>
      <c r="V23" s="772" t="s">
        <v>17</v>
      </c>
      <c r="W23" s="773">
        <f>J23</f>
        <v>100</v>
      </c>
      <c r="X23" s="1807"/>
      <c r="Y23" s="3300"/>
      <c r="Z23" s="1808" t="str">
        <f>Q23</f>
        <v>环境质量</v>
      </c>
      <c r="AA23" s="1805">
        <f t="shared" si="3"/>
        <v>1</v>
      </c>
      <c r="AB23" s="1805">
        <f t="shared" si="4"/>
        <v>1</v>
      </c>
      <c r="AC23" s="2662">
        <f t="shared" si="5"/>
        <v>1</v>
      </c>
    </row>
    <row r="24" spans="1:29" ht="15">
      <c r="A24" s="427"/>
      <c r="B24" s="632"/>
      <c r="C24" s="2971" t="s">
        <v>3077</v>
      </c>
      <c r="D24" s="447"/>
      <c r="E24" s="2977" t="s">
        <v>3077</v>
      </c>
      <c r="F24" s="447"/>
      <c r="G24" s="2977" t="s">
        <v>3077</v>
      </c>
      <c r="H24" s="447"/>
      <c r="I24" s="2985" t="s">
        <v>3077</v>
      </c>
      <c r="J24" s="447"/>
      <c r="K24" s="614"/>
      <c r="L24" s="1134"/>
      <c r="M24" s="1125"/>
      <c r="N24" s="1125"/>
      <c r="O24" s="1125"/>
      <c r="P24" s="3298"/>
      <c r="Q24" s="1804"/>
      <c r="R24" s="772"/>
      <c r="S24" s="773"/>
      <c r="T24" s="772"/>
      <c r="U24" s="773"/>
      <c r="V24" s="772"/>
      <c r="W24" s="773"/>
      <c r="X24" s="1807"/>
      <c r="Y24" s="3300"/>
      <c r="Z24" s="1808"/>
      <c r="AA24" s="1805">
        <v>1</v>
      </c>
      <c r="AB24" s="1805">
        <v>1</v>
      </c>
      <c r="AC24" s="2662">
        <v>1</v>
      </c>
    </row>
    <row r="25" spans="1:29" ht="27">
      <c r="A25" s="403"/>
      <c r="B25" s="630" t="s">
        <v>2683</v>
      </c>
      <c r="C25" s="2978" t="s">
        <v>3079</v>
      </c>
      <c r="D25" s="434">
        <v>100</v>
      </c>
      <c r="E25" s="2978" t="s">
        <v>3079</v>
      </c>
      <c r="F25" s="434">
        <f>SUMIF(87:87,E26,88:88)-SUMIF(87:87,C26,88:88)+100</f>
        <v>100</v>
      </c>
      <c r="G25" s="2978" t="s">
        <v>3079</v>
      </c>
      <c r="H25" s="434">
        <f>SUMIF(87:87,G26,88:88)-SUMIF(87:87,C26,88:88)+100</f>
        <v>100</v>
      </c>
      <c r="I25" s="2978" t="s">
        <v>3079</v>
      </c>
      <c r="J25" s="434">
        <f>SUMIF(87:87,I26,88:88)-SUMIF(87:87,C26,88:88)+100</f>
        <v>100</v>
      </c>
      <c r="K25" s="613">
        <v>1</v>
      </c>
      <c r="L25" s="1134"/>
      <c r="M25" s="1125"/>
      <c r="N25" s="1125"/>
      <c r="O25" s="1125"/>
      <c r="P25" s="3298"/>
      <c r="Q25" s="1804" t="str">
        <f>B25</f>
        <v>毗邻道路的类型与等级</v>
      </c>
      <c r="R25" s="772" t="s">
        <v>17</v>
      </c>
      <c r="S25" s="773">
        <f>F25</f>
        <v>100</v>
      </c>
      <c r="T25" s="772" t="s">
        <v>17</v>
      </c>
      <c r="U25" s="773">
        <f>H25</f>
        <v>100</v>
      </c>
      <c r="V25" s="772" t="s">
        <v>17</v>
      </c>
      <c r="W25" s="773">
        <f>J25</f>
        <v>100</v>
      </c>
      <c r="X25" s="1807"/>
      <c r="Y25" s="3300"/>
      <c r="Z25" s="1808" t="str">
        <f>Q25</f>
        <v>毗邻道路的类型与等级</v>
      </c>
      <c r="AA25" s="1805">
        <f t="shared" si="3"/>
        <v>1</v>
      </c>
      <c r="AB25" s="1805">
        <f t="shared" si="4"/>
        <v>1</v>
      </c>
      <c r="AC25" s="2662">
        <f t="shared" si="5"/>
        <v>1</v>
      </c>
    </row>
    <row r="26" spans="1:29" ht="15">
      <c r="A26" s="403"/>
      <c r="B26" s="631"/>
      <c r="C26" s="2980" t="s">
        <v>3080</v>
      </c>
      <c r="D26" s="434"/>
      <c r="E26" s="2979" t="s">
        <v>3080</v>
      </c>
      <c r="F26" s="434"/>
      <c r="G26" s="2979" t="s">
        <v>3080</v>
      </c>
      <c r="H26" s="434"/>
      <c r="I26" s="2979" t="s">
        <v>3080</v>
      </c>
      <c r="J26" s="434"/>
      <c r="K26" s="614"/>
      <c r="L26" s="1134"/>
      <c r="M26" s="1125"/>
      <c r="N26" s="1125"/>
      <c r="O26" s="1125"/>
      <c r="P26" s="3298"/>
      <c r="Q26" s="1804"/>
      <c r="R26" s="772"/>
      <c r="S26" s="773"/>
      <c r="T26" s="772"/>
      <c r="U26" s="773"/>
      <c r="V26" s="772"/>
      <c r="W26" s="773"/>
      <c r="X26" s="1807"/>
      <c r="Y26" s="3300"/>
      <c r="Z26" s="1808"/>
      <c r="AA26" s="1805">
        <v>1</v>
      </c>
      <c r="AB26" s="1805">
        <v>1</v>
      </c>
      <c r="AC26" s="2662">
        <v>1</v>
      </c>
    </row>
    <row r="27" spans="1:29" ht="15">
      <c r="A27" s="427"/>
      <c r="B27" s="631" t="s">
        <v>2651</v>
      </c>
      <c r="C27" s="2980" t="s">
        <v>3089</v>
      </c>
      <c r="D27" s="434">
        <v>100</v>
      </c>
      <c r="E27" s="2980" t="s">
        <v>3149</v>
      </c>
      <c r="F27" s="434">
        <f>SUMIF(89:89,E27,90:90)-SUMIF(89:89,C27,90:90)+100</f>
        <v>105</v>
      </c>
      <c r="G27" s="2980" t="s">
        <v>3149</v>
      </c>
      <c r="H27" s="434">
        <f>SUMIF(89:89,G27,90:90)-SUMIF(89:89,C27,90:90)+100</f>
        <v>105</v>
      </c>
      <c r="I27" s="2979" t="s">
        <v>3149</v>
      </c>
      <c r="J27" s="434">
        <f>SUMIF(89:89,I27,90:90)-SUMIF(89:89,C27,90:90)+100</f>
        <v>105</v>
      </c>
      <c r="K27" s="611">
        <v>5</v>
      </c>
      <c r="L27" s="1134"/>
      <c r="M27" s="1125"/>
      <c r="N27" s="1125"/>
      <c r="O27" s="1125"/>
      <c r="P27" s="3298"/>
      <c r="Q27" s="1804" t="str">
        <f t="shared" ref="Q27:Q47" si="11">B27</f>
        <v>楼层</v>
      </c>
      <c r="R27" s="772" t="s">
        <v>17</v>
      </c>
      <c r="S27" s="773">
        <f>F27</f>
        <v>105</v>
      </c>
      <c r="T27" s="772" t="s">
        <v>17</v>
      </c>
      <c r="U27" s="773">
        <f>H27</f>
        <v>105</v>
      </c>
      <c r="V27" s="772" t="s">
        <v>17</v>
      </c>
      <c r="W27" s="773">
        <f>J27</f>
        <v>105</v>
      </c>
      <c r="X27" s="1807"/>
      <c r="Y27" s="3300"/>
      <c r="Z27" s="1808" t="str">
        <f>Q27</f>
        <v>楼层</v>
      </c>
      <c r="AA27" s="1805">
        <f t="shared" si="3"/>
        <v>0.95238095238095233</v>
      </c>
      <c r="AB27" s="1805">
        <f t="shared" si="4"/>
        <v>0.95238095238095233</v>
      </c>
      <c r="AC27" s="2662">
        <f t="shared" si="5"/>
        <v>0.95238095238095233</v>
      </c>
    </row>
    <row r="28" spans="1:29" s="116" customFormat="1" ht="15">
      <c r="A28" s="430"/>
      <c r="B28" s="630" t="s">
        <v>2684</v>
      </c>
      <c r="C28" s="2981" t="s">
        <v>3081</v>
      </c>
      <c r="D28" s="461">
        <v>100</v>
      </c>
      <c r="E28" s="2981" t="s">
        <v>3081</v>
      </c>
      <c r="F28" s="461">
        <f>SUMIF(91:91,E28,92:92)-SUMIF(91:91,C28,92:92)+100</f>
        <v>100</v>
      </c>
      <c r="G28" s="2981" t="s">
        <v>3081</v>
      </c>
      <c r="H28" s="461">
        <f>SUMIF(91:91,G28,92:92)-SUMIF(91:91,C28,92:92)+100</f>
        <v>100</v>
      </c>
      <c r="I28" s="2981" t="s">
        <v>3081</v>
      </c>
      <c r="J28" s="461">
        <f>SUMIF(91:91,I28,92:92)-SUMIF(91:91,C28,92:92)+100</f>
        <v>100</v>
      </c>
      <c r="K28" s="611">
        <v>3</v>
      </c>
      <c r="L28" s="1126"/>
      <c r="M28" s="1127"/>
      <c r="N28" s="1127"/>
      <c r="O28" s="1127"/>
      <c r="P28" s="3298"/>
      <c r="Q28" s="1789" t="str">
        <f t="shared" si="11"/>
        <v>朝向</v>
      </c>
      <c r="R28" s="768" t="s">
        <v>17</v>
      </c>
      <c r="S28" s="769">
        <f>F28</f>
        <v>100</v>
      </c>
      <c r="T28" s="768" t="s">
        <v>17</v>
      </c>
      <c r="U28" s="769">
        <f>H28</f>
        <v>100</v>
      </c>
      <c r="V28" s="768" t="s">
        <v>17</v>
      </c>
      <c r="W28" s="769">
        <f>J28</f>
        <v>100</v>
      </c>
      <c r="X28" s="770"/>
      <c r="Y28" s="3300"/>
      <c r="Z28" s="55" t="str">
        <f>Q28</f>
        <v>朝向</v>
      </c>
      <c r="AA28" s="1805">
        <f>D28/F28</f>
        <v>1</v>
      </c>
      <c r="AB28" s="1805">
        <f>D28/H28</f>
        <v>1</v>
      </c>
      <c r="AC28" s="2662">
        <f>D28/J28</f>
        <v>1</v>
      </c>
    </row>
    <row r="29" spans="1:29" ht="15">
      <c r="A29" s="427"/>
      <c r="B29" s="2664">
        <v>111</v>
      </c>
      <c r="C29" s="2978"/>
      <c r="D29" s="434">
        <v>100</v>
      </c>
      <c r="E29" s="2969"/>
      <c r="F29" s="434">
        <f>SUMIF(93:93,E29,94:94)-SUMIF(93:93,C29,94:94)+100</f>
        <v>100</v>
      </c>
      <c r="G29" s="2969"/>
      <c r="H29" s="434">
        <f>SUMIF(93:93,G29,94:94)-SUMIF(93:93,C29,94:94)+100</f>
        <v>100</v>
      </c>
      <c r="I29" s="2984"/>
      <c r="J29" s="434">
        <f>SUMIF(93:93,I29,94:94)-SUMIF(93:93,C29,94:94)+100</f>
        <v>100</v>
      </c>
      <c r="K29" s="612"/>
      <c r="L29" s="1134"/>
      <c r="M29" s="1125"/>
      <c r="N29" s="1125"/>
      <c r="O29" s="1125"/>
      <c r="P29" s="3298"/>
      <c r="Q29" s="1804">
        <f t="shared" si="11"/>
        <v>111</v>
      </c>
      <c r="R29" s="772" t="s">
        <v>17</v>
      </c>
      <c r="S29" s="773">
        <f t="shared" ref="S29:S47" si="12">F29</f>
        <v>100</v>
      </c>
      <c r="T29" s="772" t="s">
        <v>17</v>
      </c>
      <c r="U29" s="773">
        <f t="shared" ref="U29:U47" si="13">H29</f>
        <v>100</v>
      </c>
      <c r="V29" s="772" t="s">
        <v>17</v>
      </c>
      <c r="W29" s="773">
        <f t="shared" ref="W29:W47" si="14">J29</f>
        <v>100</v>
      </c>
      <c r="X29" s="1807"/>
      <c r="Y29" s="3300"/>
      <c r="Z29" s="1808">
        <f t="shared" ref="Z29:Z47" si="15">Q29</f>
        <v>111</v>
      </c>
      <c r="AA29" s="1805">
        <f t="shared" si="3"/>
        <v>1</v>
      </c>
      <c r="AB29" s="1805">
        <f t="shared" si="4"/>
        <v>1</v>
      </c>
      <c r="AC29" s="2662">
        <f t="shared" si="5"/>
        <v>1</v>
      </c>
    </row>
    <row r="30" spans="1:29" ht="15">
      <c r="A30" s="427"/>
      <c r="B30" s="2664">
        <v>111</v>
      </c>
      <c r="C30" s="2978"/>
      <c r="D30" s="434">
        <v>100</v>
      </c>
      <c r="E30" s="2969"/>
      <c r="F30" s="434">
        <f>SUMIF(95:95,E30,96:96)-SUMIF(95:95,C30,96:96)+100</f>
        <v>100</v>
      </c>
      <c r="G30" s="2969"/>
      <c r="H30" s="434">
        <f>SUMIF(95:95,G30,96:96)-SUMIF(95:95,C30,96:96)+100</f>
        <v>100</v>
      </c>
      <c r="I30" s="2984"/>
      <c r="J30" s="434">
        <f>SUMIF(95:95,I30,96:96)-SUMIF(95:95,C30,96:96)+100</f>
        <v>100</v>
      </c>
      <c r="K30" s="612"/>
      <c r="L30" s="1134"/>
      <c r="M30" s="1125"/>
      <c r="N30" s="1125"/>
      <c r="O30" s="1125"/>
      <c r="P30" s="3298"/>
      <c r="Q30" s="1804">
        <f t="shared" si="11"/>
        <v>111</v>
      </c>
      <c r="R30" s="772" t="s">
        <v>17</v>
      </c>
      <c r="S30" s="773">
        <f t="shared" si="12"/>
        <v>100</v>
      </c>
      <c r="T30" s="772" t="s">
        <v>17</v>
      </c>
      <c r="U30" s="773">
        <f t="shared" si="13"/>
        <v>100</v>
      </c>
      <c r="V30" s="772" t="s">
        <v>17</v>
      </c>
      <c r="W30" s="773">
        <f t="shared" si="14"/>
        <v>100</v>
      </c>
      <c r="X30" s="1807"/>
      <c r="Y30" s="3300"/>
      <c r="Z30" s="1808">
        <f t="shared" si="15"/>
        <v>111</v>
      </c>
      <c r="AA30" s="1805">
        <f t="shared" si="3"/>
        <v>1</v>
      </c>
      <c r="AB30" s="1805">
        <f t="shared" si="4"/>
        <v>1</v>
      </c>
      <c r="AC30" s="2662">
        <f t="shared" si="5"/>
        <v>1</v>
      </c>
    </row>
    <row r="31" spans="1:29" ht="15">
      <c r="A31" s="427"/>
      <c r="B31" s="2664">
        <v>111</v>
      </c>
      <c r="C31" s="2978"/>
      <c r="D31" s="434">
        <v>100</v>
      </c>
      <c r="E31" s="2969"/>
      <c r="F31" s="434">
        <f>SUMIF(97:97,E31,98:98)-SUMIF(97:97,C31,98:98)+100</f>
        <v>100</v>
      </c>
      <c r="G31" s="2969"/>
      <c r="H31" s="434">
        <f>SUMIF(97:97,G31,98:98)-SUMIF(97:97,C31,98:98)+100</f>
        <v>100</v>
      </c>
      <c r="I31" s="2984"/>
      <c r="J31" s="434">
        <f>SUMIF(97:97,I31,98:98)-SUMIF(97:97,C31,98:98)+100</f>
        <v>100</v>
      </c>
      <c r="K31" s="612"/>
      <c r="L31" s="1134"/>
      <c r="M31" s="1125"/>
      <c r="N31" s="1125"/>
      <c r="O31" s="1125"/>
      <c r="P31" s="3298"/>
      <c r="Q31" s="1804">
        <f t="shared" si="11"/>
        <v>111</v>
      </c>
      <c r="R31" s="772" t="s">
        <v>17</v>
      </c>
      <c r="S31" s="773">
        <f t="shared" si="12"/>
        <v>100</v>
      </c>
      <c r="T31" s="772" t="s">
        <v>17</v>
      </c>
      <c r="U31" s="773">
        <f t="shared" si="13"/>
        <v>100</v>
      </c>
      <c r="V31" s="772" t="s">
        <v>17</v>
      </c>
      <c r="W31" s="773">
        <f t="shared" si="14"/>
        <v>100</v>
      </c>
      <c r="X31" s="1807"/>
      <c r="Y31" s="3300"/>
      <c r="Z31" s="1808">
        <f t="shared" si="15"/>
        <v>111</v>
      </c>
      <c r="AA31" s="1805">
        <f t="shared" si="3"/>
        <v>1</v>
      </c>
      <c r="AB31" s="1805">
        <f t="shared" si="4"/>
        <v>1</v>
      </c>
      <c r="AC31" s="2662">
        <f t="shared" si="5"/>
        <v>1</v>
      </c>
    </row>
    <row r="32" spans="1:29" ht="15.75" thickBot="1">
      <c r="A32" s="435"/>
      <c r="B32" s="634">
        <v>111</v>
      </c>
      <c r="C32" s="2986"/>
      <c r="D32" s="437">
        <v>100</v>
      </c>
      <c r="E32" s="2969"/>
      <c r="F32" s="437">
        <f>SUMIF(99:99,E32,100:100)-SUMIF(99:99,C32,100:100)+100</f>
        <v>100</v>
      </c>
      <c r="G32" s="2969"/>
      <c r="H32" s="437">
        <f>SUMIF(99:99,G32,100:100)-SUMIF(99:99,C32,100:100)+100</f>
        <v>100</v>
      </c>
      <c r="I32" s="2984"/>
      <c r="J32" s="437">
        <f>SUMIF(99:99,I32,100:100)-SUMIF(99:99,C32,100:100)+100</f>
        <v>100</v>
      </c>
      <c r="K32" s="612"/>
      <c r="L32" s="1134"/>
      <c r="M32" s="1125"/>
      <c r="N32" s="1125"/>
      <c r="O32" s="1125"/>
      <c r="P32" s="3298"/>
      <c r="Q32" s="1804">
        <f t="shared" si="11"/>
        <v>111</v>
      </c>
      <c r="R32" s="772" t="s">
        <v>17</v>
      </c>
      <c r="S32" s="773">
        <f t="shared" si="12"/>
        <v>100</v>
      </c>
      <c r="T32" s="772" t="s">
        <v>17</v>
      </c>
      <c r="U32" s="773">
        <f t="shared" si="13"/>
        <v>100</v>
      </c>
      <c r="V32" s="772" t="s">
        <v>17</v>
      </c>
      <c r="W32" s="773">
        <f t="shared" si="14"/>
        <v>100</v>
      </c>
      <c r="X32" s="1807"/>
      <c r="Y32" s="3300"/>
      <c r="Z32" s="1808">
        <f t="shared" si="15"/>
        <v>111</v>
      </c>
      <c r="AA32" s="1805">
        <f t="shared" si="3"/>
        <v>1</v>
      </c>
      <c r="AB32" s="1805">
        <f t="shared" si="4"/>
        <v>1</v>
      </c>
      <c r="AC32" s="2662">
        <f t="shared" si="5"/>
        <v>1</v>
      </c>
    </row>
    <row r="33" spans="1:29" ht="15">
      <c r="A33" s="439" t="s">
        <v>2555</v>
      </c>
      <c r="B33" s="70" t="s">
        <v>2685</v>
      </c>
      <c r="C33" s="2982" t="s">
        <v>3082</v>
      </c>
      <c r="D33" s="466">
        <v>100</v>
      </c>
      <c r="E33" s="2982" t="s">
        <v>3082</v>
      </c>
      <c r="F33" s="460">
        <f>SUMIF(101:101,E33,102:102)-SUMIF(101:101,C33,102:102)+100</f>
        <v>100</v>
      </c>
      <c r="G33" s="2982" t="s">
        <v>3082</v>
      </c>
      <c r="H33" s="434">
        <f>SUMIF(101:101,G33,102:102)-SUMIF(101:101,C33,102:102)+100</f>
        <v>100</v>
      </c>
      <c r="I33" s="2982" t="s">
        <v>3082</v>
      </c>
      <c r="J33" s="466">
        <f>SUMIF(101:101,I33,102:102)-SUMIF(101:101,C33,102:102)+100</f>
        <v>100</v>
      </c>
      <c r="K33" s="611">
        <v>5</v>
      </c>
      <c r="L33" s="1134"/>
      <c r="M33" s="1125"/>
      <c r="N33" s="1125"/>
      <c r="O33" s="1125"/>
      <c r="P33" s="3301" t="s">
        <v>2557</v>
      </c>
      <c r="Q33" s="1804" t="str">
        <f t="shared" si="11"/>
        <v>建筑类型</v>
      </c>
      <c r="R33" s="772" t="s">
        <v>17</v>
      </c>
      <c r="S33" s="773">
        <f t="shared" si="12"/>
        <v>100</v>
      </c>
      <c r="T33" s="772" t="s">
        <v>17</v>
      </c>
      <c r="U33" s="773">
        <f t="shared" si="13"/>
        <v>100</v>
      </c>
      <c r="V33" s="772" t="s">
        <v>17</v>
      </c>
      <c r="W33" s="773">
        <f t="shared" si="14"/>
        <v>100</v>
      </c>
      <c r="X33" s="1807"/>
      <c r="Y33" s="3304" t="s">
        <v>2557</v>
      </c>
      <c r="Z33" s="1808" t="str">
        <f t="shared" si="15"/>
        <v>建筑类型</v>
      </c>
      <c r="AA33" s="1805">
        <f t="shared" si="3"/>
        <v>1</v>
      </c>
      <c r="AB33" s="1805">
        <f t="shared" si="4"/>
        <v>1</v>
      </c>
      <c r="AC33" s="2662">
        <f t="shared" si="5"/>
        <v>1</v>
      </c>
    </row>
    <row r="34" spans="1:29" s="470" customFormat="1" ht="15">
      <c r="A34" s="467"/>
      <c r="B34" s="421" t="s">
        <v>2558</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2"/>
      <c r="M34" s="1135"/>
      <c r="N34" s="1135"/>
      <c r="O34" s="1135"/>
      <c r="P34" s="3302"/>
      <c r="Q34" s="774" t="str">
        <f t="shared" si="11"/>
        <v>项目建筑规模</v>
      </c>
      <c r="R34" s="775" t="s">
        <v>17</v>
      </c>
      <c r="S34" s="776">
        <f t="shared" si="12"/>
        <v>98</v>
      </c>
      <c r="T34" s="775" t="s">
        <v>17</v>
      </c>
      <c r="U34" s="776">
        <f t="shared" si="13"/>
        <v>98</v>
      </c>
      <c r="V34" s="775" t="s">
        <v>17</v>
      </c>
      <c r="W34" s="776">
        <f t="shared" si="14"/>
        <v>98</v>
      </c>
      <c r="X34" s="777"/>
      <c r="Y34" s="3304"/>
      <c r="Z34" s="778" t="str">
        <f t="shared" si="15"/>
        <v>项目建筑规模</v>
      </c>
      <c r="AA34" s="1805">
        <f t="shared" si="3"/>
        <v>1.0204081632653061</v>
      </c>
      <c r="AB34" s="1805">
        <f t="shared" si="4"/>
        <v>1.0204081632653061</v>
      </c>
      <c r="AC34" s="2662">
        <f t="shared" si="5"/>
        <v>1.0204081632653061</v>
      </c>
    </row>
    <row r="35" spans="1:29" ht="15">
      <c r="A35" s="471"/>
      <c r="B35" s="421" t="s">
        <v>2559</v>
      </c>
      <c r="C35" s="2983" t="s">
        <v>3066</v>
      </c>
      <c r="D35" s="434">
        <v>100</v>
      </c>
      <c r="E35" s="2983" t="s">
        <v>3066</v>
      </c>
      <c r="F35" s="460">
        <f>SUMIF(106:106,E35,107:107)-SUMIF(106:106,C35,107:107)+100</f>
        <v>100</v>
      </c>
      <c r="G35" s="2983" t="s">
        <v>3066</v>
      </c>
      <c r="H35" s="434">
        <f>SUMIF(106:106,G35,107:107)-SUMIF(106:106,C35,107:107)+100</f>
        <v>100</v>
      </c>
      <c r="I35" s="2983" t="s">
        <v>3066</v>
      </c>
      <c r="J35" s="434">
        <f>SUMIF(106:106,I35,107:107)-SUMIF(106:106,C35,107:107)+100</f>
        <v>100</v>
      </c>
      <c r="K35" s="611">
        <v>2</v>
      </c>
      <c r="L35" s="1134"/>
      <c r="M35" s="1125"/>
      <c r="N35" s="1125"/>
      <c r="O35" s="1125"/>
      <c r="P35" s="3302"/>
      <c r="Q35" s="1804" t="str">
        <f t="shared" si="11"/>
        <v>建筑结构</v>
      </c>
      <c r="R35" s="772" t="s">
        <v>17</v>
      </c>
      <c r="S35" s="773">
        <f t="shared" si="12"/>
        <v>100</v>
      </c>
      <c r="T35" s="772" t="s">
        <v>17</v>
      </c>
      <c r="U35" s="773">
        <f t="shared" si="13"/>
        <v>100</v>
      </c>
      <c r="V35" s="772" t="s">
        <v>17</v>
      </c>
      <c r="W35" s="773">
        <f t="shared" si="14"/>
        <v>100</v>
      </c>
      <c r="X35" s="1807"/>
      <c r="Y35" s="3304"/>
      <c r="Z35" s="1808" t="str">
        <f t="shared" si="15"/>
        <v>建筑结构</v>
      </c>
      <c r="AA35" s="1805">
        <f t="shared" si="3"/>
        <v>1</v>
      </c>
      <c r="AB35" s="1805">
        <f t="shared" si="4"/>
        <v>1</v>
      </c>
      <c r="AC35" s="2662">
        <f t="shared" si="5"/>
        <v>1</v>
      </c>
    </row>
    <row r="36" spans="1:29" ht="15">
      <c r="A36" s="471"/>
      <c r="B36" s="421" t="s">
        <v>2653</v>
      </c>
      <c r="C36" s="2983" t="s">
        <v>3083</v>
      </c>
      <c r="D36" s="434">
        <v>100</v>
      </c>
      <c r="E36" s="2983" t="s">
        <v>3083</v>
      </c>
      <c r="F36" s="460">
        <f>SUMIF(108:108,E36,109:109)-SUMIF(108:108,C36,109:109)+100</f>
        <v>100</v>
      </c>
      <c r="G36" s="2983" t="s">
        <v>3083</v>
      </c>
      <c r="H36" s="434">
        <f>SUMIF(108:108,G36,109:109)-SUMIF(108:108,C36,109:109)+100</f>
        <v>100</v>
      </c>
      <c r="I36" s="2983" t="s">
        <v>3083</v>
      </c>
      <c r="J36" s="434">
        <f>SUMIF(108:108,I36,109:109)-SUMIF(108:108,C36,109:109)+100</f>
        <v>100</v>
      </c>
      <c r="K36" s="611">
        <v>1</v>
      </c>
      <c r="L36" s="1134"/>
      <c r="M36" s="1125"/>
      <c r="N36" s="1125"/>
      <c r="O36" s="1125"/>
      <c r="P36" s="3302"/>
      <c r="Q36" s="1804" t="str">
        <f t="shared" si="11"/>
        <v>公共部分装修</v>
      </c>
      <c r="R36" s="772" t="s">
        <v>17</v>
      </c>
      <c r="S36" s="773">
        <f t="shared" si="12"/>
        <v>100</v>
      </c>
      <c r="T36" s="772" t="s">
        <v>17</v>
      </c>
      <c r="U36" s="773">
        <f t="shared" si="13"/>
        <v>100</v>
      </c>
      <c r="V36" s="772" t="s">
        <v>17</v>
      </c>
      <c r="W36" s="773">
        <f t="shared" si="14"/>
        <v>100</v>
      </c>
      <c r="X36" s="1807"/>
      <c r="Y36" s="3304"/>
      <c r="Z36" s="1808" t="str">
        <f t="shared" si="15"/>
        <v>公共部分装修</v>
      </c>
      <c r="AA36" s="1805">
        <f t="shared" si="3"/>
        <v>1</v>
      </c>
      <c r="AB36" s="1805">
        <f t="shared" si="4"/>
        <v>1</v>
      </c>
      <c r="AC36" s="2662">
        <f t="shared" si="5"/>
        <v>1</v>
      </c>
    </row>
    <row r="37" spans="1:29" ht="15">
      <c r="A37" s="471"/>
      <c r="B37" s="421" t="s">
        <v>2654</v>
      </c>
      <c r="C37" s="473">
        <f>'数据-取费表'!N6</f>
        <v>0.95</v>
      </c>
      <c r="D37" s="434">
        <v>100</v>
      </c>
      <c r="E37" s="799">
        <v>0.63</v>
      </c>
      <c r="F37" s="460">
        <f>LOOKUP(E37,111:111,112:112)-LOOKUP(C37,111:111,112:112)+100</f>
        <v>94</v>
      </c>
      <c r="G37" s="799">
        <f>ROUND(1-(1-0%)*(2017-2007)/60,2)</f>
        <v>0.83</v>
      </c>
      <c r="H37" s="460">
        <f>LOOKUP(G37,111:111,112:112)-LOOKUP(C37,111:111,112:112)+100</f>
        <v>98</v>
      </c>
      <c r="I37" s="799">
        <f>ROUND(1-(1-0%)*(2017-2012)/60,2)</f>
        <v>0.92</v>
      </c>
      <c r="J37" s="434">
        <f>LOOKUP(I37,111:111,112:112)-LOOKUP(C37,111:111,112:112)+100</f>
        <v>100</v>
      </c>
      <c r="K37" s="611">
        <v>2</v>
      </c>
      <c r="L37" s="1134"/>
      <c r="M37" s="1125"/>
      <c r="N37" s="1125"/>
      <c r="O37" s="1125"/>
      <c r="P37" s="3302"/>
      <c r="Q37" s="1804" t="str">
        <f t="shared" si="11"/>
        <v>成新度</v>
      </c>
      <c r="R37" s="772" t="s">
        <v>17</v>
      </c>
      <c r="S37" s="773">
        <f t="shared" si="12"/>
        <v>94</v>
      </c>
      <c r="T37" s="772" t="s">
        <v>17</v>
      </c>
      <c r="U37" s="773">
        <f t="shared" si="13"/>
        <v>98</v>
      </c>
      <c r="V37" s="772" t="s">
        <v>17</v>
      </c>
      <c r="W37" s="773">
        <f t="shared" si="14"/>
        <v>100</v>
      </c>
      <c r="X37" s="1807"/>
      <c r="Y37" s="3304"/>
      <c r="Z37" s="1808" t="str">
        <f t="shared" si="15"/>
        <v>成新度</v>
      </c>
      <c r="AA37" s="1805">
        <f t="shared" si="3"/>
        <v>1.0638297872340425</v>
      </c>
      <c r="AB37" s="1805">
        <f t="shared" si="4"/>
        <v>1.0204081632653061</v>
      </c>
      <c r="AC37" s="2662">
        <f t="shared" si="5"/>
        <v>1</v>
      </c>
    </row>
    <row r="38" spans="1:29" s="116" customFormat="1" ht="15">
      <c r="A38" s="472"/>
      <c r="B38" s="421" t="s">
        <v>2686</v>
      </c>
      <c r="C38" s="2983" t="s">
        <v>3084</v>
      </c>
      <c r="D38" s="135">
        <v>100</v>
      </c>
      <c r="E38" s="2983" t="s">
        <v>3084</v>
      </c>
      <c r="F38" s="460">
        <f>SUMIF(113:113,E38,114:114)-SUMIF(113:113,C38,114:114)+100</f>
        <v>100</v>
      </c>
      <c r="G38" s="2983" t="s">
        <v>3084</v>
      </c>
      <c r="H38" s="434">
        <f>SUMIF(113:113,G38,114:114)-SUMIF(113:113,C38,114:114)+100</f>
        <v>100</v>
      </c>
      <c r="I38" s="2983" t="s">
        <v>3084</v>
      </c>
      <c r="J38" s="434">
        <f>SUMIF(113:113,I38,114:114)-SUMIF(113:113,C38,114:114)+100</f>
        <v>100</v>
      </c>
      <c r="K38" s="611">
        <v>4</v>
      </c>
      <c r="L38" s="1126"/>
      <c r="M38" s="1127"/>
      <c r="N38" s="1127"/>
      <c r="O38" s="1127"/>
      <c r="P38" s="3302"/>
      <c r="Q38" s="1789" t="str">
        <f t="shared" si="11"/>
        <v>写字楼等级</v>
      </c>
      <c r="R38" s="768" t="s">
        <v>17</v>
      </c>
      <c r="S38" s="769">
        <f t="shared" si="12"/>
        <v>100</v>
      </c>
      <c r="T38" s="768" t="s">
        <v>17</v>
      </c>
      <c r="U38" s="769">
        <f t="shared" si="13"/>
        <v>100</v>
      </c>
      <c r="V38" s="768" t="s">
        <v>17</v>
      </c>
      <c r="W38" s="769">
        <f t="shared" si="14"/>
        <v>100</v>
      </c>
      <c r="X38" s="770"/>
      <c r="Y38" s="3304"/>
      <c r="Z38" s="55" t="str">
        <f t="shared" si="15"/>
        <v>写字楼等级</v>
      </c>
      <c r="AA38" s="771">
        <f t="shared" si="3"/>
        <v>1</v>
      </c>
      <c r="AB38" s="771">
        <f t="shared" si="4"/>
        <v>1</v>
      </c>
      <c r="AC38" s="2660">
        <f t="shared" si="5"/>
        <v>1</v>
      </c>
    </row>
    <row r="39" spans="1:29" ht="15">
      <c r="A39" s="471"/>
      <c r="B39" s="421" t="s">
        <v>2687</v>
      </c>
      <c r="C39" s="2983" t="s">
        <v>3085</v>
      </c>
      <c r="D39" s="434">
        <v>100</v>
      </c>
      <c r="E39" s="2983" t="s">
        <v>3085</v>
      </c>
      <c r="F39" s="460">
        <f>SUMIF(115:115,E39,116:116)-SUMIF(115:115,C39,116:116)+100</f>
        <v>100</v>
      </c>
      <c r="G39" s="2983" t="s">
        <v>3085</v>
      </c>
      <c r="H39" s="434">
        <f>SUMIF(115:115,G39,116:116)-SUMIF(115:115,C39,116:116)+100</f>
        <v>100</v>
      </c>
      <c r="I39" s="2983" t="s">
        <v>3085</v>
      </c>
      <c r="J39" s="434">
        <f>SUMIF(115:115,I39,116:116)-SUMIF(115:115,C39,116:116)+100</f>
        <v>100</v>
      </c>
      <c r="K39" s="611">
        <v>3</v>
      </c>
      <c r="L39" s="1134"/>
      <c r="M39" s="1125"/>
      <c r="N39" s="1125"/>
      <c r="O39" s="1125"/>
      <c r="P39" s="3302" t="s">
        <v>2557</v>
      </c>
      <c r="Q39" s="1804" t="str">
        <f t="shared" si="11"/>
        <v>物业管理</v>
      </c>
      <c r="R39" s="772" t="s">
        <v>17</v>
      </c>
      <c r="S39" s="773">
        <f t="shared" si="12"/>
        <v>100</v>
      </c>
      <c r="T39" s="772" t="s">
        <v>17</v>
      </c>
      <c r="U39" s="773">
        <f t="shared" si="13"/>
        <v>100</v>
      </c>
      <c r="V39" s="772" t="s">
        <v>17</v>
      </c>
      <c r="W39" s="773">
        <f t="shared" si="14"/>
        <v>100</v>
      </c>
      <c r="X39" s="1807"/>
      <c r="Y39" s="3304" t="s">
        <v>2557</v>
      </c>
      <c r="Z39" s="1808" t="str">
        <f t="shared" si="15"/>
        <v>物业管理</v>
      </c>
      <c r="AA39" s="1805">
        <f t="shared" si="3"/>
        <v>1</v>
      </c>
      <c r="AB39" s="1805">
        <f t="shared" si="4"/>
        <v>1</v>
      </c>
      <c r="AC39" s="2662">
        <f t="shared" si="5"/>
        <v>1</v>
      </c>
    </row>
    <row r="40" spans="1:29" ht="15">
      <c r="A40" s="471"/>
      <c r="B40" s="421" t="s">
        <v>2655</v>
      </c>
      <c r="C40" s="2983" t="s">
        <v>3086</v>
      </c>
      <c r="D40" s="434">
        <v>100</v>
      </c>
      <c r="E40" s="2983" t="s">
        <v>3086</v>
      </c>
      <c r="F40" s="460">
        <f>SUMIF(117:117,E40,118:118)-SUMIF(117:117,C40,118:118)+100</f>
        <v>100</v>
      </c>
      <c r="G40" s="2983" t="s">
        <v>3086</v>
      </c>
      <c r="H40" s="434">
        <f>SUMIF(117:117,G40,118:118)-SUMIF(117:117,C40,118:118)+100</f>
        <v>100</v>
      </c>
      <c r="I40" s="2983" t="s">
        <v>3086</v>
      </c>
      <c r="J40" s="434">
        <f>SUMIF(117:117,I40,118:118)-SUMIF(117:117,C40,118:118)+100</f>
        <v>100</v>
      </c>
      <c r="K40" s="611">
        <v>1</v>
      </c>
      <c r="L40" s="1134"/>
      <c r="M40" s="1125"/>
      <c r="N40" s="1125"/>
      <c r="O40" s="1125"/>
      <c r="P40" s="3302"/>
      <c r="Q40" s="1804" t="str">
        <f t="shared" si="11"/>
        <v>市政基础设施</v>
      </c>
      <c r="R40" s="772" t="s">
        <v>17</v>
      </c>
      <c r="S40" s="773">
        <f t="shared" si="12"/>
        <v>100</v>
      </c>
      <c r="T40" s="772" t="s">
        <v>17</v>
      </c>
      <c r="U40" s="773">
        <f t="shared" si="13"/>
        <v>100</v>
      </c>
      <c r="V40" s="772" t="s">
        <v>17</v>
      </c>
      <c r="W40" s="773">
        <f t="shared" si="14"/>
        <v>100</v>
      </c>
      <c r="X40" s="1807"/>
      <c r="Y40" s="3304"/>
      <c r="Z40" s="1808" t="str">
        <f t="shared" si="15"/>
        <v>市政基础设施</v>
      </c>
      <c r="AA40" s="1805">
        <f t="shared" si="3"/>
        <v>1</v>
      </c>
      <c r="AB40" s="1805">
        <f t="shared" si="4"/>
        <v>1</v>
      </c>
      <c r="AC40" s="2662">
        <f t="shared" si="5"/>
        <v>1</v>
      </c>
    </row>
    <row r="41" spans="1:29" ht="15">
      <c r="A41" s="471"/>
      <c r="B41" s="421" t="s">
        <v>2657</v>
      </c>
      <c r="C41" s="2979" t="s">
        <v>3087</v>
      </c>
      <c r="D41" s="434">
        <v>100</v>
      </c>
      <c r="E41" s="2979" t="s">
        <v>3087</v>
      </c>
      <c r="F41" s="460">
        <f>SUMIF(119:119,E41,120:120)-SUMIF(119:119,C41,120:120)+100</f>
        <v>100</v>
      </c>
      <c r="G41" s="2979" t="s">
        <v>3087</v>
      </c>
      <c r="H41" s="434">
        <f>SUMIF(119:119,G41,120:120)-SUMIF(119:119,C41,120:120)+100</f>
        <v>100</v>
      </c>
      <c r="I41" s="2979" t="s">
        <v>3087</v>
      </c>
      <c r="J41" s="434">
        <f>SUMIF(119:119,I41,120:120)-SUMIF(119:119,C41,120:120)+100</f>
        <v>100</v>
      </c>
      <c r="K41" s="611">
        <v>2</v>
      </c>
      <c r="L41" s="1134"/>
      <c r="M41" s="1125"/>
      <c r="N41" s="1125"/>
      <c r="O41" s="1125"/>
      <c r="P41" s="3302"/>
      <c r="Q41" s="1804" t="str">
        <f t="shared" si="11"/>
        <v>层高</v>
      </c>
      <c r="R41" s="772" t="s">
        <v>17</v>
      </c>
      <c r="S41" s="773">
        <f t="shared" si="12"/>
        <v>100</v>
      </c>
      <c r="T41" s="772" t="s">
        <v>17</v>
      </c>
      <c r="U41" s="773">
        <f t="shared" si="13"/>
        <v>100</v>
      </c>
      <c r="V41" s="772" t="s">
        <v>17</v>
      </c>
      <c r="W41" s="773">
        <f t="shared" si="14"/>
        <v>100</v>
      </c>
      <c r="X41" s="1807"/>
      <c r="Y41" s="3304"/>
      <c r="Z41" s="1808" t="str">
        <f t="shared" si="15"/>
        <v>层高</v>
      </c>
      <c r="AA41" s="1805">
        <f t="shared" si="3"/>
        <v>1</v>
      </c>
      <c r="AB41" s="1805">
        <f t="shared" si="4"/>
        <v>1</v>
      </c>
      <c r="AC41" s="2662">
        <f t="shared" si="5"/>
        <v>1</v>
      </c>
    </row>
    <row r="42" spans="1:29" s="470" customFormat="1" ht="15">
      <c r="A42" s="467"/>
      <c r="B42" s="1806"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02"/>
      <c r="Q42" s="774" t="str">
        <f t="shared" si="11"/>
        <v>单套建筑面积</v>
      </c>
      <c r="R42" s="775" t="s">
        <v>17</v>
      </c>
      <c r="S42" s="776">
        <f t="shared" si="12"/>
        <v>100</v>
      </c>
      <c r="T42" s="775" t="s">
        <v>17</v>
      </c>
      <c r="U42" s="776">
        <f t="shared" si="13"/>
        <v>100</v>
      </c>
      <c r="V42" s="775" t="s">
        <v>17</v>
      </c>
      <c r="W42" s="776">
        <f t="shared" si="14"/>
        <v>100</v>
      </c>
      <c r="X42" s="777"/>
      <c r="Y42" s="3304"/>
      <c r="Z42" s="778" t="str">
        <f t="shared" si="15"/>
        <v>单套建筑面积</v>
      </c>
      <c r="AA42" s="1805">
        <f t="shared" si="3"/>
        <v>1</v>
      </c>
      <c r="AB42" s="1805">
        <f t="shared" si="4"/>
        <v>1</v>
      </c>
      <c r="AC42" s="2662">
        <f t="shared" si="5"/>
        <v>1</v>
      </c>
    </row>
    <row r="43" spans="1:29" ht="15">
      <c r="A43" s="471"/>
      <c r="B43" s="421" t="s">
        <v>2660</v>
      </c>
      <c r="C43" s="2983" t="s">
        <v>3083</v>
      </c>
      <c r="D43" s="434">
        <v>100</v>
      </c>
      <c r="E43" s="2983" t="s">
        <v>3083</v>
      </c>
      <c r="F43" s="460">
        <f>SUMIF(123:123,E43,124:124)-SUMIF(123:123,C43,124:124)+100</f>
        <v>100</v>
      </c>
      <c r="G43" s="2983" t="s">
        <v>3083</v>
      </c>
      <c r="H43" s="434">
        <f>SUMIF(123:123,G43,124:124)-SUMIF(123:123,C43,124:124)+100</f>
        <v>100</v>
      </c>
      <c r="I43" s="2983" t="s">
        <v>3083</v>
      </c>
      <c r="J43" s="434">
        <f>SUMIF(123:123,I43,124:124)-SUMIF(123:123,C43,124:124)+100</f>
        <v>100</v>
      </c>
      <c r="K43" s="611">
        <v>3</v>
      </c>
      <c r="L43" s="1134"/>
      <c r="M43" s="1125"/>
      <c r="N43" s="1125"/>
      <c r="O43" s="1125"/>
      <c r="P43" s="3302"/>
      <c r="Q43" s="1804" t="str">
        <f t="shared" si="11"/>
        <v>内部装修</v>
      </c>
      <c r="R43" s="772" t="s">
        <v>17</v>
      </c>
      <c r="S43" s="773">
        <f t="shared" si="12"/>
        <v>100</v>
      </c>
      <c r="T43" s="772" t="s">
        <v>17</v>
      </c>
      <c r="U43" s="773">
        <f t="shared" si="13"/>
        <v>100</v>
      </c>
      <c r="V43" s="772" t="s">
        <v>17</v>
      </c>
      <c r="W43" s="773">
        <f t="shared" si="14"/>
        <v>100</v>
      </c>
      <c r="X43" s="1807"/>
      <c r="Y43" s="3304"/>
      <c r="Z43" s="1808" t="str">
        <f t="shared" si="15"/>
        <v>内部装修</v>
      </c>
      <c r="AA43" s="1805">
        <f t="shared" si="3"/>
        <v>1</v>
      </c>
      <c r="AB43" s="1805">
        <f t="shared" si="4"/>
        <v>1</v>
      </c>
      <c r="AC43" s="2662">
        <f t="shared" si="5"/>
        <v>1</v>
      </c>
    </row>
    <row r="44" spans="1:29" ht="15">
      <c r="A44" s="471"/>
      <c r="B44" s="421" t="s">
        <v>2568</v>
      </c>
      <c r="C44" s="2983" t="s">
        <v>3077</v>
      </c>
      <c r="D44" s="434">
        <v>100</v>
      </c>
      <c r="E44" s="2983" t="s">
        <v>3077</v>
      </c>
      <c r="F44" s="460">
        <f>SUMIF(125:125,E44,126:126)-SUMIF(125:125,C44,126:126)+100</f>
        <v>100</v>
      </c>
      <c r="G44" s="2983" t="s">
        <v>3077</v>
      </c>
      <c r="H44" s="434">
        <f>SUMIF(125:125,G44,126:126)-SUMIF(125:125,C44,126:126)+100</f>
        <v>100</v>
      </c>
      <c r="I44" s="2983" t="s">
        <v>3077</v>
      </c>
      <c r="J44" s="434">
        <f>SUMIF(125:125,I44,126:126)-SUMIF(125:125,C44,126:126)+100</f>
        <v>100</v>
      </c>
      <c r="K44" s="611">
        <v>2</v>
      </c>
      <c r="L44" s="1134"/>
      <c r="M44" s="1125"/>
      <c r="N44" s="1125"/>
      <c r="O44" s="1125"/>
      <c r="P44" s="3302"/>
      <c r="Q44" s="1804" t="str">
        <f t="shared" si="11"/>
        <v>内部装修维护情况</v>
      </c>
      <c r="R44" s="772" t="s">
        <v>17</v>
      </c>
      <c r="S44" s="773">
        <f t="shared" si="12"/>
        <v>100</v>
      </c>
      <c r="T44" s="772" t="s">
        <v>17</v>
      </c>
      <c r="U44" s="773">
        <f t="shared" si="13"/>
        <v>100</v>
      </c>
      <c r="V44" s="772" t="s">
        <v>17</v>
      </c>
      <c r="W44" s="773">
        <f t="shared" si="14"/>
        <v>100</v>
      </c>
      <c r="X44" s="1807"/>
      <c r="Y44" s="3304"/>
      <c r="Z44" s="1808" t="str">
        <f t="shared" si="15"/>
        <v>内部装修维护情况</v>
      </c>
      <c r="AA44" s="1805">
        <f t="shared" si="3"/>
        <v>1</v>
      </c>
      <c r="AB44" s="1805">
        <f t="shared" si="4"/>
        <v>1</v>
      </c>
      <c r="AC44" s="2662">
        <f t="shared" si="5"/>
        <v>1</v>
      </c>
    </row>
    <row r="45" spans="1:29" s="116" customFormat="1" ht="15">
      <c r="A45" s="472"/>
      <c r="B45" s="1380">
        <v>111</v>
      </c>
      <c r="C45" s="468"/>
      <c r="D45" s="135">
        <v>100</v>
      </c>
      <c r="E45" s="2984"/>
      <c r="F45" s="424">
        <f>SUMIF(127:127,E45,128:128)-SUMIF(127:127,C45,128:128)+100</f>
        <v>100</v>
      </c>
      <c r="G45" s="2984"/>
      <c r="H45" s="135">
        <f>SUMIF(127:127,G45,128:128)-SUMIF(127:127,C45,128:128)+100</f>
        <v>100</v>
      </c>
      <c r="I45" s="2984"/>
      <c r="J45" s="135">
        <f>SUMIF(127:127,I45,128:128)-SUMIF(127:127,C45,128:128)+100</f>
        <v>100</v>
      </c>
      <c r="K45" s="612"/>
      <c r="L45" s="1126"/>
      <c r="M45" s="1127"/>
      <c r="N45" s="1127"/>
      <c r="O45" s="1127"/>
      <c r="P45" s="3302"/>
      <c r="Q45" s="1789">
        <f t="shared" si="11"/>
        <v>111</v>
      </c>
      <c r="R45" s="768" t="s">
        <v>17</v>
      </c>
      <c r="S45" s="769">
        <f t="shared" si="12"/>
        <v>100</v>
      </c>
      <c r="T45" s="768" t="s">
        <v>17</v>
      </c>
      <c r="U45" s="769">
        <f t="shared" si="13"/>
        <v>100</v>
      </c>
      <c r="V45" s="768" t="s">
        <v>17</v>
      </c>
      <c r="W45" s="769">
        <f t="shared" si="14"/>
        <v>100</v>
      </c>
      <c r="X45" s="770"/>
      <c r="Y45" s="3304"/>
      <c r="Z45" s="55">
        <f t="shared" si="15"/>
        <v>111</v>
      </c>
      <c r="AA45" s="771">
        <f t="shared" si="3"/>
        <v>1</v>
      </c>
      <c r="AB45" s="771">
        <f t="shared" si="4"/>
        <v>1</v>
      </c>
      <c r="AC45" s="2660">
        <f t="shared" si="5"/>
        <v>1</v>
      </c>
    </row>
    <row r="46" spans="1:29" ht="15">
      <c r="A46" s="471"/>
      <c r="B46" s="1380">
        <v>111</v>
      </c>
      <c r="C46" s="433"/>
      <c r="D46" s="434">
        <v>100</v>
      </c>
      <c r="E46" s="2984"/>
      <c r="F46" s="460">
        <f>SUMIF(129:129,E46,130:130)-SUMIF(129:129,C46,130:130)+100</f>
        <v>100</v>
      </c>
      <c r="G46" s="2984"/>
      <c r="H46" s="434">
        <f>SUMIF(129:129,G46,130:130)-SUMIF(129:129,C46,130:130)+100</f>
        <v>100</v>
      </c>
      <c r="I46" s="2984"/>
      <c r="J46" s="434">
        <f>SUMIF(129:129,I46,130:130)-SUMIF(129:129,C46,130:130)+100</f>
        <v>100</v>
      </c>
      <c r="K46" s="612"/>
      <c r="L46" s="1134"/>
      <c r="M46" s="1125"/>
      <c r="N46" s="1125"/>
      <c r="O46" s="1125"/>
      <c r="P46" s="3302"/>
      <c r="Q46" s="1804">
        <f t="shared" si="11"/>
        <v>111</v>
      </c>
      <c r="R46" s="772" t="s">
        <v>17</v>
      </c>
      <c r="S46" s="773">
        <f t="shared" si="12"/>
        <v>100</v>
      </c>
      <c r="T46" s="772" t="s">
        <v>17</v>
      </c>
      <c r="U46" s="773">
        <f t="shared" si="13"/>
        <v>100</v>
      </c>
      <c r="V46" s="772" t="s">
        <v>17</v>
      </c>
      <c r="W46" s="773">
        <f t="shared" si="14"/>
        <v>100</v>
      </c>
      <c r="X46" s="1807"/>
      <c r="Y46" s="3304"/>
      <c r="Z46" s="1808">
        <f t="shared" si="15"/>
        <v>111</v>
      </c>
      <c r="AA46" s="1805">
        <f t="shared" si="3"/>
        <v>1</v>
      </c>
      <c r="AB46" s="1805">
        <f t="shared" si="4"/>
        <v>1</v>
      </c>
      <c r="AC46" s="2662">
        <f t="shared" si="5"/>
        <v>1</v>
      </c>
    </row>
    <row r="47" spans="1:29" ht="15.75" thickBot="1">
      <c r="A47" s="477"/>
      <c r="B47" s="2591">
        <v>111</v>
      </c>
      <c r="C47" s="436"/>
      <c r="D47" s="437">
        <v>100</v>
      </c>
      <c r="E47" s="2984"/>
      <c r="F47" s="438">
        <f>SUMIF(131:131,E47,132:132)-SUMIF(131:131,C47,132:132)+100</f>
        <v>100</v>
      </c>
      <c r="G47" s="2984"/>
      <c r="H47" s="437">
        <f>SUMIF(131:131,G47,132:132)-SUMIF(131:131,C47,132:132)+100</f>
        <v>100</v>
      </c>
      <c r="I47" s="2984"/>
      <c r="J47" s="437">
        <f>SUMIF(131:131,I47,132:132)-SUMIF(131:131,C47,132:132)+100</f>
        <v>100</v>
      </c>
      <c r="K47" s="612"/>
      <c r="L47" s="1134"/>
      <c r="M47" s="1125"/>
      <c r="N47" s="1125"/>
      <c r="O47" s="1125"/>
      <c r="P47" s="3303"/>
      <c r="Q47" s="1804">
        <f t="shared" si="11"/>
        <v>111</v>
      </c>
      <c r="R47" s="772" t="s">
        <v>17</v>
      </c>
      <c r="S47" s="773">
        <f t="shared" si="12"/>
        <v>100</v>
      </c>
      <c r="T47" s="772" t="s">
        <v>17</v>
      </c>
      <c r="U47" s="773">
        <f t="shared" si="13"/>
        <v>100</v>
      </c>
      <c r="V47" s="772" t="s">
        <v>17</v>
      </c>
      <c r="W47" s="773">
        <f t="shared" si="14"/>
        <v>100</v>
      </c>
      <c r="X47" s="1807"/>
      <c r="Y47" s="3305"/>
      <c r="Z47" s="1808">
        <f t="shared" si="15"/>
        <v>111</v>
      </c>
      <c r="AA47" s="1805">
        <f t="shared" si="3"/>
        <v>1</v>
      </c>
      <c r="AB47" s="1805">
        <f t="shared" si="4"/>
        <v>1</v>
      </c>
      <c r="AC47" s="2662">
        <f t="shared" si="5"/>
        <v>1</v>
      </c>
    </row>
    <row r="48" spans="1:29" ht="15">
      <c r="A48" s="478" t="s">
        <v>2569</v>
      </c>
      <c r="B48" s="479"/>
      <c r="C48" s="1401" t="s">
        <v>1</v>
      </c>
      <c r="D48" s="1402"/>
      <c r="E48" s="1405">
        <f>ROUND(60000*M62,0)</f>
        <v>58989</v>
      </c>
      <c r="F48" s="1404"/>
      <c r="G48" s="1405">
        <f>ROUND(60000*M62,0)</f>
        <v>58989</v>
      </c>
      <c r="H48" s="1406"/>
      <c r="I48" s="1405">
        <f>ROUND(65044*M62,0)</f>
        <v>63948</v>
      </c>
      <c r="J48" s="484"/>
      <c r="K48" s="781"/>
      <c r="L48" s="1137"/>
      <c r="M48" s="1125"/>
      <c r="N48" s="1125"/>
      <c r="O48" s="1125"/>
      <c r="P48" s="3291" t="str">
        <f>A48</f>
        <v>成交单价（元/平方米）</v>
      </c>
      <c r="Q48" s="3292"/>
      <c r="R48" s="3293">
        <f>E48</f>
        <v>58989</v>
      </c>
      <c r="S48" s="3293"/>
      <c r="T48" s="3293">
        <f>G48</f>
        <v>58989</v>
      </c>
      <c r="U48" s="3293"/>
      <c r="V48" s="3293">
        <f>I48</f>
        <v>63948</v>
      </c>
      <c r="W48" s="3293"/>
      <c r="X48" s="445"/>
      <c r="Y48" s="779"/>
      <c r="Z48" s="445"/>
      <c r="AA48" s="445"/>
      <c r="AB48" s="445"/>
      <c r="AC48" s="629"/>
    </row>
    <row r="49" spans="1:29" ht="15.75" thickBot="1">
      <c r="A49" s="485" t="s">
        <v>2661</v>
      </c>
      <c r="B49" s="486"/>
      <c r="C49" s="1407" t="e">
        <f>R50</f>
        <v>#DIV/0!</v>
      </c>
      <c r="D49" s="1408"/>
      <c r="E49" s="1409" t="e">
        <f>R49</f>
        <v>#DIV/0!</v>
      </c>
      <c r="F49" s="1409"/>
      <c r="G49" s="1407" t="e">
        <f>T49</f>
        <v>#DIV/0!</v>
      </c>
      <c r="H49" s="1408"/>
      <c r="I49" s="1409" t="e">
        <f>V49</f>
        <v>#DIV/0!</v>
      </c>
      <c r="J49" s="488"/>
      <c r="K49" s="782"/>
      <c r="L49" s="1137"/>
      <c r="M49" s="1125"/>
      <c r="N49" s="1125"/>
      <c r="O49" s="1125"/>
      <c r="P49" s="3291" t="str">
        <f>A49</f>
        <v>比较价值（元/平方米）</v>
      </c>
      <c r="Q49" s="3292"/>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445"/>
      <c r="Y49" s="445"/>
      <c r="Z49" s="445"/>
      <c r="AA49" s="445"/>
      <c r="AB49" s="445"/>
      <c r="AC49" s="629"/>
    </row>
    <row r="50" spans="1:29" ht="15.75" thickBot="1">
      <c r="A50" s="491" t="s">
        <v>2662</v>
      </c>
      <c r="B50" s="492"/>
      <c r="C50" s="1411" t="e">
        <f>R50</f>
        <v>#DIV/0!</v>
      </c>
      <c r="D50" s="1411"/>
      <c r="E50" s="1411"/>
      <c r="F50" s="1411"/>
      <c r="G50" s="1411"/>
      <c r="H50" s="1411"/>
      <c r="I50" s="1411"/>
      <c r="J50" s="493"/>
      <c r="K50" s="783"/>
      <c r="L50" s="1137"/>
      <c r="M50" s="1125"/>
      <c r="N50" s="1125"/>
      <c r="O50" s="1125"/>
      <c r="P50" s="3294" t="str">
        <f>A50</f>
        <v>估价对象XX用房的比较价值（楼面单价，元/平方米）</v>
      </c>
      <c r="Q50" s="3295"/>
      <c r="R50" s="3296" t="e">
        <f>IF(F1="售价",ROUND(AVERAGE(R49:V49),0),ROUND(AVERAGE(R49:V49),1))</f>
        <v>#DIV/0!</v>
      </c>
      <c r="S50" s="3296"/>
      <c r="T50" s="3296"/>
      <c r="U50" s="3296"/>
      <c r="V50" s="3296"/>
      <c r="W50" s="3296"/>
      <c r="X50" s="2643"/>
      <c r="Y50" s="2643"/>
      <c r="Z50" s="2643"/>
      <c r="AA50" s="2643"/>
      <c r="AB50" s="2643"/>
      <c r="AC50" s="2644"/>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2665</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2"/>
      <c r="L55" s="1143"/>
      <c r="M55" s="1139"/>
      <c r="N55" s="1139"/>
      <c r="O55" s="1139"/>
      <c r="P55" s="2666"/>
    </row>
    <row r="56" spans="1:29" s="501" customFormat="1">
      <c r="A56" s="1139"/>
      <c r="B56" s="1140"/>
      <c r="C56" s="1144"/>
      <c r="D56" s="1139"/>
      <c r="E56" s="1139"/>
      <c r="F56" s="1139"/>
      <c r="G56" s="1139"/>
      <c r="H56" s="1139"/>
      <c r="I56" s="1139"/>
      <c r="J56" s="1139"/>
      <c r="K56" s="1142"/>
      <c r="L56" s="1143"/>
      <c r="M56" s="1139"/>
      <c r="N56" s="1139"/>
      <c r="O56" s="1139"/>
      <c r="P56" s="2666"/>
    </row>
    <row r="57" spans="1:29">
      <c r="A57" s="1138"/>
      <c r="B57" s="1140"/>
      <c r="C57" s="1144"/>
      <c r="D57" s="1138"/>
      <c r="E57" s="1138"/>
      <c r="F57" s="1138"/>
      <c r="G57" s="1138"/>
      <c r="H57" s="1138"/>
      <c r="I57" s="1138"/>
      <c r="J57" s="1138"/>
      <c r="K57" s="1101"/>
      <c r="L57" s="1102"/>
      <c r="M57" s="1138"/>
      <c r="N57" s="1138"/>
      <c r="O57" s="1138"/>
    </row>
    <row r="58" spans="1:29" ht="21.75" thickBot="1">
      <c r="A58" s="761" t="s">
        <v>2666</v>
      </c>
      <c r="B58" s="757"/>
      <c r="C58" s="762"/>
      <c r="D58" s="762"/>
      <c r="E58" s="762"/>
      <c r="F58" s="763"/>
      <c r="G58" s="763"/>
      <c r="H58" s="762"/>
      <c r="I58" s="762"/>
      <c r="J58" s="762"/>
      <c r="K58" s="764"/>
      <c r="L58" s="1155"/>
      <c r="M58" s="1153"/>
      <c r="N58" s="1153"/>
      <c r="O58" s="1153"/>
      <c r="P58" s="2667"/>
      <c r="Q58" s="503"/>
    </row>
    <row r="59" spans="1:29" s="507" customFormat="1" ht="15">
      <c r="A59" s="504" t="s">
        <v>2540</v>
      </c>
      <c r="B59" s="505"/>
      <c r="C59" s="1568" t="str">
        <f>YEAR(C7)&amp;"-"&amp;MONTH(C7)</f>
        <v>2018-3</v>
      </c>
      <c r="D59" s="1569">
        <f>EDATE(C59,-1)</f>
        <v>43132</v>
      </c>
      <c r="E59" s="1569">
        <f>EDATE(D59,-1)</f>
        <v>43101</v>
      </c>
      <c r="F59" s="1569">
        <f t="shared" ref="F59:O59" si="16">EDATE(E59,-1)</f>
        <v>43070</v>
      </c>
      <c r="G59" s="1569">
        <f t="shared" si="16"/>
        <v>43040</v>
      </c>
      <c r="H59" s="1569">
        <f t="shared" si="16"/>
        <v>43009</v>
      </c>
      <c r="I59" s="1569">
        <f t="shared" si="16"/>
        <v>42979</v>
      </c>
      <c r="J59" s="1569">
        <f t="shared" si="16"/>
        <v>42948</v>
      </c>
      <c r="K59" s="1569">
        <f t="shared" si="16"/>
        <v>42917</v>
      </c>
      <c r="L59" s="1569">
        <f t="shared" si="16"/>
        <v>42887</v>
      </c>
      <c r="M59" s="1569">
        <f t="shared" si="16"/>
        <v>42856</v>
      </c>
      <c r="N59" s="1569">
        <f t="shared" si="16"/>
        <v>42826</v>
      </c>
      <c r="O59" s="1569">
        <f t="shared" si="16"/>
        <v>42795</v>
      </c>
      <c r="P59" s="1565"/>
    </row>
    <row r="60" spans="1:29" s="116" customFormat="1" ht="15">
      <c r="A60" s="508"/>
      <c r="B60" s="509"/>
      <c r="C60" s="1567">
        <v>100</v>
      </c>
      <c r="D60" s="511">
        <v>100</v>
      </c>
      <c r="E60" s="511">
        <v>100</v>
      </c>
      <c r="F60" s="511">
        <v>98.5</v>
      </c>
      <c r="G60" s="511">
        <v>98.5</v>
      </c>
      <c r="H60" s="511">
        <v>98.5</v>
      </c>
      <c r="I60" s="511">
        <v>97</v>
      </c>
      <c r="J60" s="511">
        <v>97</v>
      </c>
      <c r="K60" s="511">
        <v>97</v>
      </c>
      <c r="L60" s="511">
        <v>95.5</v>
      </c>
      <c r="M60" s="512">
        <v>95</v>
      </c>
      <c r="N60" s="511">
        <v>94.5</v>
      </c>
      <c r="O60" s="512">
        <v>94</v>
      </c>
      <c r="P60" s="2668"/>
    </row>
    <row r="61" spans="1:29" s="116" customFormat="1" ht="15.75" thickBot="1">
      <c r="A61" s="514" t="s">
        <v>2577</v>
      </c>
      <c r="B61" s="515"/>
      <c r="C61" s="516"/>
      <c r="D61" s="517"/>
      <c r="E61" s="517"/>
      <c r="F61" s="517"/>
      <c r="G61" s="517"/>
      <c r="H61" s="517"/>
      <c r="I61" s="517"/>
      <c r="J61" s="517"/>
      <c r="K61" s="517"/>
      <c r="L61" s="517"/>
      <c r="M61" s="518"/>
      <c r="N61" s="517"/>
      <c r="O61" s="518"/>
      <c r="P61" s="2668"/>
      <c r="Q61" s="503"/>
    </row>
    <row r="62" spans="1:29" s="116" customFormat="1" ht="15">
      <c r="A62" s="520" t="s">
        <v>2542</v>
      </c>
      <c r="B62" s="509"/>
      <c r="C62" s="521" t="s">
        <v>2644</v>
      </c>
      <c r="D62" s="522"/>
      <c r="E62" s="522"/>
      <c r="F62" s="522"/>
      <c r="G62" s="522"/>
      <c r="H62" s="522"/>
      <c r="I62" s="522"/>
      <c r="J62" s="522"/>
      <c r="K62" s="522"/>
      <c r="L62" s="523"/>
      <c r="M62" s="524">
        <v>0.98314999999999997</v>
      </c>
      <c r="N62" s="1145"/>
      <c r="O62" s="1145"/>
      <c r="P62" s="2669"/>
      <c r="Q62" s="503"/>
    </row>
    <row r="63" spans="1:29" s="116" customFormat="1" ht="15.75" thickBot="1">
      <c r="A63" s="520"/>
      <c r="B63" s="509"/>
      <c r="C63" s="510">
        <v>100</v>
      </c>
      <c r="D63" s="511"/>
      <c r="E63" s="511"/>
      <c r="F63" s="511"/>
      <c r="G63" s="511"/>
      <c r="H63" s="511"/>
      <c r="I63" s="511"/>
      <c r="J63" s="511"/>
      <c r="K63" s="511"/>
      <c r="L63" s="511"/>
      <c r="M63" s="513" t="e">
        <f ca="1">结果汇总!N4</f>
        <v>#N/A</v>
      </c>
      <c r="N63" s="1145"/>
      <c r="O63" s="1145"/>
      <c r="P63" s="2668"/>
      <c r="Q63" s="503"/>
    </row>
    <row r="64" spans="1:29">
      <c r="A64" s="526" t="s">
        <v>2580</v>
      </c>
      <c r="B64" s="527" t="s">
        <v>2546</v>
      </c>
      <c r="C64" s="528" t="str">
        <f>C9</f>
        <v>办公</v>
      </c>
      <c r="D64" s="529"/>
      <c r="E64" s="529"/>
      <c r="F64" s="529"/>
      <c r="G64" s="529"/>
      <c r="H64" s="529"/>
      <c r="I64" s="529"/>
      <c r="J64" s="529"/>
      <c r="K64" s="530"/>
      <c r="L64" s="531"/>
      <c r="M64" s="532"/>
      <c r="N64" s="1146"/>
      <c r="O64" s="1146"/>
      <c r="P64" s="2670"/>
      <c r="Q64" s="503"/>
    </row>
    <row r="65" spans="1:17" ht="15.75" thickBot="1">
      <c r="A65" s="533"/>
      <c r="B65" s="534"/>
      <c r="C65" s="535">
        <v>100</v>
      </c>
      <c r="D65" s="535"/>
      <c r="E65" s="535"/>
      <c r="F65" s="535"/>
      <c r="G65" s="535"/>
      <c r="H65" s="535"/>
      <c r="I65" s="535"/>
      <c r="J65" s="535"/>
      <c r="K65" s="535"/>
      <c r="L65" s="535"/>
      <c r="M65" s="536"/>
      <c r="N65" s="1147"/>
      <c r="O65" s="1147"/>
      <c r="P65" s="267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7"/>
      <c r="O67" s="1147"/>
      <c r="P67" s="2670"/>
      <c r="Q67" s="503"/>
    </row>
    <row r="68" spans="1:17" ht="15.75" thickTop="1">
      <c r="A68" s="533"/>
      <c r="B68" s="545" t="s">
        <v>2550</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7"/>
      <c r="O68" s="1147"/>
      <c r="P68" s="2670"/>
      <c r="Q68" s="503"/>
    </row>
    <row r="69" spans="1:17" ht="15">
      <c r="A69" s="533"/>
      <c r="B69" s="547"/>
      <c r="C69" s="548">
        <v>1</v>
      </c>
      <c r="D69" s="548">
        <v>2</v>
      </c>
      <c r="E69" s="548">
        <v>3</v>
      </c>
      <c r="F69" s="548">
        <v>4</v>
      </c>
      <c r="G69" s="548">
        <v>5</v>
      </c>
      <c r="H69" s="548">
        <v>6</v>
      </c>
      <c r="I69" s="548"/>
      <c r="J69" s="548"/>
      <c r="K69" s="549"/>
      <c r="L69" s="550"/>
      <c r="M69" s="551"/>
      <c r="N69" s="1146"/>
      <c r="O69" s="1146"/>
      <c r="P69" s="2670"/>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7"/>
      <c r="O70" s="1147"/>
      <c r="P70" s="2670"/>
      <c r="Q70" s="503"/>
    </row>
    <row r="71" spans="1:17" s="470" customFormat="1" ht="15.75" thickTop="1">
      <c r="A71" s="552"/>
      <c r="B71" s="537">
        <f>B12</f>
        <v>111</v>
      </c>
      <c r="C71" s="553"/>
      <c r="D71" s="553"/>
      <c r="E71" s="553"/>
      <c r="F71" s="553"/>
      <c r="G71" s="553"/>
      <c r="H71" s="554"/>
      <c r="I71" s="554"/>
      <c r="J71" s="554"/>
      <c r="K71" s="554"/>
      <c r="L71" s="555"/>
      <c r="M71" s="556"/>
      <c r="N71" s="1148"/>
      <c r="O71" s="1148"/>
      <c r="P71" s="2671"/>
      <c r="Q71" s="558"/>
    </row>
    <row r="72" spans="1:17" s="470" customFormat="1" ht="15.75" thickBot="1">
      <c r="A72" s="552"/>
      <c r="B72" s="542"/>
      <c r="C72" s="559"/>
      <c r="D72" s="535"/>
      <c r="E72" s="535"/>
      <c r="F72" s="535"/>
      <c r="G72" s="535"/>
      <c r="H72" s="535"/>
      <c r="I72" s="535"/>
      <c r="J72" s="535"/>
      <c r="K72" s="535"/>
      <c r="L72" s="535"/>
      <c r="M72" s="536"/>
      <c r="N72" s="1147"/>
      <c r="O72" s="1147"/>
      <c r="P72" s="2671"/>
      <c r="Q72" s="558"/>
    </row>
    <row r="73" spans="1:17" s="470" customFormat="1" ht="15.75" thickTop="1">
      <c r="A73" s="552"/>
      <c r="B73" s="537">
        <f>B13</f>
        <v>111</v>
      </c>
      <c r="C73" s="553"/>
      <c r="D73" s="553"/>
      <c r="E73" s="553"/>
      <c r="F73" s="553"/>
      <c r="G73" s="553"/>
      <c r="H73" s="554"/>
      <c r="I73" s="554"/>
      <c r="J73" s="554"/>
      <c r="K73" s="554"/>
      <c r="L73" s="555"/>
      <c r="M73" s="556"/>
      <c r="N73" s="1148"/>
      <c r="O73" s="1148"/>
      <c r="P73" s="2672"/>
      <c r="Q73" s="560"/>
    </row>
    <row r="74" spans="1:17" s="470" customFormat="1" ht="15.75" thickBot="1">
      <c r="A74" s="552"/>
      <c r="B74" s="542"/>
      <c r="C74" s="559"/>
      <c r="D74" s="559"/>
      <c r="E74" s="559"/>
      <c r="F74" s="559"/>
      <c r="G74" s="559"/>
      <c r="H74" s="561"/>
      <c r="I74" s="561"/>
      <c r="J74" s="561"/>
      <c r="K74" s="561"/>
      <c r="L74" s="561"/>
      <c r="M74" s="562"/>
      <c r="N74" s="1148"/>
      <c r="O74" s="1148"/>
      <c r="P74" s="2671"/>
      <c r="Q74" s="558"/>
    </row>
    <row r="75" spans="1:17" s="470" customFormat="1" ht="15.75" thickTop="1">
      <c r="A75" s="552"/>
      <c r="B75" s="545">
        <f>B14</f>
        <v>111</v>
      </c>
      <c r="C75" s="522"/>
      <c r="D75" s="522"/>
      <c r="E75" s="522"/>
      <c r="F75" s="522"/>
      <c r="G75" s="522"/>
      <c r="H75" s="563"/>
      <c r="I75" s="563"/>
      <c r="J75" s="563"/>
      <c r="K75" s="563"/>
      <c r="L75" s="564"/>
      <c r="M75" s="565"/>
      <c r="N75" s="1148"/>
      <c r="O75" s="1148"/>
      <c r="P75" s="2673"/>
      <c r="Q75" s="558"/>
    </row>
    <row r="76" spans="1:17" s="470" customFormat="1" ht="15.75" thickBot="1">
      <c r="A76" s="567"/>
      <c r="B76" s="568"/>
      <c r="C76" s="569"/>
      <c r="D76" s="569"/>
      <c r="E76" s="569"/>
      <c r="F76" s="569"/>
      <c r="G76" s="569"/>
      <c r="H76" s="570"/>
      <c r="I76" s="570"/>
      <c r="J76" s="570"/>
      <c r="K76" s="570"/>
      <c r="L76" s="570"/>
      <c r="M76" s="571"/>
      <c r="N76" s="1148"/>
      <c r="O76" s="1148"/>
      <c r="P76" s="267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7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7"/>
      <c r="O78" s="1147"/>
      <c r="P78" s="267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7"/>
      <c r="O82" s="1147"/>
      <c r="P82" s="2670"/>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0"/>
      <c r="Q86" s="503"/>
    </row>
    <row r="87" spans="1:17" s="116" customFormat="1" ht="27.75" thickTop="1">
      <c r="A87" s="578"/>
      <c r="B87" s="537" t="s">
        <v>2691</v>
      </c>
      <c r="C87" s="2988" t="s">
        <v>3108</v>
      </c>
      <c r="D87" s="2988" t="s">
        <v>3109</v>
      </c>
      <c r="E87" s="2988" t="s">
        <v>3110</v>
      </c>
      <c r="F87" s="2988" t="s">
        <v>3111</v>
      </c>
      <c r="G87" s="2988" t="s">
        <v>3112</v>
      </c>
      <c r="H87" s="553"/>
      <c r="I87" s="553"/>
      <c r="J87" s="553"/>
      <c r="K87" s="553"/>
      <c r="L87" s="579"/>
      <c r="M87" s="580"/>
      <c r="N87" s="1145"/>
      <c r="O87" s="1145"/>
      <c r="P87" s="267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7"/>
      <c r="O88" s="1147"/>
      <c r="P88" s="2670"/>
      <c r="Q88" s="503"/>
    </row>
    <row r="89" spans="1:17" s="116" customFormat="1" ht="15.75" thickTop="1">
      <c r="A89" s="578"/>
      <c r="B89" s="537" t="str">
        <f>B27</f>
        <v>楼层</v>
      </c>
      <c r="C89" s="2988" t="s">
        <v>3113</v>
      </c>
      <c r="D89" s="2988" t="s">
        <v>3114</v>
      </c>
      <c r="E89" s="2988" t="s">
        <v>3115</v>
      </c>
      <c r="F89" s="2624"/>
      <c r="G89" s="553"/>
      <c r="H89" s="553"/>
      <c r="I89" s="553"/>
      <c r="J89" s="553"/>
      <c r="K89" s="553"/>
      <c r="L89" s="553"/>
      <c r="M89" s="580"/>
      <c r="N89" s="1145"/>
      <c r="O89" s="1145"/>
      <c r="P89" s="2670"/>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7"/>
      <c r="O90" s="1147"/>
      <c r="P90" s="2670"/>
      <c r="Q90" s="503"/>
    </row>
    <row r="91" spans="1:17" s="470" customFormat="1" ht="15.75" thickTop="1">
      <c r="A91" s="552"/>
      <c r="B91" s="537" t="str">
        <f>B28</f>
        <v>朝向</v>
      </c>
      <c r="C91" s="2988" t="s">
        <v>3116</v>
      </c>
      <c r="D91" s="2988" t="s">
        <v>3117</v>
      </c>
      <c r="E91" s="2988" t="s">
        <v>3118</v>
      </c>
      <c r="F91" s="2988" t="s">
        <v>3119</v>
      </c>
      <c r="G91" s="553"/>
      <c r="H91" s="554"/>
      <c r="I91" s="554"/>
      <c r="J91" s="554"/>
      <c r="K91" s="554"/>
      <c r="L91" s="555"/>
      <c r="M91" s="556"/>
      <c r="N91" s="1148"/>
      <c r="O91" s="1148"/>
      <c r="P91" s="2671"/>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48"/>
      <c r="O92" s="1148"/>
      <c r="P92" s="2671"/>
      <c r="Q92" s="558"/>
    </row>
    <row r="93" spans="1:17" ht="15.75" thickTop="1">
      <c r="A93" s="533"/>
      <c r="B93" s="537">
        <f>B29</f>
        <v>111</v>
      </c>
      <c r="C93" s="553"/>
      <c r="D93" s="553"/>
      <c r="E93" s="553"/>
      <c r="F93" s="553"/>
      <c r="G93" s="553"/>
      <c r="H93" s="553"/>
      <c r="I93" s="553"/>
      <c r="J93" s="553"/>
      <c r="K93" s="553"/>
      <c r="L93" s="579"/>
      <c r="M93" s="580"/>
      <c r="N93" s="1146"/>
      <c r="O93" s="1146"/>
      <c r="P93" s="2670"/>
      <c r="Q93" s="503"/>
    </row>
    <row r="94" spans="1:17" ht="15.75" thickBot="1">
      <c r="A94" s="533"/>
      <c r="B94" s="542"/>
      <c r="C94" s="559"/>
      <c r="D94" s="535"/>
      <c r="E94" s="535"/>
      <c r="F94" s="535"/>
      <c r="G94" s="535"/>
      <c r="H94" s="535"/>
      <c r="I94" s="535"/>
      <c r="J94" s="535"/>
      <c r="K94" s="535"/>
      <c r="L94" s="535"/>
      <c r="M94" s="536"/>
      <c r="N94" s="1147"/>
      <c r="O94" s="1147"/>
      <c r="P94" s="2670"/>
      <c r="Q94" s="503"/>
    </row>
    <row r="95" spans="1:17" ht="15.75" thickTop="1">
      <c r="A95" s="533"/>
      <c r="B95" s="537">
        <f>B30</f>
        <v>111</v>
      </c>
      <c r="C95" s="553"/>
      <c r="D95" s="553"/>
      <c r="E95" s="553"/>
      <c r="F95" s="553"/>
      <c r="G95" s="582"/>
      <c r="H95" s="582"/>
      <c r="I95" s="582"/>
      <c r="J95" s="582"/>
      <c r="K95" s="583"/>
      <c r="L95" s="584"/>
      <c r="M95" s="585"/>
      <c r="N95" s="1146"/>
      <c r="O95" s="1146"/>
      <c r="P95" s="2670"/>
      <c r="Q95" s="503"/>
    </row>
    <row r="96" spans="1:17" ht="15.75" thickBot="1">
      <c r="A96" s="533"/>
      <c r="B96" s="542"/>
      <c r="C96" s="559"/>
      <c r="D96" s="559"/>
      <c r="E96" s="559"/>
      <c r="F96" s="559"/>
      <c r="G96" s="535"/>
      <c r="H96" s="535"/>
      <c r="I96" s="535"/>
      <c r="J96" s="535"/>
      <c r="K96" s="535"/>
      <c r="L96" s="535"/>
      <c r="M96" s="536"/>
      <c r="N96" s="1147"/>
      <c r="O96" s="1147"/>
      <c r="P96" s="2670"/>
      <c r="Q96" s="503"/>
    </row>
    <row r="97" spans="1:17" ht="15.75" thickTop="1">
      <c r="A97" s="533"/>
      <c r="B97" s="537">
        <f>B31</f>
        <v>111</v>
      </c>
      <c r="C97" s="553"/>
      <c r="D97" s="553"/>
      <c r="E97" s="553"/>
      <c r="F97" s="553"/>
      <c r="G97" s="582"/>
      <c r="H97" s="582"/>
      <c r="I97" s="582"/>
      <c r="J97" s="582"/>
      <c r="K97" s="583"/>
      <c r="L97" s="584"/>
      <c r="M97" s="585"/>
      <c r="N97" s="1146"/>
      <c r="O97" s="1146"/>
      <c r="P97" s="2670"/>
      <c r="Q97" s="503"/>
    </row>
    <row r="98" spans="1:17" ht="15.75" thickBot="1">
      <c r="A98" s="533"/>
      <c r="B98" s="542"/>
      <c r="C98" s="559"/>
      <c r="D98" s="535"/>
      <c r="E98" s="535"/>
      <c r="F98" s="535"/>
      <c r="G98" s="535"/>
      <c r="H98" s="535"/>
      <c r="I98" s="535"/>
      <c r="J98" s="535"/>
      <c r="K98" s="535"/>
      <c r="L98" s="535"/>
      <c r="M98" s="536"/>
      <c r="N98" s="1147"/>
      <c r="O98" s="1147"/>
      <c r="P98" s="2670"/>
      <c r="Q98" s="503"/>
    </row>
    <row r="99" spans="1:17" ht="15.75" thickTop="1">
      <c r="A99" s="533"/>
      <c r="B99" s="545">
        <f>B32</f>
        <v>111</v>
      </c>
      <c r="C99" s="522"/>
      <c r="D99" s="522"/>
      <c r="E99" s="522"/>
      <c r="F99" s="522"/>
      <c r="G99" s="586"/>
      <c r="H99" s="586"/>
      <c r="I99" s="586"/>
      <c r="J99" s="586"/>
      <c r="K99" s="587"/>
      <c r="L99" s="588"/>
      <c r="M99" s="589"/>
      <c r="N99" s="1146"/>
      <c r="O99" s="1146"/>
      <c r="P99" s="2670"/>
      <c r="Q99" s="503"/>
    </row>
    <row r="100" spans="1:17" ht="15.75" thickBot="1">
      <c r="A100" s="2625"/>
      <c r="B100" s="568"/>
      <c r="C100" s="569"/>
      <c r="D100" s="569"/>
      <c r="E100" s="569"/>
      <c r="F100" s="569"/>
      <c r="G100" s="590"/>
      <c r="H100" s="590"/>
      <c r="I100" s="590"/>
      <c r="J100" s="590"/>
      <c r="K100" s="590"/>
      <c r="L100" s="590"/>
      <c r="M100" s="591"/>
      <c r="N100" s="1147"/>
      <c r="O100" s="1147"/>
      <c r="P100" s="2670"/>
      <c r="Q100" s="503"/>
    </row>
    <row r="101" spans="1:17">
      <c r="A101" s="526" t="s">
        <v>2555</v>
      </c>
      <c r="B101" s="527" t="s">
        <v>2604</v>
      </c>
      <c r="C101" s="2989" t="s">
        <v>3120</v>
      </c>
      <c r="D101" s="2989" t="s">
        <v>3121</v>
      </c>
      <c r="E101" s="2989" t="s">
        <v>3122</v>
      </c>
      <c r="F101" s="2989" t="s">
        <v>3123</v>
      </c>
      <c r="G101" s="2989" t="s">
        <v>3124</v>
      </c>
      <c r="H101" s="2989" t="s">
        <v>3125</v>
      </c>
      <c r="I101" s="529"/>
      <c r="J101" s="529"/>
      <c r="K101" s="530"/>
      <c r="L101" s="531"/>
      <c r="M101" s="532"/>
      <c r="N101" s="1146"/>
      <c r="O101" s="1146"/>
      <c r="P101" s="2670"/>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7"/>
      <c r="O102" s="1147"/>
      <c r="P102" s="2670"/>
      <c r="Q102" s="503"/>
    </row>
    <row r="103" spans="1:17" ht="29.25" thickTop="1">
      <c r="A103" s="533"/>
      <c r="B103" s="537" t="s">
        <v>2605</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0"/>
      <c r="Q103" s="503"/>
    </row>
    <row r="104" spans="1:17" s="470" customFormat="1">
      <c r="A104" s="592"/>
      <c r="B104" s="593"/>
      <c r="C104" s="594">
        <v>1000</v>
      </c>
      <c r="D104" s="594">
        <v>2000</v>
      </c>
      <c r="E104" s="594">
        <v>3000</v>
      </c>
      <c r="F104" s="594">
        <v>4000</v>
      </c>
      <c r="G104" s="594"/>
      <c r="H104" s="594"/>
      <c r="I104" s="594"/>
      <c r="J104" s="595"/>
      <c r="K104" s="595"/>
      <c r="L104" s="596"/>
      <c r="M104" s="597"/>
      <c r="N104" s="1148"/>
      <c r="O104" s="1148"/>
      <c r="P104" s="2671"/>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7"/>
      <c r="O105" s="1147"/>
      <c r="P105" s="2671"/>
      <c r="Q105" s="558"/>
    </row>
    <row r="106" spans="1:17" ht="15" thickTop="1">
      <c r="A106" s="598"/>
      <c r="B106" s="537" t="s">
        <v>2606</v>
      </c>
      <c r="C106" s="2988" t="s">
        <v>3126</v>
      </c>
      <c r="D106" s="2988" t="s">
        <v>3127</v>
      </c>
      <c r="E106" s="2990" t="s">
        <v>3128</v>
      </c>
      <c r="F106" s="582"/>
      <c r="G106" s="582"/>
      <c r="H106" s="582"/>
      <c r="I106" s="582"/>
      <c r="J106" s="582"/>
      <c r="K106" s="583"/>
      <c r="L106" s="584"/>
      <c r="M106" s="585"/>
      <c r="N106" s="1146"/>
      <c r="O106" s="1146"/>
      <c r="P106" s="267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7"/>
      <c r="O107" s="1147"/>
      <c r="P107" s="2670"/>
      <c r="Q107" s="503"/>
    </row>
    <row r="108" spans="1:17" ht="15" thickTop="1">
      <c r="A108" s="598"/>
      <c r="B108" s="537" t="s">
        <v>2608</v>
      </c>
      <c r="C108" s="2988" t="s">
        <v>3129</v>
      </c>
      <c r="D108" s="2988" t="s">
        <v>3130</v>
      </c>
      <c r="E108" s="2988" t="s">
        <v>3131</v>
      </c>
      <c r="F108" s="2990" t="s">
        <v>3132</v>
      </c>
      <c r="G108" s="582"/>
      <c r="H108" s="582"/>
      <c r="I108" s="582"/>
      <c r="J108" s="582"/>
      <c r="K108" s="583"/>
      <c r="L108" s="584"/>
      <c r="M108" s="585"/>
      <c r="N108" s="1146"/>
      <c r="O108" s="1146"/>
      <c r="P108" s="2670"/>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7"/>
      <c r="O109" s="1147"/>
      <c r="P109" s="267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0"/>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7"/>
      <c r="O112" s="1147"/>
      <c r="P112" s="2670"/>
      <c r="Q112" s="503"/>
    </row>
    <row r="113" spans="1:17" s="470" customFormat="1" ht="15" thickTop="1">
      <c r="A113" s="592"/>
      <c r="B113" s="537" t="s">
        <v>2692</v>
      </c>
      <c r="C113" s="2988" t="s">
        <v>3133</v>
      </c>
      <c r="D113" s="2988" t="s">
        <v>3134</v>
      </c>
      <c r="E113" s="2988" t="s">
        <v>3135</v>
      </c>
      <c r="F113" s="553"/>
      <c r="G113" s="553"/>
      <c r="H113" s="582"/>
      <c r="I113" s="582"/>
      <c r="J113" s="582"/>
      <c r="K113" s="583"/>
      <c r="L113" s="584"/>
      <c r="M113" s="585"/>
      <c r="N113" s="1148"/>
      <c r="O113" s="1148"/>
      <c r="P113" s="2671"/>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48"/>
      <c r="O114" s="1148"/>
      <c r="P114" s="2671"/>
      <c r="Q114" s="558"/>
    </row>
    <row r="115" spans="1:17" ht="15" thickTop="1">
      <c r="A115" s="598"/>
      <c r="B115" s="537" t="s">
        <v>2609</v>
      </c>
      <c r="C115" s="2988" t="s">
        <v>3136</v>
      </c>
      <c r="D115" s="2988" t="s">
        <v>3137</v>
      </c>
      <c r="E115" s="582"/>
      <c r="F115" s="582"/>
      <c r="G115" s="582"/>
      <c r="H115" s="582"/>
      <c r="I115" s="582"/>
      <c r="J115" s="582"/>
      <c r="K115" s="583"/>
      <c r="L115" s="584"/>
      <c r="M115" s="585"/>
      <c r="N115" s="1146"/>
      <c r="O115" s="1146"/>
      <c r="P115" s="2670"/>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7"/>
      <c r="O116" s="1147"/>
      <c r="P116" s="2670"/>
      <c r="Q116" s="503"/>
    </row>
    <row r="117" spans="1:17" ht="15" thickTop="1">
      <c r="A117" s="598"/>
      <c r="B117" s="537" t="s">
        <v>2610</v>
      </c>
      <c r="C117" s="2988" t="s">
        <v>3138</v>
      </c>
      <c r="D117" s="2988" t="s">
        <v>3139</v>
      </c>
      <c r="E117" s="2988" t="s">
        <v>3140</v>
      </c>
      <c r="F117" s="2988" t="s">
        <v>3141</v>
      </c>
      <c r="G117" s="2988" t="s">
        <v>3142</v>
      </c>
      <c r="H117" s="582"/>
      <c r="I117" s="582"/>
      <c r="J117" s="582"/>
      <c r="K117" s="583"/>
      <c r="L117" s="584"/>
      <c r="M117" s="585"/>
      <c r="N117" s="1146"/>
      <c r="O117" s="1146"/>
      <c r="P117" s="267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0"/>
      <c r="Q118" s="503"/>
    </row>
    <row r="119" spans="1:17" ht="15" thickTop="1">
      <c r="A119" s="598"/>
      <c r="B119" s="635" t="s">
        <v>2693</v>
      </c>
      <c r="C119" s="2990" t="s">
        <v>3143</v>
      </c>
      <c r="D119" s="2990" t="s">
        <v>3144</v>
      </c>
      <c r="E119" s="582"/>
      <c r="F119" s="582"/>
      <c r="G119" s="582"/>
      <c r="H119" s="582"/>
      <c r="I119" s="582"/>
      <c r="J119" s="582"/>
      <c r="K119" s="582"/>
      <c r="L119" s="2675"/>
      <c r="M119" s="2676"/>
      <c r="N119" s="1147"/>
      <c r="O119" s="1147"/>
      <c r="P119" s="267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7"/>
      <c r="O120" s="1147"/>
      <c r="P120" s="2670"/>
      <c r="Q120" s="503"/>
    </row>
    <row r="121" spans="1:17" s="470" customFormat="1" ht="15" thickTop="1">
      <c r="A121" s="592"/>
      <c r="B121" s="537" t="s">
        <v>2676</v>
      </c>
      <c r="C121" s="553" t="s">
        <v>3145</v>
      </c>
      <c r="D121" s="553" t="s">
        <v>3146</v>
      </c>
      <c r="E121" s="553" t="s">
        <v>3147</v>
      </c>
      <c r="F121" s="582" t="s">
        <v>3148</v>
      </c>
      <c r="G121" s="554"/>
      <c r="H121" s="554"/>
      <c r="I121" s="554"/>
      <c r="J121" s="554"/>
      <c r="K121" s="554"/>
      <c r="L121" s="555"/>
      <c r="M121" s="556"/>
      <c r="N121" s="1148"/>
      <c r="O121" s="1148"/>
      <c r="P121" s="2671"/>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48"/>
      <c r="O122" s="1148"/>
      <c r="P122" s="2671"/>
      <c r="Q122" s="558"/>
    </row>
    <row r="123" spans="1:17" ht="15" thickTop="1">
      <c r="A123" s="598"/>
      <c r="B123" s="537" t="s">
        <v>2612</v>
      </c>
      <c r="C123" s="2988" t="s">
        <v>3129</v>
      </c>
      <c r="D123" s="2988" t="s">
        <v>3130</v>
      </c>
      <c r="E123" s="2988" t="s">
        <v>3131</v>
      </c>
      <c r="F123" s="2990" t="s">
        <v>3132</v>
      </c>
      <c r="G123" s="582"/>
      <c r="H123" s="582"/>
      <c r="I123" s="582"/>
      <c r="J123" s="582"/>
      <c r="K123" s="583"/>
      <c r="L123" s="584"/>
      <c r="M123" s="585"/>
      <c r="N123" s="1146"/>
      <c r="O123" s="1146"/>
      <c r="P123" s="267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7"/>
      <c r="O124" s="1147"/>
      <c r="P124" s="267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7"/>
      <c r="O126" s="1147"/>
      <c r="P126" s="2670"/>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1"/>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1"/>
      <c r="Q128" s="558"/>
    </row>
    <row r="129" spans="1:17" ht="15" thickTop="1">
      <c r="A129" s="598"/>
      <c r="B129" s="537">
        <f>B46</f>
        <v>111</v>
      </c>
      <c r="C129" s="553"/>
      <c r="D129" s="553"/>
      <c r="E129" s="553"/>
      <c r="F129" s="553"/>
      <c r="G129" s="582"/>
      <c r="H129" s="582"/>
      <c r="I129" s="582"/>
      <c r="J129" s="582"/>
      <c r="K129" s="583"/>
      <c r="L129" s="584"/>
      <c r="M129" s="585"/>
      <c r="N129" s="1146"/>
      <c r="O129" s="1146"/>
      <c r="P129" s="2670"/>
      <c r="Q129" s="503"/>
    </row>
    <row r="130" spans="1:17" ht="15.75" thickBot="1">
      <c r="A130" s="533"/>
      <c r="B130" s="542"/>
      <c r="C130" s="559"/>
      <c r="D130" s="559"/>
      <c r="E130" s="559"/>
      <c r="F130" s="559"/>
      <c r="G130" s="535"/>
      <c r="H130" s="535"/>
      <c r="I130" s="535"/>
      <c r="J130" s="535"/>
      <c r="K130" s="535"/>
      <c r="L130" s="535"/>
      <c r="M130" s="536"/>
      <c r="N130" s="1147"/>
      <c r="O130" s="1147"/>
      <c r="P130" s="2670"/>
      <c r="Q130" s="503"/>
    </row>
    <row r="131" spans="1:17" ht="15" thickTop="1">
      <c r="A131" s="598"/>
      <c r="B131" s="545">
        <f>B47</f>
        <v>111</v>
      </c>
      <c r="C131" s="522"/>
      <c r="D131" s="522"/>
      <c r="E131" s="522"/>
      <c r="F131" s="522"/>
      <c r="G131" s="586"/>
      <c r="H131" s="586"/>
      <c r="I131" s="586"/>
      <c r="J131" s="586"/>
      <c r="K131" s="522"/>
      <c r="L131" s="523"/>
      <c r="M131" s="589"/>
      <c r="N131" s="1146"/>
      <c r="O131" s="1146"/>
      <c r="P131" s="2670"/>
      <c r="Q131" s="503"/>
    </row>
    <row r="132" spans="1:17" ht="15.75" thickBot="1">
      <c r="A132" s="2625"/>
      <c r="B132" s="568"/>
      <c r="C132" s="569"/>
      <c r="D132" s="569"/>
      <c r="E132" s="569"/>
      <c r="F132" s="569"/>
      <c r="G132" s="590"/>
      <c r="H132" s="590"/>
      <c r="I132" s="590"/>
      <c r="J132" s="590"/>
      <c r="K132" s="590"/>
      <c r="L132" s="590"/>
      <c r="M132" s="591"/>
      <c r="N132" s="1147"/>
      <c r="O132" s="1147"/>
      <c r="P132" s="267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D3" sqref="D3"/>
    </sheetView>
  </sheetViews>
  <sheetFormatPr defaultRowHeight="14.25"/>
  <cols>
    <col min="1" max="1" width="10.5" style="402" customWidth="1"/>
    <col min="2" max="2" width="15.75" style="402" customWidth="1"/>
    <col min="3" max="3" width="19.375" style="402" customWidth="1"/>
    <col min="4" max="4" width="1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2634</v>
      </c>
      <c r="C1" s="1628" t="s">
        <v>2522</v>
      </c>
      <c r="D1" s="1615"/>
      <c r="E1" s="2646"/>
      <c r="F1" s="2573" t="s">
        <v>3056</v>
      </c>
      <c r="G1" s="1625" t="s">
        <v>2635</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7" customFormat="1" ht="28.5" customHeight="1" thickTop="1">
      <c r="A2" s="1611" t="s">
        <v>2319</v>
      </c>
      <c r="B2" s="1412">
        <f>IF(C2="——",ROUND(C49*D3/10000,0),ROUND(C49*D3/10000,0)-D2)</f>
        <v>75355</v>
      </c>
      <c r="C2" s="2575" t="s">
        <v>70</v>
      </c>
      <c r="D2" s="1359" t="e">
        <f ca="1">SUMIF(INDIRECT("'"&amp;F2&amp;"'"&amp;"!A:A"),"承租人权益价值",INDIRECT("'"&amp;F2&amp;"'"&amp;"!c:c"))</f>
        <v>#REF!</v>
      </c>
      <c r="E2" s="2576" t="s">
        <v>2320</v>
      </c>
      <c r="F2" s="2577"/>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7" customFormat="1" ht="28.5" customHeight="1" thickBot="1">
      <c r="A3" s="246" t="s">
        <v>2321</v>
      </c>
      <c r="B3" s="608">
        <f>IF(C2="——",C49,ROUND(B2*10000/D3,0))</f>
        <v>43484</v>
      </c>
      <c r="C3" s="399" t="s">
        <v>2636</v>
      </c>
      <c r="D3" s="398">
        <f>IF(D1="",'数据-汇总表'!E3,SUMIF('数据-汇总表'!$C19:$C33,D1,'数据-汇总表'!$E19:$E33))</f>
        <v>17329.439999999999</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26" t="s">
        <v>2640</v>
      </c>
      <c r="AC4" s="3345" t="s">
        <v>2641</v>
      </c>
    </row>
    <row r="5" spans="1:29" ht="15">
      <c r="A5" s="403"/>
      <c r="B5" s="404"/>
      <c r="C5" s="3356" t="s">
        <v>2534</v>
      </c>
      <c r="D5" s="3355"/>
      <c r="E5" s="3360" t="s">
        <v>3272</v>
      </c>
      <c r="F5" s="3361"/>
      <c r="G5" s="3354" t="s">
        <v>3306</v>
      </c>
      <c r="H5" s="3355"/>
      <c r="I5" s="3354" t="s">
        <v>3273</v>
      </c>
      <c r="J5" s="3355"/>
      <c r="K5" s="609"/>
      <c r="L5" s="1124"/>
      <c r="M5" s="1125"/>
      <c r="N5" s="1125"/>
      <c r="O5" s="1125"/>
      <c r="P5" s="3348"/>
      <c r="Q5" s="3316"/>
      <c r="R5" s="3321"/>
      <c r="S5" s="3322"/>
      <c r="T5" s="3321"/>
      <c r="U5" s="3322"/>
      <c r="V5" s="3326"/>
      <c r="W5" s="3326"/>
      <c r="X5" s="1807"/>
      <c r="Y5" s="3321"/>
      <c r="Z5" s="3322"/>
      <c r="AA5" s="3338"/>
      <c r="AB5" s="3326"/>
      <c r="AC5" s="3338"/>
    </row>
    <row r="6" spans="1:29" ht="15.75" thickBot="1">
      <c r="A6" s="405"/>
      <c r="B6" s="406"/>
      <c r="C6" s="3357" t="s">
        <v>2538</v>
      </c>
      <c r="D6" s="3353"/>
      <c r="E6" s="3358" t="s">
        <v>3324</v>
      </c>
      <c r="F6" s="3359"/>
      <c r="G6" s="3352" t="s">
        <v>3325</v>
      </c>
      <c r="H6" s="3353"/>
      <c r="I6" s="3352" t="s">
        <v>3326</v>
      </c>
      <c r="J6" s="3353"/>
      <c r="K6" s="609" t="s">
        <v>2539</v>
      </c>
      <c r="L6" s="1124"/>
      <c r="M6" s="1125"/>
      <c r="N6" s="1125"/>
      <c r="O6" s="1125"/>
      <c r="P6" s="3349"/>
      <c r="Q6" s="3318"/>
      <c r="R6" s="3321"/>
      <c r="S6" s="3322"/>
      <c r="T6" s="3323"/>
      <c r="U6" s="3324"/>
      <c r="V6" s="3326"/>
      <c r="W6" s="3326"/>
      <c r="X6" s="1807"/>
      <c r="Y6" s="3323"/>
      <c r="Z6" s="3324"/>
      <c r="AA6" s="3339"/>
      <c r="AB6" s="3326"/>
      <c r="AC6" s="3339"/>
    </row>
    <row r="7" spans="1:29" s="116" customFormat="1" ht="15.75" thickBot="1">
      <c r="A7" s="407" t="s">
        <v>2540</v>
      </c>
      <c r="B7" s="408"/>
      <c r="C7" s="409">
        <f>'数据-取费表'!B2</f>
        <v>43185</v>
      </c>
      <c r="D7" s="410">
        <v>100</v>
      </c>
      <c r="E7" s="411">
        <v>43181</v>
      </c>
      <c r="F7" s="412">
        <f>SUMIF(58:58,YEAR(E7)&amp;"-"&amp;MONTH(E7),59:59)</f>
        <v>100</v>
      </c>
      <c r="G7" s="411">
        <v>43131</v>
      </c>
      <c r="H7" s="410">
        <f>SUMIF(58:58,YEAR(G7)&amp;"-"&amp;MONTH(G7),59:59)</f>
        <v>100</v>
      </c>
      <c r="I7" s="411">
        <v>43114</v>
      </c>
      <c r="J7" s="410">
        <f>SUMIF(58:58,YEAR(I7)&amp;"-"&amp;MONTH(I7),59:59)</f>
        <v>100</v>
      </c>
      <c r="K7" s="610"/>
      <c r="L7" s="1126"/>
      <c r="M7" s="1127"/>
      <c r="N7" s="1127"/>
      <c r="O7" s="1127"/>
      <c r="P7" s="3333" t="s">
        <v>2541</v>
      </c>
      <c r="Q7" s="3334"/>
      <c r="R7" s="768" t="s">
        <v>17</v>
      </c>
      <c r="S7" s="769">
        <f t="shared" ref="S7:S15" si="0">F7</f>
        <v>100</v>
      </c>
      <c r="T7" s="768" t="s">
        <v>17</v>
      </c>
      <c r="U7" s="769">
        <f t="shared" ref="U7:U15" si="1">H7</f>
        <v>100</v>
      </c>
      <c r="V7" s="768" t="s">
        <v>17</v>
      </c>
      <c r="W7" s="769">
        <f t="shared" ref="W7:W15" si="2">J7</f>
        <v>100</v>
      </c>
      <c r="X7" s="770"/>
      <c r="Y7" s="3333" t="s">
        <v>2541</v>
      </c>
      <c r="Z7" s="3332"/>
      <c r="AA7" s="771">
        <f>D7/F7</f>
        <v>1</v>
      </c>
      <c r="AB7" s="771">
        <f>D7/H7</f>
        <v>1</v>
      </c>
      <c r="AC7" s="771">
        <f>D7/J7</f>
        <v>1</v>
      </c>
    </row>
    <row r="8" spans="1:29" s="116" customFormat="1" ht="15.75" thickBot="1">
      <c r="A8" s="407" t="s">
        <v>2542</v>
      </c>
      <c r="B8" s="408"/>
      <c r="C8" s="413" t="s">
        <v>2644</v>
      </c>
      <c r="D8" s="410">
        <v>100</v>
      </c>
      <c r="E8" s="413" t="s">
        <v>2579</v>
      </c>
      <c r="F8" s="412">
        <f>SUMIF(61:61,E8,62:62)-SUMIF(61:61,C8,62:62)+100</f>
        <v>100</v>
      </c>
      <c r="G8" s="413" t="s">
        <v>2579</v>
      </c>
      <c r="H8" s="410">
        <f>SUMIF(61:61,G8,62:62)-SUMIF(61:61,C8,62:62)+100</f>
        <v>100</v>
      </c>
      <c r="I8" s="413" t="s">
        <v>2579</v>
      </c>
      <c r="J8" s="410">
        <f>SUMIF(61:61,I8,62:62)-SUMIF(61:61,C8,62:62)+100</f>
        <v>100</v>
      </c>
      <c r="K8" s="610"/>
      <c r="L8" s="1126"/>
      <c r="M8" s="1127"/>
      <c r="N8" s="1127"/>
      <c r="O8" s="1127"/>
      <c r="P8" s="3333" t="s">
        <v>2544</v>
      </c>
      <c r="Q8" s="3332"/>
      <c r="R8" s="768" t="s">
        <v>17</v>
      </c>
      <c r="S8" s="769">
        <f t="shared" si="0"/>
        <v>100</v>
      </c>
      <c r="T8" s="768" t="s">
        <v>17</v>
      </c>
      <c r="U8" s="769">
        <f t="shared" si="1"/>
        <v>100</v>
      </c>
      <c r="V8" s="768" t="s">
        <v>17</v>
      </c>
      <c r="W8" s="769">
        <f t="shared" si="2"/>
        <v>100</v>
      </c>
      <c r="X8" s="770"/>
      <c r="Y8" s="3333" t="s">
        <v>2544</v>
      </c>
      <c r="Z8" s="3332"/>
      <c r="AA8" s="771">
        <f t="shared" ref="AA8:AA46" si="3">D8/F8</f>
        <v>1</v>
      </c>
      <c r="AB8" s="771">
        <f t="shared" ref="AB8:AB46" si="4">D8/H8</f>
        <v>1</v>
      </c>
      <c r="AC8" s="771">
        <f t="shared" ref="AC8:AC46" si="5">D8/J8</f>
        <v>1</v>
      </c>
    </row>
    <row r="9" spans="1:29" s="116" customFormat="1">
      <c r="A9" s="414" t="s">
        <v>2545</v>
      </c>
      <c r="B9" s="70" t="s">
        <v>2546</v>
      </c>
      <c r="C9" s="3067" t="s">
        <v>3274</v>
      </c>
      <c r="D9" s="134">
        <v>100</v>
      </c>
      <c r="E9" s="416" t="s">
        <v>1375</v>
      </c>
      <c r="F9" s="417">
        <f>SUMIF(63:63,E9,64:64)-SUMIF(63:63,C9,64:64)+100</f>
        <v>100</v>
      </c>
      <c r="G9" s="416" t="s">
        <v>1375</v>
      </c>
      <c r="H9" s="134">
        <f>SUMIF(63:63,G9,64:64)-SUMIF(63:63,C9,64:64)+100</f>
        <v>100</v>
      </c>
      <c r="I9" s="416" t="s">
        <v>1375</v>
      </c>
      <c r="J9" s="134">
        <f>SUMIF(63:63,I9,64:64)-SUMIF(63:63,C9,64:64)+100</f>
        <v>100</v>
      </c>
      <c r="K9" s="610"/>
      <c r="L9" s="1126"/>
      <c r="M9" s="1127"/>
      <c r="N9" s="1127"/>
      <c r="O9" s="1127"/>
      <c r="P9" s="3291"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771">
        <f t="shared" si="5"/>
        <v>1</v>
      </c>
    </row>
    <row r="10" spans="1:29" s="426" customFormat="1" ht="27">
      <c r="A10" s="420"/>
      <c r="B10" s="421" t="s">
        <v>2549</v>
      </c>
      <c r="C10" s="422" t="s">
        <v>3075</v>
      </c>
      <c r="D10" s="135">
        <v>100</v>
      </c>
      <c r="E10" s="423" t="s">
        <v>3075</v>
      </c>
      <c r="F10" s="424">
        <f>SUMIF(65:65,E10,66:66)-SUMIF(65:65,C10,66:66)+100</f>
        <v>100</v>
      </c>
      <c r="G10" s="423" t="s">
        <v>3075</v>
      </c>
      <c r="H10" s="135">
        <f>SUMIF(65:65,G10,66:66)-SUMIF(65:65,C10,66:66)+100</f>
        <v>100</v>
      </c>
      <c r="I10" s="423" t="s">
        <v>3075</v>
      </c>
      <c r="J10" s="135">
        <f>SUMIF(65:65,I10,66:66)-SUMIF(65:65,C10,66:66)+100</f>
        <v>100</v>
      </c>
      <c r="K10" s="611"/>
      <c r="L10" s="1129"/>
      <c r="M10" s="1130"/>
      <c r="N10" s="1130"/>
      <c r="O10" s="1130"/>
      <c r="P10" s="3291"/>
      <c r="Q10" s="1789" t="str">
        <f t="shared" si="6"/>
        <v>土地使用年限（年）</v>
      </c>
      <c r="R10" s="768" t="s">
        <v>17</v>
      </c>
      <c r="S10" s="769">
        <f t="shared" si="0"/>
        <v>100</v>
      </c>
      <c r="T10" s="768" t="s">
        <v>17</v>
      </c>
      <c r="U10" s="769">
        <f t="shared" si="1"/>
        <v>100</v>
      </c>
      <c r="V10" s="768" t="s">
        <v>17</v>
      </c>
      <c r="W10" s="769">
        <f t="shared" si="2"/>
        <v>100</v>
      </c>
      <c r="X10" s="770"/>
      <c r="Y10" s="3120"/>
      <c r="Z10" s="55" t="str">
        <f t="shared" si="7"/>
        <v>土地使用年限（年）</v>
      </c>
      <c r="AA10" s="771">
        <f t="shared" si="3"/>
        <v>1</v>
      </c>
      <c r="AB10" s="771">
        <f t="shared" si="4"/>
        <v>1</v>
      </c>
      <c r="AC10" s="771">
        <f t="shared" si="5"/>
        <v>1</v>
      </c>
    </row>
    <row r="11" spans="1:29" ht="15.75" thickBot="1">
      <c r="A11" s="427"/>
      <c r="B11" s="421" t="s">
        <v>2550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2</v>
      </c>
      <c r="L11" s="1132"/>
      <c r="M11" s="1125"/>
      <c r="N11" s="1125"/>
      <c r="O11" s="1125"/>
      <c r="P11" s="3291"/>
      <c r="Q11" s="1789" t="str">
        <f t="shared" si="6"/>
        <v>容积率</v>
      </c>
      <c r="R11" s="768" t="s">
        <v>17</v>
      </c>
      <c r="S11" s="769">
        <f t="shared" si="0"/>
        <v>100</v>
      </c>
      <c r="T11" s="768" t="s">
        <v>17</v>
      </c>
      <c r="U11" s="769">
        <f t="shared" si="1"/>
        <v>100</v>
      </c>
      <c r="V11" s="768" t="s">
        <v>17</v>
      </c>
      <c r="W11" s="769">
        <f t="shared" si="2"/>
        <v>100</v>
      </c>
      <c r="X11" s="770"/>
      <c r="Y11" s="3120"/>
      <c r="Z11" s="55" t="str">
        <f t="shared" si="7"/>
        <v>容积率</v>
      </c>
      <c r="AA11" s="771">
        <f t="shared" si="3"/>
        <v>1</v>
      </c>
      <c r="AB11" s="771">
        <f t="shared" si="4"/>
        <v>1</v>
      </c>
      <c r="AC11" s="771">
        <f t="shared" si="5"/>
        <v>1</v>
      </c>
    </row>
    <row r="12" spans="1:29" s="116" customFormat="1" ht="15" hidden="1">
      <c r="A12" s="430"/>
      <c r="B12" s="2589"/>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291"/>
      <c r="Q12" s="1789">
        <f t="shared" si="6"/>
        <v>0</v>
      </c>
      <c r="R12" s="768" t="s">
        <v>17</v>
      </c>
      <c r="S12" s="769">
        <f t="shared" si="0"/>
        <v>100</v>
      </c>
      <c r="T12" s="768" t="s">
        <v>17</v>
      </c>
      <c r="U12" s="769">
        <f t="shared" si="1"/>
        <v>100</v>
      </c>
      <c r="V12" s="768" t="s">
        <v>17</v>
      </c>
      <c r="W12" s="769">
        <f t="shared" si="2"/>
        <v>100</v>
      </c>
      <c r="X12" s="770"/>
      <c r="Y12" s="3120"/>
      <c r="Z12" s="55">
        <f t="shared" si="7"/>
        <v>0</v>
      </c>
      <c r="AA12" s="771">
        <f>D12/F12</f>
        <v>1</v>
      </c>
      <c r="AB12" s="771">
        <f>D12/H12</f>
        <v>1</v>
      </c>
      <c r="AC12" s="771">
        <f>D12/J12</f>
        <v>1</v>
      </c>
    </row>
    <row r="13" spans="1:29" ht="15" hidden="1">
      <c r="A13" s="427"/>
      <c r="B13" s="2589"/>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91"/>
      <c r="Q13" s="1789">
        <f t="shared" si="6"/>
        <v>0</v>
      </c>
      <c r="R13" s="768" t="s">
        <v>17</v>
      </c>
      <c r="S13" s="769">
        <f t="shared" si="0"/>
        <v>100</v>
      </c>
      <c r="T13" s="768" t="s">
        <v>17</v>
      </c>
      <c r="U13" s="769">
        <f t="shared" si="1"/>
        <v>100</v>
      </c>
      <c r="V13" s="768" t="s">
        <v>17</v>
      </c>
      <c r="W13" s="769">
        <f t="shared" si="2"/>
        <v>100</v>
      </c>
      <c r="X13" s="770"/>
      <c r="Y13" s="3120"/>
      <c r="Z13" s="55">
        <f t="shared" si="7"/>
        <v>0</v>
      </c>
      <c r="AA13" s="771">
        <f t="shared" si="3"/>
        <v>1</v>
      </c>
      <c r="AB13" s="771">
        <f t="shared" si="4"/>
        <v>1</v>
      </c>
      <c r="AC13" s="771">
        <f t="shared" si="5"/>
        <v>1</v>
      </c>
    </row>
    <row r="14" spans="1:29" ht="15.75" hidden="1" thickBot="1">
      <c r="A14" s="435"/>
      <c r="B14" s="2591"/>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91"/>
      <c r="Q14" s="1789">
        <f t="shared" si="6"/>
        <v>0</v>
      </c>
      <c r="R14" s="768" t="s">
        <v>17</v>
      </c>
      <c r="S14" s="769">
        <f t="shared" si="0"/>
        <v>100</v>
      </c>
      <c r="T14" s="768" t="s">
        <v>17</v>
      </c>
      <c r="U14" s="769">
        <f t="shared" si="1"/>
        <v>100</v>
      </c>
      <c r="V14" s="768" t="s">
        <v>17</v>
      </c>
      <c r="W14" s="769">
        <f t="shared" si="2"/>
        <v>100</v>
      </c>
      <c r="X14" s="770"/>
      <c r="Y14" s="3120"/>
      <c r="Z14" s="55">
        <f t="shared" si="7"/>
        <v>0</v>
      </c>
      <c r="AA14" s="771">
        <f t="shared" si="3"/>
        <v>1</v>
      </c>
      <c r="AB14" s="771">
        <f t="shared" si="4"/>
        <v>1</v>
      </c>
      <c r="AC14" s="771">
        <f t="shared" si="5"/>
        <v>1</v>
      </c>
    </row>
    <row r="15" spans="1:29" ht="78" customHeight="1">
      <c r="A15" s="439" t="s">
        <v>2551</v>
      </c>
      <c r="B15" s="68" t="s">
        <v>2645</v>
      </c>
      <c r="C15" s="2592" t="str">
        <f>估价对象房地状况!C4</f>
        <v>估价对象位于华远天地项目，周边多为住宅底商项目，商业氛围成熟度一般，人流量一般，商业繁华度一般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97" t="s">
        <v>2552</v>
      </c>
      <c r="Q15" s="1804" t="str">
        <f t="shared" si="6"/>
        <v>商业繁华度</v>
      </c>
      <c r="R15" s="772" t="s">
        <v>17</v>
      </c>
      <c r="S15" s="773">
        <f t="shared" si="0"/>
        <v>100</v>
      </c>
      <c r="T15" s="772" t="s">
        <v>17</v>
      </c>
      <c r="U15" s="773">
        <f t="shared" si="1"/>
        <v>100</v>
      </c>
      <c r="V15" s="772" t="s">
        <v>17</v>
      </c>
      <c r="W15" s="773">
        <f t="shared" si="2"/>
        <v>100</v>
      </c>
      <c r="X15" s="1807"/>
      <c r="Y15" s="3299" t="s">
        <v>2552</v>
      </c>
      <c r="Z15" s="1808" t="str">
        <f t="shared" si="7"/>
        <v>商业繁华度</v>
      </c>
      <c r="AA15" s="1805">
        <f t="shared" si="3"/>
        <v>1</v>
      </c>
      <c r="AB15" s="1805">
        <f t="shared" si="4"/>
        <v>1</v>
      </c>
      <c r="AC15" s="1805">
        <f t="shared" si="5"/>
        <v>1</v>
      </c>
    </row>
    <row r="16" spans="1:29" ht="15">
      <c r="A16" s="427"/>
      <c r="B16" s="445"/>
      <c r="C16" s="446" t="s">
        <v>3095</v>
      </c>
      <c r="D16" s="447"/>
      <c r="E16" s="446" t="s">
        <v>3095</v>
      </c>
      <c r="F16" s="448"/>
      <c r="G16" s="446" t="s">
        <v>3095</v>
      </c>
      <c r="H16" s="449"/>
      <c r="I16" s="446" t="s">
        <v>3095</v>
      </c>
      <c r="J16" s="447"/>
      <c r="K16" s="614"/>
      <c r="L16" s="1134"/>
      <c r="M16" s="1125"/>
      <c r="N16" s="1125"/>
      <c r="O16" s="1125"/>
      <c r="P16" s="3298"/>
      <c r="Q16" s="1804"/>
      <c r="R16" s="772"/>
      <c r="S16" s="773"/>
      <c r="T16" s="772"/>
      <c r="U16" s="773"/>
      <c r="V16" s="772"/>
      <c r="W16" s="773"/>
      <c r="X16" s="1807"/>
      <c r="Y16" s="3300"/>
      <c r="Z16" s="1808"/>
      <c r="AA16" s="1805">
        <v>1</v>
      </c>
      <c r="AB16" s="1805">
        <v>1</v>
      </c>
      <c r="AC16" s="1805">
        <v>1</v>
      </c>
    </row>
    <row r="17" spans="1:29" ht="75.75" customHeight="1">
      <c r="A17" s="427"/>
      <c r="B17" s="450" t="s">
        <v>2090</v>
      </c>
      <c r="C17" s="2596" t="str">
        <f>估价对象房地状况!C6</f>
        <v>估价对象周边道路状况、周边有810、910、938等多路及地铁八通线经过，综合评价交通便捷度较好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98"/>
      <c r="Q17" s="1804" t="str">
        <f>B17</f>
        <v>交通便捷度</v>
      </c>
      <c r="R17" s="772" t="s">
        <v>17</v>
      </c>
      <c r="S17" s="773">
        <f>F17</f>
        <v>100</v>
      </c>
      <c r="T17" s="772" t="s">
        <v>17</v>
      </c>
      <c r="U17" s="773">
        <f>H17</f>
        <v>100</v>
      </c>
      <c r="V17" s="772" t="s">
        <v>17</v>
      </c>
      <c r="W17" s="773">
        <f>J17</f>
        <v>100</v>
      </c>
      <c r="X17" s="1807"/>
      <c r="Y17" s="3300"/>
      <c r="Z17" s="1808" t="str">
        <f>Q17</f>
        <v>交通便捷度</v>
      </c>
      <c r="AA17" s="1805">
        <f t="shared" si="3"/>
        <v>1</v>
      </c>
      <c r="AB17" s="1805">
        <f t="shared" si="4"/>
        <v>1</v>
      </c>
      <c r="AC17" s="1805">
        <f t="shared" si="5"/>
        <v>1</v>
      </c>
    </row>
    <row r="18" spans="1:29" ht="15">
      <c r="A18" s="427"/>
      <c r="B18" s="455"/>
      <c r="C18" s="2597" t="s">
        <v>3077</v>
      </c>
      <c r="D18" s="449"/>
      <c r="E18" s="2597" t="s">
        <v>3077</v>
      </c>
      <c r="F18" s="452"/>
      <c r="G18" s="2597" t="s">
        <v>3077</v>
      </c>
      <c r="H18" s="447"/>
      <c r="I18" s="2597" t="s">
        <v>3077</v>
      </c>
      <c r="J18" s="447"/>
      <c r="K18" s="614"/>
      <c r="L18" s="1134"/>
      <c r="M18" s="1125"/>
      <c r="N18" s="1125"/>
      <c r="O18" s="1125"/>
      <c r="P18" s="3298"/>
      <c r="Q18" s="1804"/>
      <c r="R18" s="772"/>
      <c r="S18" s="773"/>
      <c r="T18" s="772"/>
      <c r="U18" s="773"/>
      <c r="V18" s="772"/>
      <c r="W18" s="773"/>
      <c r="X18" s="1807"/>
      <c r="Y18" s="3300"/>
      <c r="Z18" s="1808"/>
      <c r="AA18" s="1805">
        <v>1</v>
      </c>
      <c r="AB18" s="1805">
        <v>1</v>
      </c>
      <c r="AC18" s="1805">
        <v>1</v>
      </c>
    </row>
    <row r="19" spans="1:29" ht="53.25" customHeight="1">
      <c r="A19" s="427"/>
      <c r="B19" s="450" t="s">
        <v>2646</v>
      </c>
      <c r="C19" s="2596" t="str">
        <f>估价对象房地状况!C7</f>
        <v>周边有银行、购物场所、餐饮等配套设施，公共服务设施状况一般。</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98"/>
      <c r="Q19" s="1804" t="str">
        <f>B19</f>
        <v>公共配套设施</v>
      </c>
      <c r="R19" s="772" t="s">
        <v>17</v>
      </c>
      <c r="S19" s="773">
        <f>F19</f>
        <v>100</v>
      </c>
      <c r="T19" s="772" t="s">
        <v>17</v>
      </c>
      <c r="U19" s="773">
        <f>H19</f>
        <v>100</v>
      </c>
      <c r="V19" s="772" t="s">
        <v>17</v>
      </c>
      <c r="W19" s="773">
        <f>J19</f>
        <v>100</v>
      </c>
      <c r="X19" s="1807"/>
      <c r="Y19" s="3300"/>
      <c r="Z19" s="1808" t="str">
        <f>Q19</f>
        <v>公共配套设施</v>
      </c>
      <c r="AA19" s="1805">
        <f t="shared" si="3"/>
        <v>1</v>
      </c>
      <c r="AB19" s="1805">
        <f t="shared" si="4"/>
        <v>1</v>
      </c>
      <c r="AC19" s="1805">
        <f t="shared" si="5"/>
        <v>1</v>
      </c>
    </row>
    <row r="20" spans="1:29" ht="15">
      <c r="A20" s="427"/>
      <c r="B20" s="455"/>
      <c r="C20" s="446" t="s">
        <v>3095</v>
      </c>
      <c r="D20" s="447"/>
      <c r="E20" s="446" t="s">
        <v>3095</v>
      </c>
      <c r="F20" s="448"/>
      <c r="G20" s="446" t="s">
        <v>3095</v>
      </c>
      <c r="H20" s="447"/>
      <c r="I20" s="446" t="s">
        <v>3095</v>
      </c>
      <c r="J20" s="447"/>
      <c r="K20" s="614"/>
      <c r="L20" s="1134"/>
      <c r="M20" s="1125"/>
      <c r="N20" s="1125"/>
      <c r="O20" s="1125"/>
      <c r="P20" s="3298"/>
      <c r="Q20" s="1804"/>
      <c r="R20" s="772"/>
      <c r="S20" s="773"/>
      <c r="T20" s="772"/>
      <c r="U20" s="773"/>
      <c r="V20" s="772"/>
      <c r="W20" s="773"/>
      <c r="X20" s="1807"/>
      <c r="Y20" s="3300"/>
      <c r="Z20" s="1808"/>
      <c r="AA20" s="1805">
        <v>1</v>
      </c>
      <c r="AB20" s="1805">
        <v>1</v>
      </c>
      <c r="AC20" s="1805">
        <v>1</v>
      </c>
    </row>
    <row r="21" spans="1:29" ht="15">
      <c r="A21" s="427"/>
      <c r="B21" s="1378" t="s">
        <v>2647</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98"/>
      <c r="Q21" s="1804" t="str">
        <f>B21</f>
        <v>基础设施水平</v>
      </c>
      <c r="R21" s="772" t="s">
        <v>17</v>
      </c>
      <c r="S21" s="773">
        <f>F21</f>
        <v>100</v>
      </c>
      <c r="T21" s="772" t="s">
        <v>17</v>
      </c>
      <c r="U21" s="773">
        <f>H21</f>
        <v>100</v>
      </c>
      <c r="V21" s="772" t="s">
        <v>17</v>
      </c>
      <c r="W21" s="773">
        <f>J21</f>
        <v>100</v>
      </c>
      <c r="X21" s="1807"/>
      <c r="Y21" s="3300"/>
      <c r="Z21" s="1808" t="str">
        <f>Q21</f>
        <v>基础设施水平</v>
      </c>
      <c r="AA21" s="1805">
        <f t="shared" ref="AA21" si="8">D21/F21</f>
        <v>1</v>
      </c>
      <c r="AB21" s="1805">
        <f t="shared" ref="AB21" si="9">D21/H21</f>
        <v>1</v>
      </c>
      <c r="AC21" s="1805">
        <f t="shared" ref="AC21" si="10">D21/J21</f>
        <v>1</v>
      </c>
    </row>
    <row r="22" spans="1:29" ht="15">
      <c r="A22" s="427"/>
      <c r="B22" s="1378"/>
      <c r="C22" s="2597" t="s">
        <v>3054</v>
      </c>
      <c r="D22" s="447"/>
      <c r="E22" s="2597" t="s">
        <v>3054</v>
      </c>
      <c r="F22" s="448"/>
      <c r="G22" s="2597" t="s">
        <v>3054</v>
      </c>
      <c r="H22" s="447"/>
      <c r="I22" s="2597" t="s">
        <v>3054</v>
      </c>
      <c r="J22" s="447"/>
      <c r="K22" s="1377"/>
      <c r="L22" s="1134"/>
      <c r="M22" s="1125"/>
      <c r="N22" s="1125"/>
      <c r="O22" s="1125"/>
      <c r="P22" s="3298"/>
      <c r="Q22" s="1804"/>
      <c r="R22" s="772"/>
      <c r="S22" s="773"/>
      <c r="T22" s="772"/>
      <c r="U22" s="773"/>
      <c r="V22" s="772"/>
      <c r="W22" s="773"/>
      <c r="X22" s="1807"/>
      <c r="Y22" s="3300"/>
      <c r="Z22" s="1808"/>
      <c r="AA22" s="1805">
        <v>1</v>
      </c>
      <c r="AB22" s="1805">
        <v>1</v>
      </c>
      <c r="AC22" s="1805">
        <v>1</v>
      </c>
    </row>
    <row r="23" spans="1:29" ht="64.5" customHeight="1">
      <c r="A23" s="427"/>
      <c r="B23" s="450" t="s">
        <v>2093</v>
      </c>
      <c r="C23" s="2653" t="str">
        <f>估价对象房地状况!C9</f>
        <v>区域自然环境：梨园主题公园；人文环境：无；综合评价环境状况一般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98"/>
      <c r="Q23" s="1804" t="str">
        <f>B23</f>
        <v>自然及人文环境</v>
      </c>
      <c r="R23" s="772" t="s">
        <v>17</v>
      </c>
      <c r="S23" s="773">
        <f>F23</f>
        <v>100</v>
      </c>
      <c r="T23" s="772" t="s">
        <v>17</v>
      </c>
      <c r="U23" s="773">
        <f>H23</f>
        <v>100</v>
      </c>
      <c r="V23" s="772" t="s">
        <v>17</v>
      </c>
      <c r="W23" s="773">
        <f>J23</f>
        <v>100</v>
      </c>
      <c r="X23" s="1807"/>
      <c r="Y23" s="3300"/>
      <c r="Z23" s="1808" t="str">
        <f>Q23</f>
        <v>自然及人文环境</v>
      </c>
      <c r="AA23" s="1805">
        <f t="shared" si="3"/>
        <v>1</v>
      </c>
      <c r="AB23" s="1805">
        <f t="shared" si="4"/>
        <v>1</v>
      </c>
      <c r="AC23" s="1805">
        <f t="shared" si="5"/>
        <v>1</v>
      </c>
    </row>
    <row r="24" spans="1:29" ht="15">
      <c r="A24" s="427"/>
      <c r="B24" s="455"/>
      <c r="C24" s="446" t="s">
        <v>3095</v>
      </c>
      <c r="D24" s="447"/>
      <c r="E24" s="446" t="s">
        <v>3095</v>
      </c>
      <c r="F24" s="448"/>
      <c r="G24" s="446" t="s">
        <v>3095</v>
      </c>
      <c r="H24" s="447"/>
      <c r="I24" s="446" t="s">
        <v>3095</v>
      </c>
      <c r="J24" s="447"/>
      <c r="K24" s="614"/>
      <c r="L24" s="1134"/>
      <c r="M24" s="1125"/>
      <c r="N24" s="1125"/>
      <c r="O24" s="1125"/>
      <c r="P24" s="3298"/>
      <c r="Q24" s="1804"/>
      <c r="R24" s="772"/>
      <c r="S24" s="773"/>
      <c r="T24" s="772"/>
      <c r="U24" s="773"/>
      <c r="V24" s="772"/>
      <c r="W24" s="773"/>
      <c r="X24" s="1807"/>
      <c r="Y24" s="3300"/>
      <c r="Z24" s="1808"/>
      <c r="AA24" s="1805">
        <v>1</v>
      </c>
      <c r="AB24" s="1805">
        <v>1</v>
      </c>
      <c r="AC24" s="1805">
        <v>1</v>
      </c>
    </row>
    <row r="25" spans="1:29" ht="15">
      <c r="A25" s="427"/>
      <c r="B25" s="421" t="s">
        <v>2648</v>
      </c>
      <c r="C25" s="615" t="s">
        <v>3290</v>
      </c>
      <c r="D25" s="434">
        <v>100</v>
      </c>
      <c r="E25" s="615" t="s">
        <v>3290</v>
      </c>
      <c r="F25" s="460">
        <f>SUMIF(86:86,E25,87:87)-SUMIF(86:86,C25,87:87)+100</f>
        <v>100</v>
      </c>
      <c r="G25" s="615" t="s">
        <v>3290</v>
      </c>
      <c r="H25" s="434">
        <f>SUMIF(86:86,G25,87:87)-SUMIF(86:86,C25,87:87)+100</f>
        <v>100</v>
      </c>
      <c r="I25" s="615" t="s">
        <v>3290</v>
      </c>
      <c r="J25" s="434">
        <f>SUMIF(86:86,I25,87:87)-SUMIF(86:86,C25,87:87)+100</f>
        <v>100</v>
      </c>
      <c r="K25" s="611">
        <v>3</v>
      </c>
      <c r="L25" s="1134"/>
      <c r="M25" s="1125"/>
      <c r="N25" s="1125"/>
      <c r="O25" s="1125"/>
      <c r="P25" s="3298"/>
      <c r="Q25" s="1804" t="str">
        <f t="shared" ref="Q25:Q46" si="11">B25</f>
        <v>临街状况</v>
      </c>
      <c r="R25" s="772" t="s">
        <v>17</v>
      </c>
      <c r="S25" s="773">
        <f>F25</f>
        <v>100</v>
      </c>
      <c r="T25" s="772" t="s">
        <v>17</v>
      </c>
      <c r="U25" s="773">
        <f>H25</f>
        <v>100</v>
      </c>
      <c r="V25" s="772" t="s">
        <v>17</v>
      </c>
      <c r="W25" s="773">
        <f>J25</f>
        <v>100</v>
      </c>
      <c r="X25" s="1807"/>
      <c r="Y25" s="3300"/>
      <c r="Z25" s="1808" t="str">
        <f>Q25</f>
        <v>临街状况</v>
      </c>
      <c r="AA25" s="1805">
        <f t="shared" si="3"/>
        <v>1</v>
      </c>
      <c r="AB25" s="1805">
        <f t="shared" si="4"/>
        <v>1</v>
      </c>
      <c r="AC25" s="1805">
        <f t="shared" si="5"/>
        <v>1</v>
      </c>
    </row>
    <row r="26" spans="1:29" ht="15">
      <c r="A26" s="427"/>
      <c r="B26" s="1380" t="s">
        <v>2649</v>
      </c>
      <c r="C26" s="3072" t="s">
        <v>3283</v>
      </c>
      <c r="D26" s="434">
        <v>100</v>
      </c>
      <c r="E26" s="3072" t="s">
        <v>3283</v>
      </c>
      <c r="F26" s="460">
        <f>SUMIF(88:88,E26,89:89)-SUMIF(88:88,C26,89:89)+100</f>
        <v>100</v>
      </c>
      <c r="G26" s="3072" t="s">
        <v>3283</v>
      </c>
      <c r="H26" s="434">
        <f>SUMIF(88:88,G26,89:89)-SUMIF(88:88,C26,89:89)+100</f>
        <v>100</v>
      </c>
      <c r="I26" s="3072" t="s">
        <v>3302</v>
      </c>
      <c r="J26" s="434">
        <f>SUMIF(88:88,I26,89:89)-SUMIF(88:88,C26,89:89)+100</f>
        <v>103</v>
      </c>
      <c r="K26" s="612"/>
      <c r="L26" s="1134"/>
      <c r="M26" s="1125"/>
      <c r="N26" s="1125"/>
      <c r="O26" s="1125"/>
      <c r="P26" s="3298"/>
      <c r="Q26" s="1804" t="str">
        <f t="shared" si="11"/>
        <v>平面位置/可视性</v>
      </c>
      <c r="R26" s="772" t="s">
        <v>17</v>
      </c>
      <c r="S26" s="773">
        <f>F26</f>
        <v>100</v>
      </c>
      <c r="T26" s="772" t="s">
        <v>17</v>
      </c>
      <c r="U26" s="773">
        <f>H26</f>
        <v>100</v>
      </c>
      <c r="V26" s="772" t="s">
        <v>17</v>
      </c>
      <c r="W26" s="773">
        <f>J26</f>
        <v>103</v>
      </c>
      <c r="X26" s="1807"/>
      <c r="Y26" s="3300"/>
      <c r="Z26" s="1808" t="str">
        <f>Q26</f>
        <v>平面位置/可视性</v>
      </c>
      <c r="AA26" s="1805">
        <f t="shared" si="3"/>
        <v>1</v>
      </c>
      <c r="AB26" s="1805">
        <f t="shared" si="4"/>
        <v>1</v>
      </c>
      <c r="AC26" s="1805">
        <f t="shared" si="5"/>
        <v>0.970873786407767</v>
      </c>
    </row>
    <row r="27" spans="1:29" s="116" customFormat="1" ht="15">
      <c r="A27" s="430"/>
      <c r="B27" s="450" t="s">
        <v>2650</v>
      </c>
      <c r="C27" s="2654" t="s">
        <v>3095</v>
      </c>
      <c r="D27" s="461">
        <v>100</v>
      </c>
      <c r="E27" s="2654" t="s">
        <v>3095</v>
      </c>
      <c r="F27" s="463">
        <f>SUMIF(90:90,E27,91:91)-SUMIF(90:90,C27,91:91)+100</f>
        <v>100</v>
      </c>
      <c r="G27" s="2654" t="s">
        <v>3095</v>
      </c>
      <c r="H27" s="461">
        <f>SUMIF(90:90,G27,91:91)-SUMIF(90:90,C27,91:91)+100</f>
        <v>100</v>
      </c>
      <c r="I27" s="2654" t="s">
        <v>3281</v>
      </c>
      <c r="J27" s="461">
        <f>SUMIF(90:90,I27,91:91)-SUMIF(90:90,C27,91:91)+100</f>
        <v>103</v>
      </c>
      <c r="K27" s="611">
        <v>3</v>
      </c>
      <c r="L27" s="1126"/>
      <c r="M27" s="1127"/>
      <c r="N27" s="1127"/>
      <c r="O27" s="1127"/>
      <c r="P27" s="3298"/>
      <c r="Q27" s="1789" t="str">
        <f t="shared" si="11"/>
        <v>人流量</v>
      </c>
      <c r="R27" s="768" t="s">
        <v>17</v>
      </c>
      <c r="S27" s="769">
        <f>F27</f>
        <v>100</v>
      </c>
      <c r="T27" s="768" t="s">
        <v>17</v>
      </c>
      <c r="U27" s="769">
        <f>H27</f>
        <v>100</v>
      </c>
      <c r="V27" s="768" t="s">
        <v>17</v>
      </c>
      <c r="W27" s="769">
        <f>J27</f>
        <v>103</v>
      </c>
      <c r="X27" s="770"/>
      <c r="Y27" s="3300"/>
      <c r="Z27" s="55" t="str">
        <f>Q27</f>
        <v>人流量</v>
      </c>
      <c r="AA27" s="1805">
        <f>D27/F27</f>
        <v>1</v>
      </c>
      <c r="AB27" s="1805">
        <f>D27/H27</f>
        <v>1</v>
      </c>
      <c r="AC27" s="1805">
        <f>D27/J27</f>
        <v>0.970873786407767</v>
      </c>
    </row>
    <row r="28" spans="1:29" ht="15.75" thickBot="1">
      <c r="A28" s="427"/>
      <c r="B28" s="421" t="s">
        <v>2651</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298"/>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00"/>
      <c r="Z28" s="1808" t="str">
        <f t="shared" ref="Z28:Z46" si="15">Q28</f>
        <v>楼层</v>
      </c>
      <c r="AA28" s="1805">
        <f t="shared" si="3"/>
        <v>1</v>
      </c>
      <c r="AB28" s="1805">
        <f t="shared" si="4"/>
        <v>1</v>
      </c>
      <c r="AC28" s="1805">
        <f t="shared" si="5"/>
        <v>1</v>
      </c>
    </row>
    <row r="29" spans="1:29" ht="15" hidden="1">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98"/>
      <c r="Q29" s="1804">
        <f t="shared" si="11"/>
        <v>111</v>
      </c>
      <c r="R29" s="772" t="s">
        <v>17</v>
      </c>
      <c r="S29" s="773">
        <f t="shared" si="12"/>
        <v>100</v>
      </c>
      <c r="T29" s="772" t="s">
        <v>17</v>
      </c>
      <c r="U29" s="773">
        <f t="shared" si="13"/>
        <v>100</v>
      </c>
      <c r="V29" s="772" t="s">
        <v>17</v>
      </c>
      <c r="W29" s="773">
        <f t="shared" si="14"/>
        <v>100</v>
      </c>
      <c r="X29" s="1807"/>
      <c r="Y29" s="3300"/>
      <c r="Z29" s="1808">
        <f t="shared" si="15"/>
        <v>111</v>
      </c>
      <c r="AA29" s="1805">
        <f t="shared" si="3"/>
        <v>1</v>
      </c>
      <c r="AB29" s="1805">
        <f t="shared" si="4"/>
        <v>1</v>
      </c>
      <c r="AC29" s="1805">
        <f t="shared" si="5"/>
        <v>1</v>
      </c>
    </row>
    <row r="30" spans="1:29" ht="15" hidden="1">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98"/>
      <c r="Q30" s="1804">
        <f t="shared" si="11"/>
        <v>111</v>
      </c>
      <c r="R30" s="772" t="s">
        <v>17</v>
      </c>
      <c r="S30" s="773">
        <f t="shared" si="12"/>
        <v>100</v>
      </c>
      <c r="T30" s="772" t="s">
        <v>17</v>
      </c>
      <c r="U30" s="773">
        <f t="shared" si="13"/>
        <v>100</v>
      </c>
      <c r="V30" s="772" t="s">
        <v>17</v>
      </c>
      <c r="W30" s="773">
        <f t="shared" si="14"/>
        <v>100</v>
      </c>
      <c r="X30" s="1807"/>
      <c r="Y30" s="3300"/>
      <c r="Z30" s="1808">
        <f t="shared" si="15"/>
        <v>111</v>
      </c>
      <c r="AA30" s="1805">
        <f t="shared" si="3"/>
        <v>1</v>
      </c>
      <c r="AB30" s="1805">
        <f t="shared" si="4"/>
        <v>1</v>
      </c>
      <c r="AC30" s="1805">
        <f t="shared" si="5"/>
        <v>1</v>
      </c>
    </row>
    <row r="31" spans="1:29" ht="15.75" hidden="1"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98"/>
      <c r="Q31" s="1804">
        <f t="shared" si="11"/>
        <v>111</v>
      </c>
      <c r="R31" s="772" t="s">
        <v>17</v>
      </c>
      <c r="S31" s="773">
        <f t="shared" si="12"/>
        <v>100</v>
      </c>
      <c r="T31" s="772" t="s">
        <v>17</v>
      </c>
      <c r="U31" s="773">
        <f t="shared" si="13"/>
        <v>100</v>
      </c>
      <c r="V31" s="772" t="s">
        <v>17</v>
      </c>
      <c r="W31" s="773">
        <f t="shared" si="14"/>
        <v>100</v>
      </c>
      <c r="X31" s="1807"/>
      <c r="Y31" s="3300"/>
      <c r="Z31" s="1808">
        <f t="shared" si="15"/>
        <v>111</v>
      </c>
      <c r="AA31" s="1805">
        <f t="shared" si="3"/>
        <v>1</v>
      </c>
      <c r="AB31" s="1805">
        <f t="shared" si="4"/>
        <v>1</v>
      </c>
      <c r="AC31" s="1805">
        <f t="shared" si="5"/>
        <v>1</v>
      </c>
    </row>
    <row r="32" spans="1:29" ht="15">
      <c r="A32" s="439" t="s">
        <v>2555</v>
      </c>
      <c r="B32" s="70" t="s">
        <v>2652</v>
      </c>
      <c r="C32" s="2606" t="s">
        <v>3265</v>
      </c>
      <c r="D32" s="466">
        <v>100</v>
      </c>
      <c r="E32" s="2606" t="s">
        <v>3295</v>
      </c>
      <c r="F32" s="460">
        <f>SUMIF(100:100,E32,101:101)-SUMIF(100:100,C32,101:101)+100</f>
        <v>95</v>
      </c>
      <c r="G32" s="2606" t="s">
        <v>3295</v>
      </c>
      <c r="H32" s="434">
        <f>SUMIF(100:100,G32,101:101)-SUMIF(100:100,C32,101:101)+100</f>
        <v>95</v>
      </c>
      <c r="I32" s="2606" t="s">
        <v>3265</v>
      </c>
      <c r="J32" s="466">
        <f>SUMIF(100:100,I32,101:101)-SUMIF(100:100,C32,101:101)+100</f>
        <v>100</v>
      </c>
      <c r="K32" s="611">
        <v>5</v>
      </c>
      <c r="L32" s="1134"/>
      <c r="M32" s="1125"/>
      <c r="N32" s="1125"/>
      <c r="O32" s="1125"/>
      <c r="P32" s="3301" t="s">
        <v>2557</v>
      </c>
      <c r="Q32" s="1804" t="str">
        <f t="shared" si="11"/>
        <v>商业类型</v>
      </c>
      <c r="R32" s="772" t="s">
        <v>17</v>
      </c>
      <c r="S32" s="773">
        <f t="shared" si="12"/>
        <v>95</v>
      </c>
      <c r="T32" s="772" t="s">
        <v>17</v>
      </c>
      <c r="U32" s="773">
        <f t="shared" si="13"/>
        <v>95</v>
      </c>
      <c r="V32" s="772" t="s">
        <v>17</v>
      </c>
      <c r="W32" s="773">
        <f t="shared" si="14"/>
        <v>100</v>
      </c>
      <c r="X32" s="1807"/>
      <c r="Y32" s="3304" t="s">
        <v>2557</v>
      </c>
      <c r="Z32" s="1808" t="str">
        <f t="shared" si="15"/>
        <v>商业类型</v>
      </c>
      <c r="AA32" s="1805">
        <f t="shared" si="3"/>
        <v>1.0526315789473684</v>
      </c>
      <c r="AB32" s="1805">
        <f t="shared" si="4"/>
        <v>1.0526315789473684</v>
      </c>
      <c r="AC32" s="1805">
        <f t="shared" si="5"/>
        <v>1</v>
      </c>
    </row>
    <row r="33" spans="1:29" s="470" customFormat="1" ht="15">
      <c r="A33" s="467"/>
      <c r="B33" s="421" t="s">
        <v>2558</v>
      </c>
      <c r="C33" s="468">
        <f>'数据-基础表'!I13</f>
        <v>117.95</v>
      </c>
      <c r="D33" s="135">
        <v>100</v>
      </c>
      <c r="E33" s="429">
        <v>149</v>
      </c>
      <c r="F33" s="424">
        <f>LOOKUP(E33,103:103,104:104)-LOOKUP(C33,103:103,104:104)+100</f>
        <v>100</v>
      </c>
      <c r="G33" s="428">
        <v>98</v>
      </c>
      <c r="H33" s="135">
        <f>LOOKUP(G33,103:103,104:104)-LOOKUP(C33,103:103,104:104)+100</f>
        <v>101</v>
      </c>
      <c r="I33" s="428">
        <v>70</v>
      </c>
      <c r="J33" s="135">
        <f>LOOKUP(I33,103:103,104:104)-LOOKUP(C33,103:103,104:104)+100</f>
        <v>101</v>
      </c>
      <c r="K33" s="612"/>
      <c r="L33" s="1132"/>
      <c r="M33" s="1135"/>
      <c r="N33" s="1135"/>
      <c r="O33" s="1135"/>
      <c r="P33" s="3302"/>
      <c r="Q33" s="774" t="str">
        <f t="shared" si="11"/>
        <v>项目建筑规模</v>
      </c>
      <c r="R33" s="775" t="s">
        <v>17</v>
      </c>
      <c r="S33" s="776">
        <f t="shared" si="12"/>
        <v>100</v>
      </c>
      <c r="T33" s="775" t="s">
        <v>17</v>
      </c>
      <c r="U33" s="776">
        <f t="shared" si="13"/>
        <v>101</v>
      </c>
      <c r="V33" s="775" t="s">
        <v>17</v>
      </c>
      <c r="W33" s="776">
        <f t="shared" si="14"/>
        <v>101</v>
      </c>
      <c r="X33" s="777"/>
      <c r="Y33" s="3304"/>
      <c r="Z33" s="778" t="str">
        <f t="shared" si="15"/>
        <v>项目建筑规模</v>
      </c>
      <c r="AA33" s="1805">
        <f t="shared" si="3"/>
        <v>1</v>
      </c>
      <c r="AB33" s="1805">
        <f t="shared" si="4"/>
        <v>0.99009900990099009</v>
      </c>
      <c r="AC33" s="1805">
        <f t="shared" si="5"/>
        <v>0.99009900990099009</v>
      </c>
    </row>
    <row r="34" spans="1:29" ht="15">
      <c r="A34" s="471"/>
      <c r="B34" s="421" t="s">
        <v>2559</v>
      </c>
      <c r="C34" s="2608" t="s">
        <v>3066</v>
      </c>
      <c r="D34" s="434">
        <v>100</v>
      </c>
      <c r="E34" s="2608" t="s">
        <v>3066</v>
      </c>
      <c r="F34" s="460">
        <f>SUMIF(105:105,E34,106:106)-SUMIF(105:105,C34,106:106)+100</f>
        <v>100</v>
      </c>
      <c r="G34" s="2608" t="s">
        <v>3066</v>
      </c>
      <c r="H34" s="434">
        <f>SUMIF(105:105,G34,106:106)-SUMIF(105:105,C34,106:106)+100</f>
        <v>100</v>
      </c>
      <c r="I34" s="2608" t="s">
        <v>3066</v>
      </c>
      <c r="J34" s="434">
        <f>SUMIF(105:105,I34,106:106)-SUMIF(105:105,C34,106:106)+100</f>
        <v>100</v>
      </c>
      <c r="K34" s="611">
        <v>2</v>
      </c>
      <c r="L34" s="1134"/>
      <c r="M34" s="1125"/>
      <c r="N34" s="1125"/>
      <c r="O34" s="1125"/>
      <c r="P34" s="3302"/>
      <c r="Q34" s="1804" t="str">
        <f t="shared" si="11"/>
        <v>建筑结构</v>
      </c>
      <c r="R34" s="772" t="s">
        <v>17</v>
      </c>
      <c r="S34" s="773">
        <f t="shared" si="12"/>
        <v>100</v>
      </c>
      <c r="T34" s="772" t="s">
        <v>17</v>
      </c>
      <c r="U34" s="773">
        <f t="shared" si="13"/>
        <v>100</v>
      </c>
      <c r="V34" s="772" t="s">
        <v>17</v>
      </c>
      <c r="W34" s="773">
        <f t="shared" si="14"/>
        <v>100</v>
      </c>
      <c r="X34" s="1807"/>
      <c r="Y34" s="3304"/>
      <c r="Z34" s="1808" t="str">
        <f t="shared" si="15"/>
        <v>建筑结构</v>
      </c>
      <c r="AA34" s="1805">
        <f t="shared" si="3"/>
        <v>1</v>
      </c>
      <c r="AB34" s="1805">
        <f t="shared" si="4"/>
        <v>1</v>
      </c>
      <c r="AC34" s="1805">
        <f t="shared" si="5"/>
        <v>1</v>
      </c>
    </row>
    <row r="35" spans="1:29" ht="15">
      <c r="A35" s="471"/>
      <c r="B35" s="421" t="s">
        <v>2653</v>
      </c>
      <c r="C35" s="2602" t="s">
        <v>3083</v>
      </c>
      <c r="D35" s="434">
        <v>100</v>
      </c>
      <c r="E35" s="2602" t="s">
        <v>3083</v>
      </c>
      <c r="F35" s="460">
        <f>SUMIF(107:107,E35,108:108)-SUMIF(107:107,C35,108:108)+100</f>
        <v>100</v>
      </c>
      <c r="G35" s="2602" t="s">
        <v>3083</v>
      </c>
      <c r="H35" s="434">
        <f>SUMIF(107:107,G35,108:108)-SUMIF(107:107,C35,108:108)+100</f>
        <v>100</v>
      </c>
      <c r="I35" s="2602" t="s">
        <v>3083</v>
      </c>
      <c r="J35" s="434">
        <f>SUMIF(107:107,I35,108:108)-SUMIF(107:107,C35,108:108)+100</f>
        <v>100</v>
      </c>
      <c r="K35" s="611">
        <v>3</v>
      </c>
      <c r="L35" s="1134"/>
      <c r="M35" s="1125"/>
      <c r="N35" s="1125"/>
      <c r="O35" s="1125"/>
      <c r="P35" s="3302"/>
      <c r="Q35" s="1804" t="str">
        <f t="shared" si="11"/>
        <v>公共部分装修</v>
      </c>
      <c r="R35" s="772" t="s">
        <v>17</v>
      </c>
      <c r="S35" s="773">
        <f t="shared" si="12"/>
        <v>100</v>
      </c>
      <c r="T35" s="772" t="s">
        <v>17</v>
      </c>
      <c r="U35" s="773">
        <f t="shared" si="13"/>
        <v>100</v>
      </c>
      <c r="V35" s="772" t="s">
        <v>17</v>
      </c>
      <c r="W35" s="773">
        <f t="shared" si="14"/>
        <v>100</v>
      </c>
      <c r="X35" s="1807"/>
      <c r="Y35" s="3304"/>
      <c r="Z35" s="1808" t="str">
        <f t="shared" si="15"/>
        <v>公共部分装修</v>
      </c>
      <c r="AA35" s="1805">
        <f t="shared" si="3"/>
        <v>1</v>
      </c>
      <c r="AB35" s="1805">
        <f t="shared" si="4"/>
        <v>1</v>
      </c>
      <c r="AC35" s="1805">
        <f t="shared" si="5"/>
        <v>1</v>
      </c>
    </row>
    <row r="36" spans="1:29" ht="15">
      <c r="A36" s="471"/>
      <c r="B36" s="421" t="s">
        <v>2654</v>
      </c>
      <c r="C36" s="473">
        <f>'数据-取费表'!N6</f>
        <v>0.95</v>
      </c>
      <c r="D36" s="434">
        <v>100</v>
      </c>
      <c r="E36" s="473">
        <f>C36</f>
        <v>0.95</v>
      </c>
      <c r="F36" s="460">
        <f>LOOKUP(E36,110:110,111:111)-LOOKUP(C36,110:110,111:111)+100</f>
        <v>100</v>
      </c>
      <c r="G36" s="91">
        <f>ROUND(1-(1-0%)*(2018-2013)/60,2)</f>
        <v>0.92</v>
      </c>
      <c r="H36" s="460">
        <f>LOOKUP(G36,110:110,111:111)-LOOKUP(C36,110:110,111:111)+100</f>
        <v>100</v>
      </c>
      <c r="I36" s="91">
        <f>ROUND(1-(1-0%)*(2018-2011)/60,2)</f>
        <v>0.88</v>
      </c>
      <c r="J36" s="434">
        <f>LOOKUP(I36,110:110,111:111)-LOOKUP(C36,110:110,111:111)+100</f>
        <v>98</v>
      </c>
      <c r="K36" s="611">
        <v>2</v>
      </c>
      <c r="L36" s="1134"/>
      <c r="M36" s="1125"/>
      <c r="N36" s="1125"/>
      <c r="O36" s="1125"/>
      <c r="P36" s="3302"/>
      <c r="Q36" s="1804" t="str">
        <f t="shared" si="11"/>
        <v>成新度</v>
      </c>
      <c r="R36" s="772" t="s">
        <v>17</v>
      </c>
      <c r="S36" s="773">
        <f t="shared" si="12"/>
        <v>100</v>
      </c>
      <c r="T36" s="772" t="s">
        <v>17</v>
      </c>
      <c r="U36" s="773">
        <f t="shared" si="13"/>
        <v>100</v>
      </c>
      <c r="V36" s="772" t="s">
        <v>17</v>
      </c>
      <c r="W36" s="773">
        <f t="shared" si="14"/>
        <v>98</v>
      </c>
      <c r="X36" s="1807"/>
      <c r="Y36" s="3304"/>
      <c r="Z36" s="1808" t="str">
        <f t="shared" si="15"/>
        <v>成新度</v>
      </c>
      <c r="AA36" s="1805">
        <f t="shared" si="3"/>
        <v>1</v>
      </c>
      <c r="AB36" s="1805">
        <f t="shared" si="4"/>
        <v>1</v>
      </c>
      <c r="AC36" s="1805">
        <f t="shared" si="5"/>
        <v>1.0204081632653061</v>
      </c>
    </row>
    <row r="37" spans="1:29" s="116" customFormat="1" ht="15">
      <c r="A37" s="472"/>
      <c r="B37" s="421" t="s">
        <v>2655</v>
      </c>
      <c r="C37" s="2602" t="s">
        <v>3086</v>
      </c>
      <c r="D37" s="135">
        <v>100</v>
      </c>
      <c r="E37" s="2602" t="s">
        <v>3086</v>
      </c>
      <c r="F37" s="460">
        <f>SUMIF(112:112,E37,113:113)-SUMIF(112:112,C37,113:113)+100</f>
        <v>100</v>
      </c>
      <c r="G37" s="2602" t="s">
        <v>3086</v>
      </c>
      <c r="H37" s="434">
        <f>SUMIF(112:112,G37,113:113)-SUMIF(112:112,C37,113:113)+100</f>
        <v>100</v>
      </c>
      <c r="I37" s="2602" t="s">
        <v>3086</v>
      </c>
      <c r="J37" s="434">
        <f>SUMIF(112:112,I37,113:113)-SUMIF(112:112,C37,113:113)+100</f>
        <v>100</v>
      </c>
      <c r="K37" s="611">
        <v>1</v>
      </c>
      <c r="L37" s="1126"/>
      <c r="M37" s="1127"/>
      <c r="N37" s="1127"/>
      <c r="O37" s="1127"/>
      <c r="P37" s="3302"/>
      <c r="Q37" s="1789" t="str">
        <f t="shared" si="11"/>
        <v>市政基础设施</v>
      </c>
      <c r="R37" s="768" t="s">
        <v>17</v>
      </c>
      <c r="S37" s="769">
        <f t="shared" si="12"/>
        <v>100</v>
      </c>
      <c r="T37" s="768" t="s">
        <v>17</v>
      </c>
      <c r="U37" s="769">
        <f t="shared" si="13"/>
        <v>100</v>
      </c>
      <c r="V37" s="768" t="s">
        <v>17</v>
      </c>
      <c r="W37" s="769">
        <f t="shared" si="14"/>
        <v>100</v>
      </c>
      <c r="X37" s="770"/>
      <c r="Y37" s="3304"/>
      <c r="Z37" s="55" t="str">
        <f t="shared" si="15"/>
        <v>市政基础设施</v>
      </c>
      <c r="AA37" s="771">
        <f t="shared" si="3"/>
        <v>1</v>
      </c>
      <c r="AB37" s="771">
        <f t="shared" si="4"/>
        <v>1</v>
      </c>
      <c r="AC37" s="771">
        <f t="shared" si="5"/>
        <v>1</v>
      </c>
    </row>
    <row r="38" spans="1:29" ht="15">
      <c r="A38" s="471"/>
      <c r="B38" s="421" t="s">
        <v>2656</v>
      </c>
      <c r="C38" s="2602" t="s">
        <v>3298</v>
      </c>
      <c r="D38" s="434">
        <v>100</v>
      </c>
      <c r="E38" s="2602" t="s">
        <v>3300</v>
      </c>
      <c r="F38" s="460">
        <f>SUMIF(114:114,E38,115:115)-SUMIF(114:114,C38,115:115)+100</f>
        <v>95</v>
      </c>
      <c r="G38" s="2602" t="s">
        <v>3300</v>
      </c>
      <c r="H38" s="434">
        <f>SUMIF(114:114,G38,115:115)-SUMIF(114:114,C38,115:115)+100</f>
        <v>95</v>
      </c>
      <c r="I38" s="2602" t="s">
        <v>3298</v>
      </c>
      <c r="J38" s="434">
        <f>SUMIF(114:114,I38,115:115)-SUMIF(114:114,C38,115:115)+100</f>
        <v>100</v>
      </c>
      <c r="K38" s="611">
        <v>5</v>
      </c>
      <c r="L38" s="1134"/>
      <c r="M38" s="1125"/>
      <c r="N38" s="1125"/>
      <c r="O38" s="1125"/>
      <c r="P38" s="3302" t="s">
        <v>2557</v>
      </c>
      <c r="Q38" s="1804" t="str">
        <f t="shared" si="11"/>
        <v>业态</v>
      </c>
      <c r="R38" s="772" t="s">
        <v>17</v>
      </c>
      <c r="S38" s="773">
        <f t="shared" si="12"/>
        <v>95</v>
      </c>
      <c r="T38" s="772" t="s">
        <v>17</v>
      </c>
      <c r="U38" s="773">
        <f t="shared" si="13"/>
        <v>95</v>
      </c>
      <c r="V38" s="772" t="s">
        <v>17</v>
      </c>
      <c r="W38" s="773">
        <f t="shared" si="14"/>
        <v>100</v>
      </c>
      <c r="X38" s="1807"/>
      <c r="Y38" s="3304" t="s">
        <v>2557</v>
      </c>
      <c r="Z38" s="1808" t="str">
        <f t="shared" si="15"/>
        <v>业态</v>
      </c>
      <c r="AA38" s="1805">
        <f t="shared" si="3"/>
        <v>1.0526315789473684</v>
      </c>
      <c r="AB38" s="1805">
        <f t="shared" si="4"/>
        <v>1.0526315789473684</v>
      </c>
      <c r="AC38" s="1805">
        <f t="shared" si="5"/>
        <v>1</v>
      </c>
    </row>
    <row r="39" spans="1:29" ht="15">
      <c r="A39" s="471"/>
      <c r="B39" s="421" t="s">
        <v>2657</v>
      </c>
      <c r="C39" s="2602" t="s">
        <v>3087</v>
      </c>
      <c r="D39" s="434">
        <v>100</v>
      </c>
      <c r="E39" s="2602" t="s">
        <v>3087</v>
      </c>
      <c r="F39" s="460">
        <f>SUMIF(116:116,E39,117:117)-SUMIF(116:116,C39,117:117)+100</f>
        <v>100</v>
      </c>
      <c r="G39" s="2602" t="s">
        <v>3087</v>
      </c>
      <c r="H39" s="434">
        <f>SUMIF(116:116,G39,117:117)-SUMIF(116:116,C39,117:117)+100</f>
        <v>100</v>
      </c>
      <c r="I39" s="2602" t="s">
        <v>3087</v>
      </c>
      <c r="J39" s="434">
        <f>SUMIF(116:116,I39,117:117)-SUMIF(116:116,C39,117:117)+100</f>
        <v>100</v>
      </c>
      <c r="K39" s="611">
        <v>2</v>
      </c>
      <c r="L39" s="1134"/>
      <c r="M39" s="1125"/>
      <c r="N39" s="1125"/>
      <c r="O39" s="1125"/>
      <c r="P39" s="3302"/>
      <c r="Q39" s="1804" t="str">
        <f t="shared" si="11"/>
        <v>层高</v>
      </c>
      <c r="R39" s="772" t="s">
        <v>17</v>
      </c>
      <c r="S39" s="773">
        <f t="shared" si="12"/>
        <v>100</v>
      </c>
      <c r="T39" s="772" t="s">
        <v>17</v>
      </c>
      <c r="U39" s="773">
        <f t="shared" si="13"/>
        <v>100</v>
      </c>
      <c r="V39" s="772" t="s">
        <v>17</v>
      </c>
      <c r="W39" s="773">
        <f t="shared" si="14"/>
        <v>100</v>
      </c>
      <c r="X39" s="1807"/>
      <c r="Y39" s="3304"/>
      <c r="Z39" s="1808" t="str">
        <f t="shared" si="15"/>
        <v>层高</v>
      </c>
      <c r="AA39" s="1805">
        <f t="shared" si="3"/>
        <v>1</v>
      </c>
      <c r="AB39" s="1805">
        <f t="shared" si="4"/>
        <v>1</v>
      </c>
      <c r="AC39" s="1805">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02"/>
      <c r="Q40" s="1804" t="str">
        <f t="shared" si="11"/>
        <v>单套建筑面积</v>
      </c>
      <c r="R40" s="772" t="s">
        <v>17</v>
      </c>
      <c r="S40" s="773">
        <f t="shared" si="12"/>
        <v>100</v>
      </c>
      <c r="T40" s="772" t="s">
        <v>17</v>
      </c>
      <c r="U40" s="773">
        <f t="shared" si="13"/>
        <v>100</v>
      </c>
      <c r="V40" s="772" t="s">
        <v>17</v>
      </c>
      <c r="W40" s="773">
        <f t="shared" si="14"/>
        <v>100</v>
      </c>
      <c r="X40" s="1807"/>
      <c r="Y40" s="3304"/>
      <c r="Z40" s="1808" t="str">
        <f t="shared" si="15"/>
        <v>单套建筑面积</v>
      </c>
      <c r="AA40" s="1805">
        <f t="shared" si="3"/>
        <v>1</v>
      </c>
      <c r="AB40" s="1805">
        <f t="shared" si="4"/>
        <v>1</v>
      </c>
      <c r="AC40" s="1805">
        <f t="shared" si="5"/>
        <v>1</v>
      </c>
    </row>
    <row r="41" spans="1:29" s="470" customFormat="1" ht="15">
      <c r="A41" s="467"/>
      <c r="B41" s="1806" t="s">
        <v>2659</v>
      </c>
      <c r="C41" s="615" t="s">
        <v>3077</v>
      </c>
      <c r="D41" s="434">
        <v>100</v>
      </c>
      <c r="E41" s="615" t="s">
        <v>3077</v>
      </c>
      <c r="F41" s="460">
        <f>SUMIF(120:120,E41,121:121)-SUMIF(120:120,C41,121:121)+100</f>
        <v>100</v>
      </c>
      <c r="G41" s="615" t="s">
        <v>3077</v>
      </c>
      <c r="H41" s="434">
        <f>SUMIF(120:120,G41,121:121)-SUMIF(120:120,C41,121:121)+100</f>
        <v>100</v>
      </c>
      <c r="I41" s="615" t="s">
        <v>3077</v>
      </c>
      <c r="J41" s="434">
        <f>SUMIF(120:120,I41,121:121)-SUMIF(120:120,C41,121:121)+100</f>
        <v>100</v>
      </c>
      <c r="K41" s="611">
        <v>2</v>
      </c>
      <c r="L41" s="1132"/>
      <c r="M41" s="1135"/>
      <c r="N41" s="1135"/>
      <c r="O41" s="1135"/>
      <c r="P41" s="3302"/>
      <c r="Q41" s="774" t="str">
        <f t="shared" si="11"/>
        <v>进深比</v>
      </c>
      <c r="R41" s="775" t="s">
        <v>17</v>
      </c>
      <c r="S41" s="776">
        <f t="shared" si="12"/>
        <v>100</v>
      </c>
      <c r="T41" s="775" t="s">
        <v>17</v>
      </c>
      <c r="U41" s="776">
        <f t="shared" si="13"/>
        <v>100</v>
      </c>
      <c r="V41" s="775" t="s">
        <v>17</v>
      </c>
      <c r="W41" s="776">
        <f t="shared" si="14"/>
        <v>100</v>
      </c>
      <c r="X41" s="777"/>
      <c r="Y41" s="3304"/>
      <c r="Z41" s="778" t="str">
        <f t="shared" si="15"/>
        <v>进深比</v>
      </c>
      <c r="AA41" s="1805">
        <f t="shared" si="3"/>
        <v>1</v>
      </c>
      <c r="AB41" s="1805">
        <f t="shared" si="4"/>
        <v>1</v>
      </c>
      <c r="AC41" s="1805">
        <f t="shared" si="5"/>
        <v>1</v>
      </c>
    </row>
    <row r="42" spans="1:29" ht="15">
      <c r="A42" s="471"/>
      <c r="B42" s="421" t="s">
        <v>2660</v>
      </c>
      <c r="C42" s="2602" t="s">
        <v>3083</v>
      </c>
      <c r="D42" s="434">
        <v>100</v>
      </c>
      <c r="E42" s="2602" t="s">
        <v>3083</v>
      </c>
      <c r="F42" s="460">
        <f>SUMIF(122:122,E42,123:123)-SUMIF(122:122,C42,123:123)+100</f>
        <v>100</v>
      </c>
      <c r="G42" s="2602" t="s">
        <v>3304</v>
      </c>
      <c r="H42" s="434">
        <f>SUMIF(122:122,G42,123:123)-SUMIF(122:122,C42,123:123)+100</f>
        <v>97</v>
      </c>
      <c r="I42" s="2602" t="s">
        <v>3305</v>
      </c>
      <c r="J42" s="434">
        <f>SUMIF(122:122,I42,123:123)-SUMIF(122:122,C42,123:123)+100</f>
        <v>98</v>
      </c>
      <c r="K42" s="611">
        <v>1</v>
      </c>
      <c r="L42" s="1134"/>
      <c r="M42" s="1125"/>
      <c r="N42" s="1125"/>
      <c r="O42" s="1125"/>
      <c r="P42" s="3302"/>
      <c r="Q42" s="1804" t="str">
        <f t="shared" si="11"/>
        <v>内部装修</v>
      </c>
      <c r="R42" s="772" t="s">
        <v>17</v>
      </c>
      <c r="S42" s="773">
        <f t="shared" si="12"/>
        <v>100</v>
      </c>
      <c r="T42" s="772" t="s">
        <v>17</v>
      </c>
      <c r="U42" s="773">
        <f t="shared" si="13"/>
        <v>97</v>
      </c>
      <c r="V42" s="772" t="s">
        <v>17</v>
      </c>
      <c r="W42" s="773">
        <f t="shared" si="14"/>
        <v>98</v>
      </c>
      <c r="X42" s="1807"/>
      <c r="Y42" s="3304"/>
      <c r="Z42" s="1808" t="str">
        <f t="shared" si="15"/>
        <v>内部装修</v>
      </c>
      <c r="AA42" s="1805">
        <f t="shared" si="3"/>
        <v>1</v>
      </c>
      <c r="AB42" s="1805">
        <f t="shared" si="4"/>
        <v>1.0309278350515463</v>
      </c>
      <c r="AC42" s="1805">
        <f t="shared" si="5"/>
        <v>1.0204081632653061</v>
      </c>
    </row>
    <row r="43" spans="1:29" ht="15">
      <c r="A43" s="471"/>
      <c r="B43" s="421" t="s">
        <v>2568</v>
      </c>
      <c r="C43" s="2602" t="s">
        <v>3077</v>
      </c>
      <c r="D43" s="434">
        <v>100</v>
      </c>
      <c r="E43" s="2602" t="s">
        <v>3077</v>
      </c>
      <c r="F43" s="460">
        <f>SUMIF(124:124,E43,125:125)-SUMIF(124:124,C43,125:125)+100</f>
        <v>100</v>
      </c>
      <c r="G43" s="2602" t="s">
        <v>3077</v>
      </c>
      <c r="H43" s="434">
        <f>SUMIF(124:124,G43,125:125)-SUMIF(124:124,C43,125:125)+100</f>
        <v>100</v>
      </c>
      <c r="I43" s="2602" t="s">
        <v>3077</v>
      </c>
      <c r="J43" s="434">
        <f>SUMIF(124:124,I43,125:125)-SUMIF(124:124,C43,125:125)+100</f>
        <v>100</v>
      </c>
      <c r="K43" s="611">
        <v>2</v>
      </c>
      <c r="L43" s="1134"/>
      <c r="M43" s="1125"/>
      <c r="N43" s="1125"/>
      <c r="O43" s="1125"/>
      <c r="P43" s="3302"/>
      <c r="Q43" s="1804" t="str">
        <f t="shared" si="11"/>
        <v>内部装修维护情况</v>
      </c>
      <c r="R43" s="772" t="s">
        <v>17</v>
      </c>
      <c r="S43" s="773">
        <f t="shared" si="12"/>
        <v>100</v>
      </c>
      <c r="T43" s="772" t="s">
        <v>17</v>
      </c>
      <c r="U43" s="773">
        <f t="shared" si="13"/>
        <v>100</v>
      </c>
      <c r="V43" s="772" t="s">
        <v>17</v>
      </c>
      <c r="W43" s="773">
        <f t="shared" si="14"/>
        <v>100</v>
      </c>
      <c r="X43" s="1807"/>
      <c r="Y43" s="3304"/>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302"/>
      <c r="Q44" s="1789">
        <f t="shared" si="11"/>
        <v>111</v>
      </c>
      <c r="R44" s="768" t="s">
        <v>17</v>
      </c>
      <c r="S44" s="769">
        <f t="shared" si="12"/>
        <v>100</v>
      </c>
      <c r="T44" s="768" t="s">
        <v>17</v>
      </c>
      <c r="U44" s="769">
        <f t="shared" si="13"/>
        <v>100</v>
      </c>
      <c r="V44" s="768" t="s">
        <v>17</v>
      </c>
      <c r="W44" s="769">
        <f t="shared" si="14"/>
        <v>100</v>
      </c>
      <c r="X44" s="770"/>
      <c r="Y44" s="3304"/>
      <c r="Z44" s="55">
        <f t="shared" si="15"/>
        <v>111</v>
      </c>
      <c r="AA44" s="771">
        <f t="shared" si="3"/>
        <v>1</v>
      </c>
      <c r="AB44" s="771">
        <f t="shared" si="4"/>
        <v>1</v>
      </c>
      <c r="AC44" s="771">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02"/>
      <c r="Q45" s="1804">
        <f t="shared" si="11"/>
        <v>111</v>
      </c>
      <c r="R45" s="772" t="s">
        <v>17</v>
      </c>
      <c r="S45" s="773">
        <f t="shared" si="12"/>
        <v>100</v>
      </c>
      <c r="T45" s="772" t="s">
        <v>17</v>
      </c>
      <c r="U45" s="773">
        <f t="shared" si="13"/>
        <v>100</v>
      </c>
      <c r="V45" s="772" t="s">
        <v>17</v>
      </c>
      <c r="W45" s="773">
        <f t="shared" si="14"/>
        <v>100</v>
      </c>
      <c r="X45" s="1807"/>
      <c r="Y45" s="3304"/>
      <c r="Z45" s="1808">
        <f t="shared" si="15"/>
        <v>111</v>
      </c>
      <c r="AA45" s="1805">
        <f t="shared" si="3"/>
        <v>1</v>
      </c>
      <c r="AB45" s="1805">
        <f t="shared" si="4"/>
        <v>1</v>
      </c>
      <c r="AC45" s="1805">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03"/>
      <c r="Q46" s="1804">
        <f t="shared" si="11"/>
        <v>111</v>
      </c>
      <c r="R46" s="772" t="s">
        <v>17</v>
      </c>
      <c r="S46" s="773">
        <f t="shared" si="12"/>
        <v>100</v>
      </c>
      <c r="T46" s="772" t="s">
        <v>17</v>
      </c>
      <c r="U46" s="773">
        <f t="shared" si="13"/>
        <v>100</v>
      </c>
      <c r="V46" s="772" t="s">
        <v>17</v>
      </c>
      <c r="W46" s="773">
        <f t="shared" si="14"/>
        <v>100</v>
      </c>
      <c r="X46" s="1807"/>
      <c r="Y46" s="3305"/>
      <c r="Z46" s="1808">
        <f t="shared" si="15"/>
        <v>111</v>
      </c>
      <c r="AA46" s="1805">
        <f t="shared" si="3"/>
        <v>1</v>
      </c>
      <c r="AB46" s="1805">
        <f t="shared" si="4"/>
        <v>1</v>
      </c>
      <c r="AC46" s="1805">
        <f t="shared" si="5"/>
        <v>1</v>
      </c>
    </row>
    <row r="47" spans="1:29" ht="15">
      <c r="A47" s="478" t="s">
        <v>2569</v>
      </c>
      <c r="B47" s="479"/>
      <c r="C47" s="1401" t="s">
        <v>1</v>
      </c>
      <c r="D47" s="1402"/>
      <c r="E47" s="1403">
        <v>41610</v>
      </c>
      <c r="F47" s="1404"/>
      <c r="G47" s="1405">
        <v>37755</v>
      </c>
      <c r="H47" s="1406"/>
      <c r="I47" s="1403">
        <v>42857</v>
      </c>
      <c r="J47" s="1406"/>
      <c r="K47" s="781"/>
      <c r="L47" s="1137"/>
      <c r="M47" s="1138"/>
      <c r="N47" s="1125"/>
      <c r="O47" s="1138"/>
      <c r="P47" s="3292" t="str">
        <f>A47</f>
        <v>成交单价（元/平方米）</v>
      </c>
      <c r="Q47" s="3292"/>
      <c r="R47" s="3326">
        <f>E47</f>
        <v>41610</v>
      </c>
      <c r="S47" s="3326"/>
      <c r="T47" s="3326">
        <f>G47</f>
        <v>37755</v>
      </c>
      <c r="U47" s="3326"/>
      <c r="V47" s="3326">
        <f>I47</f>
        <v>42857</v>
      </c>
      <c r="W47" s="3326"/>
      <c r="X47" s="757"/>
      <c r="Y47" s="779"/>
      <c r="Z47" s="757"/>
      <c r="AA47" s="757"/>
      <c r="AB47" s="757"/>
      <c r="AC47" s="757"/>
    </row>
    <row r="48" spans="1:29" ht="15.75" thickBot="1">
      <c r="A48" s="485" t="s">
        <v>2661</v>
      </c>
      <c r="B48" s="486"/>
      <c r="C48" s="1407">
        <f>R49</f>
        <v>43484</v>
      </c>
      <c r="D48" s="1408"/>
      <c r="E48" s="1409">
        <f>R48</f>
        <v>46105</v>
      </c>
      <c r="F48" s="1409"/>
      <c r="G48" s="1407">
        <f>T48</f>
        <v>42701</v>
      </c>
      <c r="H48" s="1408"/>
      <c r="I48" s="1409">
        <f>V48</f>
        <v>41646</v>
      </c>
      <c r="J48" s="1408"/>
      <c r="K48" s="782"/>
      <c r="L48" s="1137"/>
      <c r="M48" s="1138"/>
      <c r="N48" s="1125"/>
      <c r="O48" s="1138"/>
      <c r="P48" s="3292" t="str">
        <f>A48</f>
        <v>比较价值（元/平方米）</v>
      </c>
      <c r="Q48" s="3292"/>
      <c r="R48" s="3293">
        <f>IF(F1="售价",ROUND(PRODUCT(R47,AA7:AA46),0),ROUND(PRODUCT(R47,AA7:AA46),1))</f>
        <v>46105</v>
      </c>
      <c r="S48" s="3293"/>
      <c r="T48" s="3293">
        <f>IF(F1="售价",ROUND(PRODUCT(T47,AB7:AB46),0),ROUND(PRODUCT(T47,AB7:AB46),1))</f>
        <v>42701</v>
      </c>
      <c r="U48" s="3293"/>
      <c r="V48" s="3293">
        <f>IF(F1="售价",ROUND(PRODUCT(V47,AC7:AC46),0),ROUND(PRODUCT(V47,AC7:AC46),1))</f>
        <v>41646</v>
      </c>
      <c r="W48" s="3293"/>
      <c r="X48" s="757"/>
      <c r="Y48" s="757"/>
      <c r="Z48" s="757"/>
      <c r="AA48" s="757"/>
      <c r="AB48" s="757"/>
      <c r="AC48" s="757"/>
    </row>
    <row r="49" spans="1:29" ht="15.75" thickBot="1">
      <c r="A49" s="491" t="s">
        <v>2662</v>
      </c>
      <c r="B49" s="492"/>
      <c r="C49" s="1411">
        <f>R49</f>
        <v>43484</v>
      </c>
      <c r="D49" s="1411"/>
      <c r="E49" s="1411"/>
      <c r="F49" s="1411"/>
      <c r="G49" s="1411"/>
      <c r="H49" s="1411"/>
      <c r="I49" s="1411"/>
      <c r="J49" s="1411"/>
      <c r="K49" s="783"/>
      <c r="L49" s="1137"/>
      <c r="M49" s="1138"/>
      <c r="N49" s="1125"/>
      <c r="O49" s="1138"/>
      <c r="P49" s="3342" t="str">
        <f>A49</f>
        <v>估价对象XX用房的比较价值（楼面单价，元/平方米）</v>
      </c>
      <c r="Q49" s="3343"/>
      <c r="R49" s="3344">
        <f>IF(F1="售价",ROUND(AVERAGE(R48:V48),0),ROUND(AVERAGE(R48:V48),1))</f>
        <v>43484</v>
      </c>
      <c r="S49" s="3344"/>
      <c r="T49" s="3344"/>
      <c r="U49" s="3344"/>
      <c r="V49" s="3344"/>
      <c r="W49" s="3344"/>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101"/>
      <c r="L51" s="1102"/>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6" t="s">
        <v>2663</v>
      </c>
      <c r="D52" s="497"/>
      <c r="E52" s="498">
        <f>IF(E47&lt;E48,E48/E47-1,E47/E48-1)</f>
        <v>0.10802691660658503</v>
      </c>
      <c r="F52" s="499" t="str">
        <f>IF(OR(E52&gt;=0.3,E52&lt;=-0.3),"超过30%","")</f>
        <v/>
      </c>
      <c r="G52" s="498">
        <f>IF(G47&lt;G48,G48/G47-1,G47/G48-1)</f>
        <v>0.13100251622301684</v>
      </c>
      <c r="H52" s="499" t="str">
        <f>IF(OR(G52&gt;=0.3,G52&lt;=-0.3),"超过30%","")</f>
        <v/>
      </c>
      <c r="I52" s="498">
        <f>IF(I47&lt;I48,I48/I47-1,I47/I48-1)</f>
        <v>2.9078422897757195E-2</v>
      </c>
      <c r="J52" s="499" t="str">
        <f>IF(OR(I52&gt;=0.3,I52&lt;=-0.3),"超过30%","")</f>
        <v/>
      </c>
      <c r="K52" s="1101"/>
      <c r="L52" s="1102"/>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6" t="s">
        <v>2664</v>
      </c>
      <c r="D53" s="500"/>
      <c r="E53" s="498">
        <f>IF(E48&lt;G48,G48/E48-1,E48/G48-1)</f>
        <v>7.9717102643966253E-2</v>
      </c>
      <c r="F53" s="499" t="str">
        <f>IF(OR(E53&gt;=0.2,E53&lt;=-0.2),"超过20%","")</f>
        <v/>
      </c>
      <c r="G53" s="498">
        <f>IF(G48&lt;I48,I48/G48-1,G48/I48-1)</f>
        <v>2.5332564952216252E-2</v>
      </c>
      <c r="H53" s="499" t="str">
        <f>IF(OR(G53&gt;=0.2,G53&lt;=-0.2),"超过20%","")</f>
        <v/>
      </c>
      <c r="I53" s="498">
        <f>IF(I48&lt;E48,E48/I48-1,I48/E48-1)</f>
        <v>0.10706910627671329</v>
      </c>
      <c r="J53" s="499" t="str">
        <f>IF(OR(I53&gt;=0.2,I53&lt;=-0.2),"超过20%","")</f>
        <v/>
      </c>
      <c r="K53" s="1101"/>
      <c r="L53" s="1102"/>
      <c r="M53" s="1138"/>
      <c r="N53" s="1138"/>
      <c r="O53" s="1138"/>
      <c r="P53" s="674"/>
      <c r="Q53" s="757"/>
      <c r="R53" s="757"/>
      <c r="S53" s="757"/>
      <c r="T53" s="757"/>
      <c r="U53" s="757"/>
      <c r="V53" s="757"/>
      <c r="W53" s="757"/>
      <c r="X53" s="757"/>
      <c r="Y53" s="757"/>
      <c r="Z53" s="757"/>
      <c r="AA53" s="757"/>
      <c r="AB53" s="757"/>
      <c r="AC53" s="757"/>
    </row>
    <row r="54" spans="1:29" s="501" customFormat="1" ht="13.5" customHeight="1">
      <c r="A54" s="1139"/>
      <c r="B54" s="1139"/>
      <c r="C54" s="496" t="s">
        <v>2665</v>
      </c>
      <c r="D54" s="500"/>
      <c r="E54" s="498">
        <f>IF(E47&lt;G47,G47/E47-1,E47/G47-1)</f>
        <v>0.1021056813667065</v>
      </c>
      <c r="F54" s="499" t="str">
        <f>IF(OR(E54&gt;=0.3,E54&lt;=-0.3),"超过30%","")</f>
        <v/>
      </c>
      <c r="G54" s="498">
        <f>IF(G47&lt;I47,I47/G47-1,G47/I47-1)</f>
        <v>0.13513441928221437</v>
      </c>
      <c r="H54" s="499" t="str">
        <f>IF(OR(G54&gt;=0.3,G54&lt;=-0.3),"超过30%","")</f>
        <v/>
      </c>
      <c r="I54" s="498">
        <f>IF(I47&lt;E47,E47/I47-1,I47/E47-1)</f>
        <v>2.9968757510213884E-2</v>
      </c>
      <c r="J54" s="499" t="str">
        <f>IF(OR(I54&gt;=0.3,I54&lt;=-0.3),"超过30%","")</f>
        <v/>
      </c>
      <c r="K54" s="1142"/>
      <c r="L54" s="1143"/>
      <c r="M54" s="1139"/>
      <c r="N54" s="1139"/>
      <c r="O54" s="1139"/>
      <c r="P54" s="2655"/>
      <c r="Q54" s="758"/>
      <c r="R54" s="758"/>
      <c r="S54" s="758"/>
      <c r="T54" s="758"/>
      <c r="U54" s="758"/>
      <c r="V54" s="758"/>
      <c r="W54" s="758"/>
      <c r="X54" s="758"/>
      <c r="Y54" s="758"/>
      <c r="Z54" s="758"/>
      <c r="AA54" s="758"/>
      <c r="AB54" s="758"/>
      <c r="AC54" s="758"/>
    </row>
    <row r="55" spans="1:29" s="501" customFormat="1">
      <c r="A55" s="1139"/>
      <c r="B55" s="1140"/>
      <c r="C55" s="1144"/>
      <c r="D55" s="1139"/>
      <c r="E55" s="1139"/>
      <c r="F55" s="1139"/>
      <c r="G55" s="1139"/>
      <c r="H55" s="1139"/>
      <c r="I55" s="1139"/>
      <c r="J55" s="1139"/>
      <c r="K55" s="1142"/>
      <c r="L55" s="1143"/>
      <c r="M55" s="1139"/>
      <c r="N55" s="1139"/>
      <c r="O55" s="1139"/>
      <c r="P55" s="2655"/>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101"/>
      <c r="L56" s="1102"/>
      <c r="M56" s="1138"/>
      <c r="N56" s="1138"/>
      <c r="O56" s="1138"/>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5"/>
      <c r="M57" s="1153"/>
      <c r="N57" s="1153"/>
      <c r="O57" s="1153"/>
      <c r="P57" s="2656"/>
      <c r="Q57" s="2657"/>
      <c r="R57" s="757"/>
      <c r="S57" s="757"/>
      <c r="T57" s="757"/>
      <c r="U57" s="757"/>
      <c r="V57" s="757"/>
      <c r="W57" s="757"/>
      <c r="X57" s="757"/>
      <c r="Y57" s="757"/>
      <c r="Z57" s="757"/>
      <c r="AA57" s="757"/>
      <c r="AB57" s="757"/>
      <c r="AC57" s="757"/>
    </row>
    <row r="58" spans="1:29" s="507" customFormat="1" ht="15">
      <c r="A58" s="504" t="s">
        <v>2540</v>
      </c>
      <c r="B58" s="505"/>
      <c r="C58" s="1568" t="str">
        <f>YEAR(C7)&amp;"-"&amp;MONTH(C7)</f>
        <v>2018-3</v>
      </c>
      <c r="D58" s="1569">
        <f>EDATE(C58,-1)</f>
        <v>43132</v>
      </c>
      <c r="E58" s="1569">
        <f t="shared" ref="E58:N58" si="16">EDATE(D58,-1)</f>
        <v>43101</v>
      </c>
      <c r="F58" s="1569">
        <f t="shared" si="16"/>
        <v>43070</v>
      </c>
      <c r="G58" s="1569">
        <f t="shared" si="16"/>
        <v>43040</v>
      </c>
      <c r="H58" s="1569">
        <f t="shared" si="16"/>
        <v>43009</v>
      </c>
      <c r="I58" s="1569">
        <f t="shared" si="16"/>
        <v>42979</v>
      </c>
      <c r="J58" s="1569">
        <f t="shared" si="16"/>
        <v>42948</v>
      </c>
      <c r="K58" s="1569">
        <f t="shared" si="16"/>
        <v>42917</v>
      </c>
      <c r="L58" s="1569">
        <f t="shared" si="16"/>
        <v>42887</v>
      </c>
      <c r="M58" s="1569">
        <f t="shared" si="16"/>
        <v>42856</v>
      </c>
      <c r="N58" s="1569">
        <f t="shared" si="16"/>
        <v>42826</v>
      </c>
      <c r="O58" s="1569">
        <f>EDATE(N58,-1)</f>
        <v>42795</v>
      </c>
      <c r="P58" s="1564"/>
    </row>
    <row r="59" spans="1:29" s="116" customFormat="1" ht="15">
      <c r="A59" s="508"/>
      <c r="B59" s="509"/>
      <c r="C59" s="1567">
        <v>100</v>
      </c>
      <c r="D59" s="511">
        <v>100</v>
      </c>
      <c r="E59" s="511">
        <v>100</v>
      </c>
      <c r="F59" s="511">
        <v>99.5</v>
      </c>
      <c r="G59" s="511">
        <v>99.5</v>
      </c>
      <c r="H59" s="511">
        <v>99.5</v>
      </c>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t="str">
        <f>C9</f>
        <v>商业</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19"/>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19"/>
      <c r="Q67" s="503"/>
    </row>
    <row r="68" spans="1:17" ht="15">
      <c r="A68" s="533"/>
      <c r="B68" s="547"/>
      <c r="C68" s="548">
        <v>0</v>
      </c>
      <c r="D68" s="548">
        <v>1</v>
      </c>
      <c r="E68" s="548">
        <v>2</v>
      </c>
      <c r="F68" s="548">
        <v>3</v>
      </c>
      <c r="G68" s="548"/>
      <c r="H68" s="548"/>
      <c r="I68" s="548"/>
      <c r="J68" s="548"/>
      <c r="K68" s="549"/>
      <c r="L68" s="550"/>
      <c r="M68" s="551"/>
      <c r="N68" s="1146"/>
      <c r="O68" s="1146"/>
      <c r="P68" s="261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47"/>
      <c r="O69" s="1147"/>
      <c r="P69" s="2619"/>
      <c r="Q69" s="503"/>
    </row>
    <row r="70" spans="1:17" s="470" customFormat="1" ht="15.75" thickTop="1">
      <c r="A70" s="552"/>
      <c r="B70" s="537">
        <f>B12</f>
        <v>0</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0</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35"/>
      <c r="E73" s="535"/>
      <c r="F73" s="535"/>
      <c r="G73" s="559"/>
      <c r="H73" s="561"/>
      <c r="I73" s="561"/>
      <c r="J73" s="561"/>
      <c r="K73" s="561"/>
      <c r="L73" s="561"/>
      <c r="M73" s="562"/>
      <c r="N73" s="1148"/>
      <c r="O73" s="1148"/>
      <c r="P73" s="2620"/>
      <c r="Q73" s="558"/>
    </row>
    <row r="74" spans="1:17" s="470" customFormat="1" ht="15.75" thickTop="1">
      <c r="A74" s="552"/>
      <c r="B74" s="545">
        <f>B14</f>
        <v>0</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2672</v>
      </c>
      <c r="C86" s="3071" t="s">
        <v>3288</v>
      </c>
      <c r="D86" s="3071" t="s">
        <v>3289</v>
      </c>
      <c r="E86" s="3071" t="s">
        <v>3291</v>
      </c>
      <c r="F86" s="3071" t="s">
        <v>3293</v>
      </c>
      <c r="G86" s="553"/>
      <c r="H86" s="553"/>
      <c r="I86" s="553"/>
      <c r="J86" s="553"/>
      <c r="K86" s="553"/>
      <c r="L86" s="579"/>
      <c r="M86" s="580"/>
      <c r="N86" s="1145"/>
      <c r="O86" s="1145"/>
      <c r="P86" s="2619"/>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7"/>
      <c r="O87" s="1147"/>
      <c r="P87" s="2619"/>
      <c r="Q87" s="503"/>
    </row>
    <row r="88" spans="1:17" s="116" customFormat="1" ht="15.75" thickTop="1">
      <c r="A88" s="578"/>
      <c r="B88" s="537" t="str">
        <f>B26</f>
        <v>平面位置/可视性</v>
      </c>
      <c r="C88" s="553" t="s">
        <v>3078</v>
      </c>
      <c r="D88" s="553" t="s">
        <v>3077</v>
      </c>
      <c r="E88" s="553" t="s">
        <v>3095</v>
      </c>
      <c r="F88" s="2624" t="s">
        <v>3286</v>
      </c>
      <c r="G88" s="553" t="s">
        <v>3287</v>
      </c>
      <c r="H88" s="553"/>
      <c r="I88" s="553"/>
      <c r="J88" s="553"/>
      <c r="K88" s="553"/>
      <c r="L88" s="553"/>
      <c r="M88" s="580"/>
      <c r="N88" s="1145"/>
      <c r="O88" s="1145"/>
      <c r="P88" s="2619"/>
      <c r="Q88" s="503"/>
    </row>
    <row r="89" spans="1:17" s="116" customFormat="1" ht="15.75" thickBot="1">
      <c r="A89" s="578"/>
      <c r="B89" s="542"/>
      <c r="C89" s="559">
        <v>100</v>
      </c>
      <c r="D89" s="535">
        <v>97</v>
      </c>
      <c r="E89" s="535">
        <v>94</v>
      </c>
      <c r="F89" s="535">
        <v>91</v>
      </c>
      <c r="G89" s="535">
        <v>88</v>
      </c>
      <c r="H89" s="535"/>
      <c r="I89" s="535"/>
      <c r="J89" s="535"/>
      <c r="K89" s="535"/>
      <c r="L89" s="535"/>
      <c r="M89" s="535"/>
      <c r="N89" s="1147"/>
      <c r="O89" s="1147"/>
      <c r="P89" s="2619"/>
      <c r="Q89" s="503"/>
    </row>
    <row r="90" spans="1:17" s="470" customFormat="1" ht="15.75" thickTop="1">
      <c r="A90" s="552"/>
      <c r="B90" s="537" t="str">
        <f>B27</f>
        <v>人流量</v>
      </c>
      <c r="C90" s="3071" t="s">
        <v>3280</v>
      </c>
      <c r="D90" s="3071" t="s">
        <v>3282</v>
      </c>
      <c r="E90" s="3071" t="s">
        <v>3283</v>
      </c>
      <c r="F90" s="3071" t="s">
        <v>3284</v>
      </c>
      <c r="G90" s="3071" t="s">
        <v>3285</v>
      </c>
      <c r="H90" s="554"/>
      <c r="I90" s="554"/>
      <c r="J90" s="554"/>
      <c r="K90" s="554"/>
      <c r="L90" s="555"/>
      <c r="M90" s="556"/>
      <c r="N90" s="1148"/>
      <c r="O90" s="1148"/>
      <c r="P90" s="262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8"/>
      <c r="O91" s="1148"/>
      <c r="P91" s="2620"/>
      <c r="Q91" s="558"/>
    </row>
    <row r="92" spans="1:17" ht="15.75" thickTop="1">
      <c r="A92" s="533"/>
      <c r="B92" s="537" t="str">
        <f>B28</f>
        <v>楼层</v>
      </c>
      <c r="C92" s="553">
        <v>1</v>
      </c>
      <c r="D92" s="553">
        <v>2</v>
      </c>
      <c r="E92" s="553"/>
      <c r="F92" s="553"/>
      <c r="G92" s="553"/>
      <c r="H92" s="553"/>
      <c r="I92" s="553"/>
      <c r="J92" s="553"/>
      <c r="K92" s="553"/>
      <c r="L92" s="579"/>
      <c r="M92" s="580"/>
      <c r="N92" s="1146"/>
      <c r="O92" s="1146"/>
      <c r="P92" s="2619"/>
      <c r="Q92" s="503"/>
    </row>
    <row r="93" spans="1:17" ht="15.75" thickBot="1">
      <c r="A93" s="533"/>
      <c r="B93" s="542"/>
      <c r="C93" s="535"/>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35"/>
      <c r="E95" s="535"/>
      <c r="F95" s="535"/>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59"/>
      <c r="D97" s="535"/>
      <c r="E97" s="535"/>
      <c r="F97" s="535"/>
      <c r="G97" s="535"/>
      <c r="H97" s="535"/>
      <c r="I97" s="535"/>
      <c r="J97" s="535"/>
      <c r="K97" s="535"/>
      <c r="L97" s="535"/>
      <c r="M97" s="536"/>
      <c r="N97" s="1147"/>
      <c r="O97" s="1147"/>
      <c r="P97" s="2619"/>
      <c r="Q97" s="503"/>
    </row>
    <row r="98" spans="1:17" ht="15.75" thickTop="1">
      <c r="A98" s="533"/>
      <c r="B98" s="545">
        <f>B31</f>
        <v>111</v>
      </c>
      <c r="C98" s="553"/>
      <c r="D98" s="553"/>
      <c r="E98" s="553"/>
      <c r="F98" s="553"/>
      <c r="G98" s="586"/>
      <c r="H98" s="586"/>
      <c r="I98" s="586"/>
      <c r="J98" s="586"/>
      <c r="K98" s="587"/>
      <c r="L98" s="588"/>
      <c r="M98" s="589"/>
      <c r="N98" s="1146"/>
      <c r="O98" s="1146"/>
      <c r="P98" s="2619"/>
      <c r="Q98" s="503"/>
    </row>
    <row r="99" spans="1:17" ht="15.75" thickBot="1">
      <c r="A99" s="2625"/>
      <c r="B99" s="568"/>
      <c r="C99" s="569"/>
      <c r="D99" s="569"/>
      <c r="E99" s="569"/>
      <c r="F99" s="569"/>
      <c r="G99" s="590"/>
      <c r="H99" s="590"/>
      <c r="I99" s="590"/>
      <c r="J99" s="590"/>
      <c r="K99" s="590"/>
      <c r="L99" s="590"/>
      <c r="M99" s="591"/>
      <c r="N99" s="1147"/>
      <c r="O99" s="1147"/>
      <c r="P99" s="2619"/>
      <c r="Q99" s="503"/>
    </row>
    <row r="100" spans="1:17">
      <c r="A100" s="526" t="s">
        <v>2555</v>
      </c>
      <c r="B100" s="527" t="s">
        <v>2673</v>
      </c>
      <c r="C100" s="3023" t="s">
        <v>3294</v>
      </c>
      <c r="D100" s="3023" t="s">
        <v>3296</v>
      </c>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7"/>
      <c r="O101" s="1147"/>
      <c r="P101" s="2619"/>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19"/>
      <c r="Q102" s="503"/>
    </row>
    <row r="103" spans="1:17" s="470" customFormat="1">
      <c r="A103" s="592"/>
      <c r="B103" s="593"/>
      <c r="C103" s="594">
        <v>0</v>
      </c>
      <c r="D103" s="594">
        <v>100</v>
      </c>
      <c r="E103" s="594">
        <v>200</v>
      </c>
      <c r="F103" s="594">
        <v>500</v>
      </c>
      <c r="G103" s="594"/>
      <c r="H103" s="594"/>
      <c r="I103" s="594"/>
      <c r="J103" s="595"/>
      <c r="K103" s="595"/>
      <c r="L103" s="596"/>
      <c r="M103" s="597"/>
      <c r="N103" s="1148"/>
      <c r="O103" s="1148"/>
      <c r="P103" s="2620"/>
      <c r="Q103" s="558"/>
    </row>
    <row r="104" spans="1:17" s="470" customFormat="1" ht="15.75" thickBot="1">
      <c r="A104" s="552"/>
      <c r="B104" s="542"/>
      <c r="C104" s="559">
        <v>100</v>
      </c>
      <c r="D104" s="535">
        <v>99</v>
      </c>
      <c r="E104" s="535">
        <v>98</v>
      </c>
      <c r="F104" s="535">
        <v>97</v>
      </c>
      <c r="G104" s="535"/>
      <c r="H104" s="535"/>
      <c r="I104" s="535"/>
      <c r="J104" s="535"/>
      <c r="K104" s="535"/>
      <c r="L104" s="535"/>
      <c r="M104" s="536"/>
      <c r="N104" s="1147"/>
      <c r="O104" s="1147"/>
      <c r="P104" s="2620"/>
      <c r="Q104" s="558"/>
    </row>
    <row r="105" spans="1:17" ht="15" thickTop="1">
      <c r="A105" s="598"/>
      <c r="B105" s="537" t="s">
        <v>2606</v>
      </c>
      <c r="C105" s="3071" t="s">
        <v>3297</v>
      </c>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19"/>
      <c r="Q106" s="503"/>
    </row>
    <row r="107" spans="1:17" ht="15" thickTop="1">
      <c r="A107" s="598"/>
      <c r="B107" s="537" t="s">
        <v>2608</v>
      </c>
      <c r="C107" s="2988" t="s">
        <v>3129</v>
      </c>
      <c r="D107" s="2988" t="s">
        <v>3130</v>
      </c>
      <c r="E107" s="2988" t="s">
        <v>3131</v>
      </c>
      <c r="F107" s="2990" t="s">
        <v>3132</v>
      </c>
      <c r="G107" s="582"/>
      <c r="H107" s="582"/>
      <c r="I107" s="582"/>
      <c r="J107" s="582"/>
      <c r="K107" s="583"/>
      <c r="L107" s="584"/>
      <c r="M107" s="585"/>
      <c r="N107" s="1146"/>
      <c r="O107" s="1146"/>
      <c r="P107" s="2619"/>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7"/>
      <c r="O108" s="1147"/>
      <c r="P108" s="261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19"/>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1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7"/>
      <c r="O111" s="1147"/>
      <c r="P111" s="2619"/>
      <c r="Q111" s="503"/>
    </row>
    <row r="112" spans="1:17" s="470" customFormat="1" ht="15" thickTop="1">
      <c r="A112" s="592"/>
      <c r="B112" s="537" t="s">
        <v>2610</v>
      </c>
      <c r="C112" s="2988" t="s">
        <v>3138</v>
      </c>
      <c r="D112" s="2988" t="s">
        <v>3139</v>
      </c>
      <c r="E112" s="2988" t="s">
        <v>3140</v>
      </c>
      <c r="F112" s="2988" t="s">
        <v>3141</v>
      </c>
      <c r="G112" s="2988" t="s">
        <v>3142</v>
      </c>
      <c r="H112" s="582"/>
      <c r="I112" s="582"/>
      <c r="J112" s="582"/>
      <c r="K112" s="583"/>
      <c r="L112" s="584"/>
      <c r="M112" s="585"/>
      <c r="N112" s="1148"/>
      <c r="O112" s="1148"/>
      <c r="P112" s="262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0"/>
      <c r="Q113" s="558"/>
    </row>
    <row r="114" spans="1:17" ht="15" thickTop="1">
      <c r="A114" s="598"/>
      <c r="B114" s="537" t="s">
        <v>2674</v>
      </c>
      <c r="C114" s="3071" t="s">
        <v>3299</v>
      </c>
      <c r="D114" s="3071" t="s">
        <v>3301</v>
      </c>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19"/>
      <c r="Q115" s="503"/>
    </row>
    <row r="116" spans="1:17" ht="15" thickTop="1">
      <c r="A116" s="598"/>
      <c r="B116" s="537" t="s">
        <v>2675</v>
      </c>
      <c r="C116" s="2990" t="s">
        <v>3143</v>
      </c>
      <c r="D116" s="2990" t="s">
        <v>3144</v>
      </c>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7"/>
      <c r="O117" s="1147"/>
      <c r="P117" s="2619"/>
      <c r="Q117" s="503"/>
    </row>
    <row r="118" spans="1:17" ht="15" thickTop="1">
      <c r="A118" s="598"/>
      <c r="B118" s="537" t="s">
        <v>2676</v>
      </c>
      <c r="C118" s="626"/>
      <c r="D118" s="626"/>
      <c r="E118" s="626"/>
      <c r="F118" s="626"/>
      <c r="G118" s="626"/>
      <c r="H118" s="554"/>
      <c r="I118" s="554"/>
      <c r="J118" s="554"/>
      <c r="K118" s="554"/>
      <c r="L118" s="555"/>
      <c r="M118" s="556"/>
      <c r="N118" s="1146"/>
      <c r="O118" s="1146"/>
      <c r="P118" s="2619"/>
      <c r="Q118" s="503"/>
    </row>
    <row r="119" spans="1:17" ht="15.75" thickBot="1">
      <c r="A119" s="533"/>
      <c r="B119" s="542"/>
      <c r="C119" s="559"/>
      <c r="D119" s="535"/>
      <c r="E119" s="535"/>
      <c r="F119" s="535"/>
      <c r="G119" s="535"/>
      <c r="H119" s="535"/>
      <c r="I119" s="535"/>
      <c r="J119" s="535"/>
      <c r="K119" s="535"/>
      <c r="L119" s="535"/>
      <c r="M119" s="536"/>
      <c r="N119" s="1147"/>
      <c r="O119" s="1147"/>
      <c r="P119" s="2619"/>
      <c r="Q119" s="503"/>
    </row>
    <row r="120" spans="1:17" s="470" customFormat="1" ht="15" thickTop="1">
      <c r="A120" s="592"/>
      <c r="B120" s="537" t="s">
        <v>2677</v>
      </c>
      <c r="C120" s="553" t="s">
        <v>3078</v>
      </c>
      <c r="D120" s="553" t="s">
        <v>3077</v>
      </c>
      <c r="E120" s="553" t="s">
        <v>3095</v>
      </c>
      <c r="F120" s="2624" t="s">
        <v>3286</v>
      </c>
      <c r="G120" s="553" t="s">
        <v>3287</v>
      </c>
      <c r="H120" s="554"/>
      <c r="I120" s="554"/>
      <c r="J120" s="554"/>
      <c r="K120" s="554"/>
      <c r="L120" s="555"/>
      <c r="M120" s="556"/>
      <c r="N120" s="1148"/>
      <c r="O120" s="1148"/>
      <c r="P120" s="262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0"/>
      <c r="Q121" s="558"/>
    </row>
    <row r="122" spans="1:17" ht="15" thickTop="1">
      <c r="A122" s="598"/>
      <c r="B122" s="537" t="s">
        <v>2612</v>
      </c>
      <c r="C122" s="2988" t="s">
        <v>3129</v>
      </c>
      <c r="D122" s="2988" t="s">
        <v>3130</v>
      </c>
      <c r="E122" s="2988" t="s">
        <v>3131</v>
      </c>
      <c r="F122" s="2990" t="s">
        <v>3132</v>
      </c>
      <c r="G122" s="582"/>
      <c r="H122" s="582"/>
      <c r="I122" s="582"/>
      <c r="J122" s="582"/>
      <c r="K122" s="583"/>
      <c r="L122" s="584"/>
      <c r="M122" s="585"/>
      <c r="N122" s="1146"/>
      <c r="O122" s="1146"/>
      <c r="P122" s="261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35"/>
      <c r="E129" s="535"/>
      <c r="F129" s="535"/>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F23" sqref="F23"/>
    </sheetView>
  </sheetViews>
  <sheetFormatPr defaultRowHeight="12.75"/>
  <cols>
    <col min="1" max="1" width="11.5" style="138" customWidth="1"/>
    <col min="2" max="2" width="9.25" style="27" customWidth="1"/>
    <col min="3" max="3" width="8.5" style="27" customWidth="1"/>
    <col min="4" max="4" width="9" style="27"/>
    <col min="5" max="5" width="5" style="27" customWidth="1"/>
    <col min="6" max="6" width="9" style="27"/>
    <col min="7" max="7" width="9.625" style="27" customWidth="1"/>
    <col min="8" max="8" width="9" style="27"/>
    <col min="9" max="9" width="8.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8" t="s">
        <v>2999</v>
      </c>
      <c r="C1" s="3363" t="s">
        <v>3000</v>
      </c>
      <c r="D1" s="3364"/>
      <c r="E1" s="3364"/>
      <c r="F1" s="3364"/>
      <c r="G1" s="3364"/>
      <c r="H1" s="3364"/>
      <c r="I1" s="3364"/>
      <c r="J1" s="3364"/>
      <c r="K1" s="3364"/>
      <c r="L1" s="3364"/>
      <c r="M1" s="3364"/>
      <c r="N1" s="3364"/>
      <c r="O1" s="3364"/>
      <c r="P1" s="3364"/>
      <c r="Q1" s="3364"/>
      <c r="R1" s="3364"/>
      <c r="S1" s="3365"/>
      <c r="T1" s="1198" t="s">
        <v>3001</v>
      </c>
    </row>
    <row r="2" spans="1:45" s="706" customFormat="1" ht="38.25">
      <c r="A2" s="1199"/>
      <c r="B2" s="702" t="s">
        <v>3002</v>
      </c>
      <c r="C2" s="703" t="str">
        <f t="shared" ref="C2:L2" si="0">C3&amp;"(含)"&amp;"-"&amp;D3</f>
        <v>0(含)-100</v>
      </c>
      <c r="D2" s="704" t="str">
        <f t="shared" si="0"/>
        <v>100(含)-200</v>
      </c>
      <c r="E2" s="704" t="str">
        <f t="shared" si="0"/>
        <v>200(含)-500</v>
      </c>
      <c r="F2" s="704" t="str">
        <f t="shared" si="0"/>
        <v>500(含)-1000</v>
      </c>
      <c r="G2" s="704" t="str">
        <f t="shared" si="0"/>
        <v>1000(含)-3000</v>
      </c>
      <c r="H2" s="704" t="str">
        <f t="shared" si="0"/>
        <v>3000(含)-5000</v>
      </c>
      <c r="I2" s="704" t="str">
        <f t="shared" si="0"/>
        <v>5000(含)-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200</v>
      </c>
      <c r="F3" s="708">
        <f>'比较法-商业'!F103</f>
        <v>500</v>
      </c>
      <c r="G3" s="708">
        <v>1000</v>
      </c>
      <c r="H3" s="708">
        <v>3000</v>
      </c>
      <c r="I3" s="1698">
        <v>5000</v>
      </c>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v>
      </c>
      <c r="E4" s="1204">
        <f>'比较法-商业'!E104</f>
        <v>98</v>
      </c>
      <c r="F4" s="1204">
        <f>'比较法-商业'!F104</f>
        <v>97</v>
      </c>
      <c r="G4" s="1702">
        <v>95</v>
      </c>
      <c r="H4" s="1702">
        <v>92</v>
      </c>
      <c r="I4" s="1702">
        <v>89</v>
      </c>
      <c r="J4" s="1702"/>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14.25" thickTop="1">
      <c r="A5" s="1209"/>
      <c r="B5" s="2991" t="str">
        <f>'比较法-商业'!B86</f>
        <v>临街状况</v>
      </c>
      <c r="C5" s="3071" t="s">
        <v>3288</v>
      </c>
      <c r="D5" s="3071" t="s">
        <v>3289</v>
      </c>
      <c r="E5" s="3071" t="s">
        <v>3291</v>
      </c>
      <c r="F5" s="3071" t="s">
        <v>3293</v>
      </c>
      <c r="G5" s="1705"/>
      <c r="H5" s="1705"/>
      <c r="I5" s="1705"/>
      <c r="J5" s="1705"/>
      <c r="K5" s="1705"/>
      <c r="L5" s="1706"/>
      <c r="M5" s="1707"/>
      <c r="N5" s="1707"/>
      <c r="O5" s="1705"/>
      <c r="P5" s="1705"/>
      <c r="Q5" s="1705"/>
      <c r="R5" s="1705"/>
      <c r="S5" s="1708"/>
      <c r="T5" s="1213">
        <f>'比较法-商业'!K25</f>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1"/>
      <c r="C6" s="1116">
        <v>100</v>
      </c>
      <c r="D6" s="1114">
        <f>C6-$T5</f>
        <v>97</v>
      </c>
      <c r="E6" s="1114">
        <f t="shared" ref="E6:S6" si="7">D6-$T5</f>
        <v>94</v>
      </c>
      <c r="F6" s="1709">
        <f t="shared" si="7"/>
        <v>91</v>
      </c>
      <c r="G6" s="1709">
        <f t="shared" si="7"/>
        <v>88</v>
      </c>
      <c r="H6" s="1709">
        <f t="shared" si="7"/>
        <v>85</v>
      </c>
      <c r="I6" s="1709">
        <f t="shared" si="7"/>
        <v>82</v>
      </c>
      <c r="J6" s="1709">
        <f t="shared" si="7"/>
        <v>79</v>
      </c>
      <c r="K6" s="1709">
        <f t="shared" si="7"/>
        <v>76</v>
      </c>
      <c r="L6" s="1709">
        <f t="shared" si="7"/>
        <v>73</v>
      </c>
      <c r="M6" s="1709">
        <f t="shared" si="7"/>
        <v>70</v>
      </c>
      <c r="N6" s="1709">
        <f t="shared" si="7"/>
        <v>67</v>
      </c>
      <c r="O6" s="1709">
        <f t="shared" si="7"/>
        <v>64</v>
      </c>
      <c r="P6" s="1709">
        <f t="shared" si="7"/>
        <v>61</v>
      </c>
      <c r="Q6" s="1709">
        <f t="shared" si="7"/>
        <v>58</v>
      </c>
      <c r="R6" s="1709">
        <f t="shared" si="7"/>
        <v>55</v>
      </c>
      <c r="S6" s="1709">
        <f t="shared" si="7"/>
        <v>52</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ht="26.25" thickTop="1">
      <c r="A7" s="1209"/>
      <c r="B7" s="1764" t="str">
        <f>'比较法-商业'!B26</f>
        <v>平面位置/可视性</v>
      </c>
      <c r="C7" s="553" t="s">
        <v>3078</v>
      </c>
      <c r="D7" s="553" t="s">
        <v>3077</v>
      </c>
      <c r="E7" s="553" t="s">
        <v>3095</v>
      </c>
      <c r="F7" s="2624" t="s">
        <v>3286</v>
      </c>
      <c r="G7" s="553" t="s">
        <v>3287</v>
      </c>
      <c r="H7" s="1710"/>
      <c r="I7" s="1710"/>
      <c r="J7" s="1710"/>
      <c r="K7" s="1710"/>
      <c r="L7" s="1710"/>
      <c r="M7" s="1711"/>
      <c r="N7" s="1712"/>
      <c r="O7" s="1713"/>
      <c r="P7" s="1714"/>
      <c r="Q7" s="1715"/>
      <c r="R7" s="1716"/>
      <c r="S7" s="1717"/>
      <c r="T7" s="711">
        <f>'比较法-商业'!K25</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1"/>
      <c r="C8" s="1116">
        <v>100</v>
      </c>
      <c r="D8" s="1114">
        <f>C8-$T7</f>
        <v>97</v>
      </c>
      <c r="E8" s="1114">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14.25" thickTop="1">
      <c r="A9" s="1209"/>
      <c r="B9" s="3073" t="s">
        <v>3309</v>
      </c>
      <c r="C9" s="2988" t="s">
        <v>3129</v>
      </c>
      <c r="D9" s="2988" t="s">
        <v>3130</v>
      </c>
      <c r="E9" s="2988" t="s">
        <v>3131</v>
      </c>
      <c r="F9" s="2990" t="s">
        <v>3311</v>
      </c>
      <c r="G9" s="1710"/>
      <c r="H9" s="1710"/>
      <c r="I9" s="1710"/>
      <c r="J9" s="1710"/>
      <c r="K9" s="1710"/>
      <c r="L9" s="1718"/>
      <c r="M9" s="1711"/>
      <c r="N9" s="1712"/>
      <c r="O9" s="1713"/>
      <c r="P9" s="1714"/>
      <c r="Q9" s="1715"/>
      <c r="R9" s="1716"/>
      <c r="S9" s="1717"/>
      <c r="T9" s="711">
        <f>'比较法-商业'!K42</f>
        <v>1</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99</v>
      </c>
      <c r="E10" s="1215">
        <f t="shared" ref="E10:S10" si="9">D10-$T9</f>
        <v>98</v>
      </c>
      <c r="F10" s="1719">
        <f t="shared" si="9"/>
        <v>97</v>
      </c>
      <c r="G10" s="1719">
        <f t="shared" si="9"/>
        <v>96</v>
      </c>
      <c r="H10" s="1719">
        <f t="shared" si="9"/>
        <v>95</v>
      </c>
      <c r="I10" s="1719">
        <f t="shared" si="9"/>
        <v>94</v>
      </c>
      <c r="J10" s="1719">
        <f t="shared" si="9"/>
        <v>93</v>
      </c>
      <c r="K10" s="1719">
        <f t="shared" si="9"/>
        <v>92</v>
      </c>
      <c r="L10" s="1719">
        <f t="shared" si="9"/>
        <v>91</v>
      </c>
      <c r="M10" s="1719">
        <f t="shared" si="9"/>
        <v>90</v>
      </c>
      <c r="N10" s="1719">
        <f t="shared" si="9"/>
        <v>89</v>
      </c>
      <c r="O10" s="1719">
        <f t="shared" si="9"/>
        <v>88</v>
      </c>
      <c r="P10" s="1719">
        <f t="shared" si="9"/>
        <v>87</v>
      </c>
      <c r="Q10" s="1719">
        <f t="shared" si="9"/>
        <v>86</v>
      </c>
      <c r="R10" s="1719">
        <f t="shared" si="9"/>
        <v>85</v>
      </c>
      <c r="S10" s="1719">
        <f t="shared" si="9"/>
        <v>84</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3003</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1"/>
      <c r="C12" s="1116">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3004</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3005</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3006</v>
      </c>
      <c r="B17" s="2902" t="s">
        <v>3007</v>
      </c>
      <c r="C17" s="1225">
        <v>-1</v>
      </c>
      <c r="D17" s="1226">
        <v>1</v>
      </c>
      <c r="E17" s="1226">
        <v>2</v>
      </c>
      <c r="F17" s="1226">
        <v>3</v>
      </c>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v>50</v>
      </c>
      <c r="D18" s="1238">
        <v>100</v>
      </c>
      <c r="E18" s="1238">
        <v>65</v>
      </c>
      <c r="F18" s="1238">
        <v>55</v>
      </c>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3" t="s">
        <v>3008</v>
      </c>
      <c r="E19" s="1786"/>
      <c r="F19" s="1786"/>
      <c r="G19" s="1786"/>
      <c r="H19" s="1274"/>
      <c r="I19" s="167"/>
      <c r="J19" s="167"/>
      <c r="K19" s="167"/>
      <c r="L19" s="167"/>
      <c r="M19" s="167"/>
      <c r="N19" s="167"/>
      <c r="O19" s="167"/>
      <c r="P19" s="167"/>
      <c r="Q19" s="167"/>
      <c r="R19" s="786"/>
      <c r="S19" s="137"/>
    </row>
    <row r="20" spans="1:45" ht="16.5" thickBot="1">
      <c r="A20" s="713" t="s">
        <v>3009</v>
      </c>
      <c r="B20" s="337">
        <f>IF(D20="——",S22,S22-F20)</f>
        <v>37527</v>
      </c>
      <c r="C20" s="167"/>
      <c r="D20" s="2904" t="s">
        <v>70</v>
      </c>
      <c r="E20" s="1787"/>
      <c r="F20" s="1198" t="e">
        <f ca="1">SUMIF(INDIRECT("'"&amp;H20&amp;"'"&amp;"!A:A"),"承租人权益价值",INDIRECT("'"&amp;H20&amp;"'"&amp;"!c:c"))</f>
        <v>#REF!</v>
      </c>
      <c r="G20" s="1198" t="s">
        <v>3010</v>
      </c>
      <c r="H20" s="2905" t="s">
        <v>3320</v>
      </c>
      <c r="I20" s="167"/>
      <c r="J20" s="167"/>
      <c r="K20" s="167"/>
      <c r="L20" s="167"/>
      <c r="M20" s="167"/>
      <c r="N20" s="167"/>
      <c r="O20" s="167"/>
      <c r="P20" s="167"/>
      <c r="Q20" s="167"/>
      <c r="R20" s="786"/>
      <c r="S20" s="137"/>
    </row>
    <row r="21" spans="1:45" ht="15.75">
      <c r="A21" s="713" t="s">
        <v>3011</v>
      </c>
      <c r="B21" s="337">
        <f>R22</f>
        <v>21655</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17329.439999999999</v>
      </c>
      <c r="C22" s="3283" t="s">
        <v>33</v>
      </c>
      <c r="D22" s="3284"/>
      <c r="E22" s="3284"/>
      <c r="F22" s="3284"/>
      <c r="G22" s="3284"/>
      <c r="H22" s="3284"/>
      <c r="I22" s="3284"/>
      <c r="J22" s="3284"/>
      <c r="K22" s="3284"/>
      <c r="L22" s="3284"/>
      <c r="M22" s="3284"/>
      <c r="N22" s="3284"/>
      <c r="O22" s="3284"/>
      <c r="P22" s="3284"/>
      <c r="Q22" s="3362"/>
      <c r="R22" s="714">
        <f>ROUND(S22*10000/B22,0)</f>
        <v>21655</v>
      </c>
      <c r="S22" s="24">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101</v>
      </c>
      <c r="B24" s="716">
        <f>'数据-基础表'!I13</f>
        <v>117.95</v>
      </c>
      <c r="C24" s="717">
        <v>1</v>
      </c>
      <c r="D24" s="718" t="s">
        <v>3290</v>
      </c>
      <c r="E24" s="717">
        <v>1</v>
      </c>
      <c r="F24" s="2992" t="s">
        <v>3307</v>
      </c>
      <c r="G24" s="717">
        <v>1</v>
      </c>
      <c r="H24" s="718" t="s">
        <v>3083</v>
      </c>
      <c r="I24" s="717">
        <v>1</v>
      </c>
      <c r="J24" s="718"/>
      <c r="K24" s="717">
        <v>1</v>
      </c>
      <c r="L24" s="718"/>
      <c r="M24" s="717">
        <v>1</v>
      </c>
      <c r="N24" s="718"/>
      <c r="O24" s="717">
        <v>1</v>
      </c>
      <c r="P24" s="718">
        <v>1</v>
      </c>
      <c r="Q24" s="717">
        <v>1</v>
      </c>
      <c r="R24" s="719">
        <f>'比较法-商业'!C48</f>
        <v>43484</v>
      </c>
      <c r="S24" s="717">
        <f t="shared" ref="S24:S54" si="11">ROUND(R24*B24/10000,0)</f>
        <v>513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f>'数据-基础表'!C14</f>
        <v>102</v>
      </c>
      <c r="B25" s="58">
        <f>'数据-基础表'!I14</f>
        <v>212.21</v>
      </c>
      <c r="C25" s="24">
        <f>IF(B25="",1,(LOOKUP(B25,$3:$3,$4:$4)-LOOKUP($B$24,$3:$3,$4:$4)+100)/100)</f>
        <v>0.99</v>
      </c>
      <c r="D25" s="718" t="s">
        <v>3290</v>
      </c>
      <c r="E25" s="24">
        <f>(SUMIF($5:$5,D25,$6:$6)-SUMIF($5:$5,$D$24,$6:$6)+100)/100</f>
        <v>1</v>
      </c>
      <c r="F25" s="2992" t="s">
        <v>3307</v>
      </c>
      <c r="G25" s="24">
        <f>(SUMIF($7:$7,F25,$8:$8)-SUMIF($7:$7,$F$24,$8:$8)+100)/100</f>
        <v>1</v>
      </c>
      <c r="H25" s="718" t="s">
        <v>3083</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43049</v>
      </c>
      <c r="S25" s="360">
        <f t="shared" si="11"/>
        <v>914</v>
      </c>
    </row>
    <row r="26" spans="1:45">
      <c r="A26" s="158">
        <f>'数据-基础表'!C15</f>
        <v>201</v>
      </c>
      <c r="B26" s="58">
        <f>'数据-基础表'!I15</f>
        <v>487.19</v>
      </c>
      <c r="C26" s="24">
        <f t="shared" ref="C26:C89" si="12">IF(B26="",1,(LOOKUP(B26,$3:$3,$4:$4)-LOOKUP($B$24,$3:$3,$4:$4)+100)/100)</f>
        <v>0.99</v>
      </c>
      <c r="D26" s="718" t="s">
        <v>3292</v>
      </c>
      <c r="E26" s="24">
        <f t="shared" ref="E26:E89" si="13">(SUMIF($5:$5,D26,$6:$6)-SUMIF($5:$5,$D$24,$6:$6)+100)/100</f>
        <v>0.97</v>
      </c>
      <c r="F26" s="2992" t="s">
        <v>3308</v>
      </c>
      <c r="G26" s="24">
        <f t="shared" ref="G26:G89" si="14">(SUMIF($7:$7,F26,$8:$8)-SUMIF($7:$7,$F$24,$8:$8)+100)/100</f>
        <v>0.97</v>
      </c>
      <c r="H26" s="718" t="s">
        <v>3083</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0.65</v>
      </c>
      <c r="R26" s="714">
        <f t="shared" ref="R26:R89" si="20">IF(B26="",0,ROUND($R$24*C26*E26*G26*I26*K26*M26*O26*Q26,0))</f>
        <v>26328</v>
      </c>
      <c r="S26" s="360">
        <f t="shared" si="11"/>
        <v>1283</v>
      </c>
    </row>
    <row r="27" spans="1:45">
      <c r="A27" s="158">
        <f>'数据-基础表'!C16</f>
        <v>202</v>
      </c>
      <c r="B27" s="58">
        <f>'数据-基础表'!I16</f>
        <v>493.67</v>
      </c>
      <c r="C27" s="24">
        <f t="shared" si="12"/>
        <v>0.99</v>
      </c>
      <c r="D27" s="718" t="s">
        <v>3292</v>
      </c>
      <c r="E27" s="24">
        <f t="shared" si="13"/>
        <v>0.97</v>
      </c>
      <c r="F27" s="2992" t="s">
        <v>3308</v>
      </c>
      <c r="G27" s="24">
        <f t="shared" si="14"/>
        <v>0.97</v>
      </c>
      <c r="H27" s="718" t="s">
        <v>3083</v>
      </c>
      <c r="I27" s="24">
        <f t="shared" si="15"/>
        <v>1</v>
      </c>
      <c r="J27" s="718"/>
      <c r="K27" s="24">
        <f t="shared" si="16"/>
        <v>1</v>
      </c>
      <c r="L27" s="718"/>
      <c r="M27" s="24">
        <f t="shared" si="17"/>
        <v>1</v>
      </c>
      <c r="N27" s="718"/>
      <c r="O27" s="24">
        <f t="shared" si="18"/>
        <v>1</v>
      </c>
      <c r="P27" s="718">
        <v>2</v>
      </c>
      <c r="Q27" s="24">
        <f t="shared" si="19"/>
        <v>0.65</v>
      </c>
      <c r="R27" s="714">
        <f t="shared" si="20"/>
        <v>26328</v>
      </c>
      <c r="S27" s="360">
        <f t="shared" si="11"/>
        <v>1300</v>
      </c>
    </row>
    <row r="28" spans="1:45">
      <c r="A28" s="158">
        <f>'数据-基础表'!C17</f>
        <v>212</v>
      </c>
      <c r="B28" s="58">
        <f>'数据-基础表'!I17</f>
        <v>424.89</v>
      </c>
      <c r="C28" s="24">
        <f t="shared" si="12"/>
        <v>0.99</v>
      </c>
      <c r="D28" s="718" t="s">
        <v>3292</v>
      </c>
      <c r="E28" s="24">
        <f t="shared" si="13"/>
        <v>0.97</v>
      </c>
      <c r="F28" s="2992" t="s">
        <v>3308</v>
      </c>
      <c r="G28" s="24">
        <f t="shared" si="14"/>
        <v>0.97</v>
      </c>
      <c r="H28" s="718" t="s">
        <v>3083</v>
      </c>
      <c r="I28" s="24">
        <f t="shared" si="15"/>
        <v>1</v>
      </c>
      <c r="J28" s="718"/>
      <c r="K28" s="24">
        <f t="shared" si="16"/>
        <v>1</v>
      </c>
      <c r="L28" s="718"/>
      <c r="M28" s="24">
        <f t="shared" si="17"/>
        <v>1</v>
      </c>
      <c r="N28" s="718"/>
      <c r="O28" s="24">
        <f t="shared" si="18"/>
        <v>1</v>
      </c>
      <c r="P28" s="718">
        <v>2</v>
      </c>
      <c r="Q28" s="24">
        <f t="shared" si="19"/>
        <v>0.65</v>
      </c>
      <c r="R28" s="714">
        <f t="shared" si="20"/>
        <v>26328</v>
      </c>
      <c r="S28" s="360">
        <f t="shared" si="11"/>
        <v>1119</v>
      </c>
    </row>
    <row r="29" spans="1:45">
      <c r="A29" s="158">
        <f>'数据-基础表'!C18</f>
        <v>213</v>
      </c>
      <c r="B29" s="58">
        <f>'数据-基础表'!I18</f>
        <v>447.14</v>
      </c>
      <c r="C29" s="24">
        <f t="shared" si="12"/>
        <v>0.99</v>
      </c>
      <c r="D29" s="718" t="s">
        <v>3292</v>
      </c>
      <c r="E29" s="24">
        <f t="shared" si="13"/>
        <v>0.97</v>
      </c>
      <c r="F29" s="2992" t="s">
        <v>3308</v>
      </c>
      <c r="G29" s="24">
        <f t="shared" si="14"/>
        <v>0.97</v>
      </c>
      <c r="H29" s="718" t="s">
        <v>3083</v>
      </c>
      <c r="I29" s="24">
        <f t="shared" si="15"/>
        <v>1</v>
      </c>
      <c r="J29" s="718"/>
      <c r="K29" s="24">
        <f t="shared" si="16"/>
        <v>1</v>
      </c>
      <c r="L29" s="718"/>
      <c r="M29" s="24">
        <f t="shared" si="17"/>
        <v>1</v>
      </c>
      <c r="N29" s="718"/>
      <c r="O29" s="24">
        <f t="shared" si="18"/>
        <v>1</v>
      </c>
      <c r="P29" s="718">
        <v>2</v>
      </c>
      <c r="Q29" s="24">
        <f t="shared" si="19"/>
        <v>0.65</v>
      </c>
      <c r="R29" s="714">
        <f t="shared" si="20"/>
        <v>26328</v>
      </c>
      <c r="S29" s="360">
        <f t="shared" si="11"/>
        <v>1177</v>
      </c>
    </row>
    <row r="30" spans="1:45">
      <c r="A30" s="158">
        <f>'数据-基础表'!C19</f>
        <v>301</v>
      </c>
      <c r="B30" s="58">
        <f>'数据-基础表'!I19</f>
        <v>5414.13</v>
      </c>
      <c r="C30" s="24">
        <f t="shared" si="12"/>
        <v>0.9</v>
      </c>
      <c r="D30" s="718" t="s">
        <v>3292</v>
      </c>
      <c r="E30" s="24">
        <f t="shared" si="13"/>
        <v>0.97</v>
      </c>
      <c r="F30" s="2992" t="s">
        <v>3308</v>
      </c>
      <c r="G30" s="24">
        <f t="shared" si="14"/>
        <v>0.97</v>
      </c>
      <c r="H30" s="718" t="s">
        <v>3083</v>
      </c>
      <c r="I30" s="24">
        <f t="shared" si="15"/>
        <v>1</v>
      </c>
      <c r="J30" s="718"/>
      <c r="K30" s="24">
        <f t="shared" si="16"/>
        <v>1</v>
      </c>
      <c r="L30" s="718"/>
      <c r="M30" s="24">
        <f t="shared" si="17"/>
        <v>1</v>
      </c>
      <c r="N30" s="718"/>
      <c r="O30" s="24">
        <f t="shared" si="18"/>
        <v>1</v>
      </c>
      <c r="P30" s="718">
        <v>3</v>
      </c>
      <c r="Q30" s="24">
        <f t="shared" si="19"/>
        <v>0.55000000000000004</v>
      </c>
      <c r="R30" s="714">
        <f t="shared" si="20"/>
        <v>20252</v>
      </c>
      <c r="S30" s="360">
        <f t="shared" si="11"/>
        <v>10965</v>
      </c>
    </row>
    <row r="31" spans="1:45">
      <c r="A31" s="158">
        <f>'数据-基础表'!C20</f>
        <v>201</v>
      </c>
      <c r="B31" s="58">
        <f>'数据-基础表'!I20</f>
        <v>421.09</v>
      </c>
      <c r="C31" s="24">
        <f t="shared" si="12"/>
        <v>0.99</v>
      </c>
      <c r="D31" s="718" t="s">
        <v>3292</v>
      </c>
      <c r="E31" s="24">
        <f t="shared" si="13"/>
        <v>0.97</v>
      </c>
      <c r="F31" s="2992" t="s">
        <v>3308</v>
      </c>
      <c r="G31" s="24">
        <f t="shared" si="14"/>
        <v>0.97</v>
      </c>
      <c r="H31" s="718" t="s">
        <v>3083</v>
      </c>
      <c r="I31" s="24">
        <f t="shared" si="15"/>
        <v>1</v>
      </c>
      <c r="J31" s="718"/>
      <c r="K31" s="24">
        <f t="shared" si="16"/>
        <v>1</v>
      </c>
      <c r="L31" s="718"/>
      <c r="M31" s="24">
        <f t="shared" si="17"/>
        <v>1</v>
      </c>
      <c r="N31" s="718"/>
      <c r="O31" s="24">
        <f t="shared" si="18"/>
        <v>1</v>
      </c>
      <c r="P31" s="718">
        <v>2</v>
      </c>
      <c r="Q31" s="24">
        <f t="shared" si="19"/>
        <v>0.65</v>
      </c>
      <c r="R31" s="714">
        <f t="shared" si="20"/>
        <v>26328</v>
      </c>
      <c r="S31" s="360">
        <f t="shared" si="11"/>
        <v>1109</v>
      </c>
    </row>
    <row r="32" spans="1:45">
      <c r="A32" s="158">
        <f>'数据-基础表'!C21</f>
        <v>205</v>
      </c>
      <c r="B32" s="58">
        <f>'数据-基础表'!I21</f>
        <v>176.09</v>
      </c>
      <c r="C32" s="24">
        <f t="shared" si="12"/>
        <v>1</v>
      </c>
      <c r="D32" s="718" t="s">
        <v>3292</v>
      </c>
      <c r="E32" s="24">
        <f t="shared" si="13"/>
        <v>0.97</v>
      </c>
      <c r="F32" s="2992" t="s">
        <v>3308</v>
      </c>
      <c r="G32" s="24">
        <f t="shared" si="14"/>
        <v>0.97</v>
      </c>
      <c r="H32" s="718" t="s">
        <v>3083</v>
      </c>
      <c r="I32" s="24">
        <f t="shared" si="15"/>
        <v>1</v>
      </c>
      <c r="J32" s="718"/>
      <c r="K32" s="24">
        <f t="shared" si="16"/>
        <v>1</v>
      </c>
      <c r="L32" s="718"/>
      <c r="M32" s="24">
        <f t="shared" si="17"/>
        <v>1</v>
      </c>
      <c r="N32" s="718"/>
      <c r="O32" s="24">
        <f t="shared" si="18"/>
        <v>1</v>
      </c>
      <c r="P32" s="718">
        <v>2</v>
      </c>
      <c r="Q32" s="24">
        <f t="shared" si="19"/>
        <v>0.65</v>
      </c>
      <c r="R32" s="714">
        <f t="shared" si="20"/>
        <v>26594</v>
      </c>
      <c r="S32" s="360">
        <f t="shared" si="11"/>
        <v>468</v>
      </c>
    </row>
    <row r="33" spans="1:19">
      <c r="A33" s="158">
        <f>'数据-基础表'!C22</f>
        <v>206</v>
      </c>
      <c r="B33" s="58">
        <f>'数据-基础表'!I22</f>
        <v>389.8</v>
      </c>
      <c r="C33" s="24">
        <f t="shared" si="12"/>
        <v>0.99</v>
      </c>
      <c r="D33" s="718" t="s">
        <v>3292</v>
      </c>
      <c r="E33" s="24">
        <f t="shared" si="13"/>
        <v>0.97</v>
      </c>
      <c r="F33" s="2992" t="s">
        <v>3308</v>
      </c>
      <c r="G33" s="24">
        <f t="shared" si="14"/>
        <v>0.97</v>
      </c>
      <c r="H33" s="718" t="s">
        <v>3083</v>
      </c>
      <c r="I33" s="24">
        <f t="shared" si="15"/>
        <v>1</v>
      </c>
      <c r="J33" s="718"/>
      <c r="K33" s="24">
        <f t="shared" si="16"/>
        <v>1</v>
      </c>
      <c r="L33" s="718"/>
      <c r="M33" s="24">
        <f t="shared" si="17"/>
        <v>1</v>
      </c>
      <c r="N33" s="718"/>
      <c r="O33" s="24">
        <f t="shared" si="18"/>
        <v>1</v>
      </c>
      <c r="P33" s="718">
        <v>2</v>
      </c>
      <c r="Q33" s="24">
        <f t="shared" si="19"/>
        <v>0.65</v>
      </c>
      <c r="R33" s="714">
        <f t="shared" si="20"/>
        <v>26328</v>
      </c>
      <c r="S33" s="360">
        <f t="shared" si="11"/>
        <v>1026</v>
      </c>
    </row>
    <row r="34" spans="1:19">
      <c r="A34" s="158">
        <f>'数据-基础表'!C23</f>
        <v>207</v>
      </c>
      <c r="B34" s="58">
        <f>'数据-基础表'!I23</f>
        <v>495.92</v>
      </c>
      <c r="C34" s="24">
        <f t="shared" si="12"/>
        <v>0.99</v>
      </c>
      <c r="D34" s="718" t="s">
        <v>3292</v>
      </c>
      <c r="E34" s="24">
        <f t="shared" si="13"/>
        <v>0.97</v>
      </c>
      <c r="F34" s="2992" t="s">
        <v>3308</v>
      </c>
      <c r="G34" s="24">
        <f t="shared" si="14"/>
        <v>0.97</v>
      </c>
      <c r="H34" s="718" t="s">
        <v>3083</v>
      </c>
      <c r="I34" s="24">
        <f t="shared" si="15"/>
        <v>1</v>
      </c>
      <c r="J34" s="718"/>
      <c r="K34" s="24">
        <f t="shared" si="16"/>
        <v>1</v>
      </c>
      <c r="L34" s="718"/>
      <c r="M34" s="24">
        <f t="shared" si="17"/>
        <v>1</v>
      </c>
      <c r="N34" s="718"/>
      <c r="O34" s="24">
        <f t="shared" si="18"/>
        <v>1</v>
      </c>
      <c r="P34" s="718">
        <v>2</v>
      </c>
      <c r="Q34" s="24">
        <f t="shared" si="19"/>
        <v>0.65</v>
      </c>
      <c r="R34" s="714">
        <f t="shared" si="20"/>
        <v>26328</v>
      </c>
      <c r="S34" s="360">
        <f t="shared" si="11"/>
        <v>1306</v>
      </c>
    </row>
    <row r="35" spans="1:19">
      <c r="A35" s="158">
        <f>'数据-基础表'!C24</f>
        <v>208</v>
      </c>
      <c r="B35" s="58">
        <f>'数据-基础表'!I24</f>
        <v>210.47</v>
      </c>
      <c r="C35" s="24">
        <f t="shared" si="12"/>
        <v>0.99</v>
      </c>
      <c r="D35" s="718" t="s">
        <v>3292</v>
      </c>
      <c r="E35" s="24">
        <f t="shared" si="13"/>
        <v>0.97</v>
      </c>
      <c r="F35" s="2992" t="s">
        <v>3308</v>
      </c>
      <c r="G35" s="24">
        <f t="shared" si="14"/>
        <v>0.97</v>
      </c>
      <c r="H35" s="718" t="s">
        <v>3083</v>
      </c>
      <c r="I35" s="24">
        <f t="shared" si="15"/>
        <v>1</v>
      </c>
      <c r="J35" s="718"/>
      <c r="K35" s="24">
        <f t="shared" si="16"/>
        <v>1</v>
      </c>
      <c r="L35" s="718"/>
      <c r="M35" s="24">
        <f t="shared" si="17"/>
        <v>1</v>
      </c>
      <c r="N35" s="718"/>
      <c r="O35" s="24">
        <f t="shared" si="18"/>
        <v>1</v>
      </c>
      <c r="P35" s="718">
        <v>2</v>
      </c>
      <c r="Q35" s="24">
        <f t="shared" si="19"/>
        <v>0.65</v>
      </c>
      <c r="R35" s="714">
        <f t="shared" si="20"/>
        <v>26328</v>
      </c>
      <c r="S35" s="360">
        <f t="shared" si="11"/>
        <v>554</v>
      </c>
    </row>
    <row r="36" spans="1:19">
      <c r="A36" s="158">
        <f>'数据-基础表'!C25</f>
        <v>-101</v>
      </c>
      <c r="B36" s="58">
        <f>'数据-基础表'!K25</f>
        <v>7686.99</v>
      </c>
      <c r="C36" s="24">
        <f t="shared" si="12"/>
        <v>0.9</v>
      </c>
      <c r="D36" s="718" t="s">
        <v>3290</v>
      </c>
      <c r="E36" s="24">
        <f t="shared" si="13"/>
        <v>1</v>
      </c>
      <c r="F36" s="2992" t="s">
        <v>3307</v>
      </c>
      <c r="G36" s="24">
        <f t="shared" si="14"/>
        <v>1</v>
      </c>
      <c r="H36" s="718" t="s">
        <v>3083</v>
      </c>
      <c r="I36" s="24">
        <f t="shared" si="15"/>
        <v>1</v>
      </c>
      <c r="J36" s="718"/>
      <c r="K36" s="24">
        <f t="shared" si="16"/>
        <v>1</v>
      </c>
      <c r="L36" s="718"/>
      <c r="M36" s="24">
        <f t="shared" si="17"/>
        <v>1</v>
      </c>
      <c r="N36" s="718"/>
      <c r="O36" s="24">
        <f t="shared" si="18"/>
        <v>1</v>
      </c>
      <c r="P36" s="718">
        <v>-1</v>
      </c>
      <c r="Q36" s="24">
        <f t="shared" si="19"/>
        <v>0.5</v>
      </c>
      <c r="R36" s="714">
        <f t="shared" si="20"/>
        <v>19568</v>
      </c>
      <c r="S36" s="360">
        <f t="shared" si="11"/>
        <v>15042</v>
      </c>
    </row>
    <row r="37" spans="1:19">
      <c r="A37" s="158">
        <f>'数据-基础表'!C26</f>
        <v>-102</v>
      </c>
      <c r="B37" s="58">
        <f>'数据-基础表'!K26</f>
        <v>26.76</v>
      </c>
      <c r="C37" s="24">
        <f t="shared" si="12"/>
        <v>1.01</v>
      </c>
      <c r="D37" s="718" t="s">
        <v>3290</v>
      </c>
      <c r="E37" s="24">
        <f t="shared" si="13"/>
        <v>1</v>
      </c>
      <c r="F37" s="2992" t="s">
        <v>3307</v>
      </c>
      <c r="G37" s="24">
        <f t="shared" si="14"/>
        <v>1</v>
      </c>
      <c r="H37" s="718" t="s">
        <v>3310</v>
      </c>
      <c r="I37" s="24">
        <f t="shared" si="15"/>
        <v>0.97</v>
      </c>
      <c r="J37" s="718"/>
      <c r="K37" s="24">
        <f t="shared" si="16"/>
        <v>1</v>
      </c>
      <c r="L37" s="718"/>
      <c r="M37" s="24">
        <f t="shared" si="17"/>
        <v>1</v>
      </c>
      <c r="N37" s="718"/>
      <c r="O37" s="24">
        <f t="shared" si="18"/>
        <v>1</v>
      </c>
      <c r="P37" s="718">
        <v>-1</v>
      </c>
      <c r="Q37" s="24">
        <f t="shared" si="19"/>
        <v>0.5</v>
      </c>
      <c r="R37" s="714">
        <f t="shared" si="20"/>
        <v>21301</v>
      </c>
      <c r="S37" s="360">
        <f t="shared" si="11"/>
        <v>57</v>
      </c>
    </row>
    <row r="38" spans="1:19">
      <c r="A38" s="158">
        <f>'数据-基础表'!C27</f>
        <v>-103</v>
      </c>
      <c r="B38" s="58">
        <f>'数据-基础表'!K27</f>
        <v>33.29</v>
      </c>
      <c r="C38" s="24">
        <f t="shared" si="12"/>
        <v>1.01</v>
      </c>
      <c r="D38" s="718" t="s">
        <v>3290</v>
      </c>
      <c r="E38" s="24">
        <f t="shared" si="13"/>
        <v>1</v>
      </c>
      <c r="F38" s="2992" t="s">
        <v>3307</v>
      </c>
      <c r="G38" s="24">
        <f t="shared" si="14"/>
        <v>1</v>
      </c>
      <c r="H38" s="718" t="s">
        <v>3310</v>
      </c>
      <c r="I38" s="24">
        <f t="shared" si="15"/>
        <v>0.97</v>
      </c>
      <c r="J38" s="718"/>
      <c r="K38" s="24">
        <f t="shared" si="16"/>
        <v>1</v>
      </c>
      <c r="L38" s="718"/>
      <c r="M38" s="24">
        <f t="shared" si="17"/>
        <v>1</v>
      </c>
      <c r="N38" s="718"/>
      <c r="O38" s="24">
        <f t="shared" si="18"/>
        <v>1</v>
      </c>
      <c r="P38" s="718">
        <v>-1</v>
      </c>
      <c r="Q38" s="24">
        <f t="shared" si="19"/>
        <v>0.5</v>
      </c>
      <c r="R38" s="714">
        <f t="shared" si="20"/>
        <v>21301</v>
      </c>
      <c r="S38" s="360">
        <f t="shared" si="11"/>
        <v>71</v>
      </c>
    </row>
    <row r="39" spans="1:19">
      <c r="A39" s="158">
        <f>'数据-基础表'!C28</f>
        <v>-104</v>
      </c>
      <c r="B39" s="58">
        <f>'数据-基础表'!K28</f>
        <v>49.94</v>
      </c>
      <c r="C39" s="24">
        <f t="shared" si="12"/>
        <v>1.01</v>
      </c>
      <c r="D39" s="718" t="s">
        <v>3290</v>
      </c>
      <c r="E39" s="24">
        <f t="shared" si="13"/>
        <v>1</v>
      </c>
      <c r="F39" s="2992" t="s">
        <v>3307</v>
      </c>
      <c r="G39" s="24">
        <f t="shared" si="14"/>
        <v>1</v>
      </c>
      <c r="H39" s="718" t="s">
        <v>3310</v>
      </c>
      <c r="I39" s="24">
        <f t="shared" si="15"/>
        <v>0.97</v>
      </c>
      <c r="J39" s="718"/>
      <c r="K39" s="24">
        <f t="shared" si="16"/>
        <v>1</v>
      </c>
      <c r="L39" s="718"/>
      <c r="M39" s="24">
        <f t="shared" si="17"/>
        <v>1</v>
      </c>
      <c r="N39" s="718"/>
      <c r="O39" s="24">
        <f t="shared" si="18"/>
        <v>1</v>
      </c>
      <c r="P39" s="718">
        <v>-1</v>
      </c>
      <c r="Q39" s="24">
        <f t="shared" si="19"/>
        <v>0.5</v>
      </c>
      <c r="R39" s="714">
        <f t="shared" si="20"/>
        <v>21301</v>
      </c>
      <c r="S39" s="360">
        <f t="shared" si="11"/>
        <v>106</v>
      </c>
    </row>
    <row r="40" spans="1:19">
      <c r="A40" s="158">
        <f>'数据-基础表'!C29</f>
        <v>-105</v>
      </c>
      <c r="B40" s="58">
        <f>'数据-基础表'!K29</f>
        <v>62.02</v>
      </c>
      <c r="C40" s="24">
        <f t="shared" si="12"/>
        <v>1.01</v>
      </c>
      <c r="D40" s="718" t="s">
        <v>3290</v>
      </c>
      <c r="E40" s="24">
        <f t="shared" si="13"/>
        <v>1</v>
      </c>
      <c r="F40" s="2992" t="s">
        <v>3307</v>
      </c>
      <c r="G40" s="24">
        <f t="shared" si="14"/>
        <v>1</v>
      </c>
      <c r="H40" s="718" t="s">
        <v>3310</v>
      </c>
      <c r="I40" s="24">
        <f t="shared" si="15"/>
        <v>0.97</v>
      </c>
      <c r="J40" s="718"/>
      <c r="K40" s="24">
        <f t="shared" si="16"/>
        <v>1</v>
      </c>
      <c r="L40" s="718"/>
      <c r="M40" s="24">
        <f t="shared" si="17"/>
        <v>1</v>
      </c>
      <c r="N40" s="718"/>
      <c r="O40" s="24">
        <f t="shared" si="18"/>
        <v>1</v>
      </c>
      <c r="P40" s="718">
        <v>-1</v>
      </c>
      <c r="Q40" s="24">
        <f t="shared" si="19"/>
        <v>0.5</v>
      </c>
      <c r="R40" s="714">
        <f t="shared" si="20"/>
        <v>21301</v>
      </c>
      <c r="S40" s="360">
        <f t="shared" si="11"/>
        <v>132</v>
      </c>
    </row>
    <row r="41" spans="1:19">
      <c r="A41" s="158">
        <f>'数据-基础表'!C30</f>
        <v>-106</v>
      </c>
      <c r="B41" s="58">
        <f>'数据-基础表'!K30</f>
        <v>41.8</v>
      </c>
      <c r="C41" s="24">
        <f t="shared" si="12"/>
        <v>1.01</v>
      </c>
      <c r="D41" s="718" t="s">
        <v>3290</v>
      </c>
      <c r="E41" s="24">
        <f t="shared" si="13"/>
        <v>1</v>
      </c>
      <c r="F41" s="2992" t="s">
        <v>3307</v>
      </c>
      <c r="G41" s="24">
        <f t="shared" si="14"/>
        <v>1</v>
      </c>
      <c r="H41" s="718" t="s">
        <v>3310</v>
      </c>
      <c r="I41" s="24">
        <f t="shared" si="15"/>
        <v>0.97</v>
      </c>
      <c r="J41" s="718"/>
      <c r="K41" s="24">
        <f t="shared" si="16"/>
        <v>1</v>
      </c>
      <c r="L41" s="718"/>
      <c r="M41" s="24">
        <f t="shared" si="17"/>
        <v>1</v>
      </c>
      <c r="N41" s="718"/>
      <c r="O41" s="24">
        <f t="shared" si="18"/>
        <v>1</v>
      </c>
      <c r="P41" s="718">
        <v>-1</v>
      </c>
      <c r="Q41" s="24">
        <f t="shared" si="19"/>
        <v>0.5</v>
      </c>
      <c r="R41" s="714">
        <f t="shared" si="20"/>
        <v>21301</v>
      </c>
      <c r="S41" s="360">
        <f t="shared" si="11"/>
        <v>89</v>
      </c>
    </row>
    <row r="42" spans="1:19">
      <c r="A42" s="158">
        <f>'数据-基础表'!C31</f>
        <v>-107</v>
      </c>
      <c r="B42" s="58">
        <f>'数据-基础表'!K31</f>
        <v>33.15</v>
      </c>
      <c r="C42" s="24">
        <f t="shared" si="12"/>
        <v>1.01</v>
      </c>
      <c r="D42" s="718" t="s">
        <v>3290</v>
      </c>
      <c r="E42" s="24">
        <f t="shared" si="13"/>
        <v>1</v>
      </c>
      <c r="F42" s="2992" t="s">
        <v>3307</v>
      </c>
      <c r="G42" s="24">
        <f t="shared" si="14"/>
        <v>1</v>
      </c>
      <c r="H42" s="718" t="s">
        <v>3310</v>
      </c>
      <c r="I42" s="24">
        <f t="shared" si="15"/>
        <v>0.97</v>
      </c>
      <c r="J42" s="718"/>
      <c r="K42" s="24">
        <f t="shared" si="16"/>
        <v>1</v>
      </c>
      <c r="L42" s="718"/>
      <c r="M42" s="24">
        <f t="shared" si="17"/>
        <v>1</v>
      </c>
      <c r="N42" s="718"/>
      <c r="O42" s="24">
        <f t="shared" si="18"/>
        <v>1</v>
      </c>
      <c r="P42" s="718">
        <v>-1</v>
      </c>
      <c r="Q42" s="24">
        <f t="shared" si="19"/>
        <v>0.5</v>
      </c>
      <c r="R42" s="714">
        <f t="shared" si="20"/>
        <v>21301</v>
      </c>
      <c r="S42" s="360">
        <f t="shared" si="11"/>
        <v>71</v>
      </c>
    </row>
    <row r="43" spans="1:19">
      <c r="A43" s="158">
        <f>'数据-基础表'!C32</f>
        <v>-108</v>
      </c>
      <c r="B43" s="58">
        <f>'数据-基础表'!K32</f>
        <v>34.979999999999997</v>
      </c>
      <c r="C43" s="24">
        <f t="shared" si="12"/>
        <v>1.01</v>
      </c>
      <c r="D43" s="718" t="s">
        <v>3290</v>
      </c>
      <c r="E43" s="24">
        <f t="shared" si="13"/>
        <v>1</v>
      </c>
      <c r="F43" s="2992" t="s">
        <v>3307</v>
      </c>
      <c r="G43" s="24">
        <f t="shared" si="14"/>
        <v>1</v>
      </c>
      <c r="H43" s="718" t="s">
        <v>3310</v>
      </c>
      <c r="I43" s="24">
        <f t="shared" si="15"/>
        <v>0.97</v>
      </c>
      <c r="J43" s="718"/>
      <c r="K43" s="24">
        <f t="shared" si="16"/>
        <v>1</v>
      </c>
      <c r="L43" s="718"/>
      <c r="M43" s="24">
        <f t="shared" si="17"/>
        <v>1</v>
      </c>
      <c r="N43" s="718"/>
      <c r="O43" s="24">
        <f t="shared" si="18"/>
        <v>1</v>
      </c>
      <c r="P43" s="718">
        <v>-1</v>
      </c>
      <c r="Q43" s="24">
        <f t="shared" si="19"/>
        <v>0.5</v>
      </c>
      <c r="R43" s="714">
        <f t="shared" si="20"/>
        <v>21301</v>
      </c>
      <c r="S43" s="360">
        <f t="shared" si="11"/>
        <v>75</v>
      </c>
    </row>
    <row r="44" spans="1:19">
      <c r="A44" s="158">
        <f>'数据-基础表'!C33</f>
        <v>-109</v>
      </c>
      <c r="B44" s="58">
        <f>'数据-基础表'!K33</f>
        <v>34.979999999999997</v>
      </c>
      <c r="C44" s="24">
        <f t="shared" si="12"/>
        <v>1.01</v>
      </c>
      <c r="D44" s="718" t="s">
        <v>3290</v>
      </c>
      <c r="E44" s="24">
        <f t="shared" si="13"/>
        <v>1</v>
      </c>
      <c r="F44" s="2992" t="s">
        <v>3307</v>
      </c>
      <c r="G44" s="24">
        <f t="shared" si="14"/>
        <v>1</v>
      </c>
      <c r="H44" s="718" t="s">
        <v>3310</v>
      </c>
      <c r="I44" s="24">
        <f t="shared" si="15"/>
        <v>0.97</v>
      </c>
      <c r="J44" s="718"/>
      <c r="K44" s="24">
        <f t="shared" si="16"/>
        <v>1</v>
      </c>
      <c r="L44" s="718"/>
      <c r="M44" s="24">
        <f t="shared" si="17"/>
        <v>1</v>
      </c>
      <c r="N44" s="718"/>
      <c r="O44" s="24">
        <f t="shared" si="18"/>
        <v>1</v>
      </c>
      <c r="P44" s="718">
        <v>-1</v>
      </c>
      <c r="Q44" s="24">
        <f t="shared" si="19"/>
        <v>0.5</v>
      </c>
      <c r="R44" s="714">
        <f t="shared" si="20"/>
        <v>21301</v>
      </c>
      <c r="S44" s="360">
        <f t="shared" si="11"/>
        <v>75</v>
      </c>
    </row>
    <row r="45" spans="1:19">
      <c r="A45" s="158">
        <f>'数据-基础表'!C34</f>
        <v>-110</v>
      </c>
      <c r="B45" s="58">
        <f>'数据-基础表'!K34</f>
        <v>34.979999999999997</v>
      </c>
      <c r="C45" s="24">
        <f t="shared" si="12"/>
        <v>1.01</v>
      </c>
      <c r="D45" s="718" t="s">
        <v>3290</v>
      </c>
      <c r="E45" s="24">
        <f t="shared" si="13"/>
        <v>1</v>
      </c>
      <c r="F45" s="2992" t="s">
        <v>3307</v>
      </c>
      <c r="G45" s="24">
        <f t="shared" si="14"/>
        <v>1</v>
      </c>
      <c r="H45" s="718" t="s">
        <v>3310</v>
      </c>
      <c r="I45" s="24">
        <f t="shared" si="15"/>
        <v>0.97</v>
      </c>
      <c r="J45" s="718"/>
      <c r="K45" s="24">
        <f t="shared" si="16"/>
        <v>1</v>
      </c>
      <c r="L45" s="718"/>
      <c r="M45" s="24">
        <f t="shared" si="17"/>
        <v>1</v>
      </c>
      <c r="N45" s="718"/>
      <c r="O45" s="24">
        <f t="shared" si="18"/>
        <v>1</v>
      </c>
      <c r="P45" s="718">
        <v>-1</v>
      </c>
      <c r="Q45" s="24">
        <f t="shared" si="19"/>
        <v>0.5</v>
      </c>
      <c r="R45" s="714">
        <f t="shared" si="20"/>
        <v>21301</v>
      </c>
      <c r="S45" s="360">
        <f t="shared" si="11"/>
        <v>75</v>
      </c>
    </row>
    <row r="46" spans="1:19">
      <c r="A46" s="158"/>
      <c r="B46" s="58"/>
      <c r="C46" s="24">
        <f t="shared" si="12"/>
        <v>1</v>
      </c>
      <c r="D46" s="718"/>
      <c r="E46" s="24">
        <f t="shared" si="13"/>
        <v>0.06</v>
      </c>
      <c r="F46" s="718"/>
      <c r="G46" s="24">
        <f t="shared" si="14"/>
        <v>0.06</v>
      </c>
      <c r="H46" s="718"/>
      <c r="I46" s="24">
        <f t="shared" si="15"/>
        <v>0</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8"/>
      <c r="C47" s="24">
        <f t="shared" si="12"/>
        <v>1</v>
      </c>
      <c r="D47" s="718"/>
      <c r="E47" s="24">
        <f t="shared" si="13"/>
        <v>0.06</v>
      </c>
      <c r="F47" s="718"/>
      <c r="G47" s="24">
        <f t="shared" si="14"/>
        <v>0.06</v>
      </c>
      <c r="H47" s="718"/>
      <c r="I47" s="24">
        <f t="shared" si="15"/>
        <v>0</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8"/>
      <c r="C48" s="24">
        <f t="shared" si="12"/>
        <v>1</v>
      </c>
      <c r="D48" s="718"/>
      <c r="E48" s="24">
        <f t="shared" si="13"/>
        <v>0.06</v>
      </c>
      <c r="F48" s="718"/>
      <c r="G48" s="24">
        <f t="shared" si="14"/>
        <v>0.06</v>
      </c>
      <c r="H48" s="718"/>
      <c r="I48" s="24">
        <f t="shared" si="15"/>
        <v>0</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8"/>
      <c r="C49" s="24">
        <f t="shared" si="12"/>
        <v>1</v>
      </c>
      <c r="D49" s="718"/>
      <c r="E49" s="24">
        <f t="shared" si="13"/>
        <v>0.06</v>
      </c>
      <c r="F49" s="718"/>
      <c r="G49" s="24">
        <f t="shared" si="14"/>
        <v>0.06</v>
      </c>
      <c r="H49" s="718"/>
      <c r="I49" s="24">
        <f t="shared" si="15"/>
        <v>0</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8"/>
      <c r="C50" s="24">
        <f t="shared" si="12"/>
        <v>1</v>
      </c>
      <c r="D50" s="718"/>
      <c r="E50" s="24">
        <f t="shared" si="13"/>
        <v>0.06</v>
      </c>
      <c r="F50" s="718"/>
      <c r="G50" s="24">
        <f t="shared" si="14"/>
        <v>0.06</v>
      </c>
      <c r="H50" s="718"/>
      <c r="I50" s="24">
        <f t="shared" si="15"/>
        <v>0</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8"/>
      <c r="C51" s="24">
        <f t="shared" si="12"/>
        <v>1</v>
      </c>
      <c r="D51" s="718"/>
      <c r="E51" s="24">
        <f t="shared" si="13"/>
        <v>0.06</v>
      </c>
      <c r="F51" s="718"/>
      <c r="G51" s="24">
        <f t="shared" si="14"/>
        <v>0.06</v>
      </c>
      <c r="H51" s="718"/>
      <c r="I51" s="24">
        <f t="shared" si="15"/>
        <v>0</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8"/>
      <c r="C52" s="24">
        <f t="shared" si="12"/>
        <v>1</v>
      </c>
      <c r="D52" s="718"/>
      <c r="E52" s="24">
        <f t="shared" si="13"/>
        <v>0.06</v>
      </c>
      <c r="F52" s="718"/>
      <c r="G52" s="24">
        <f t="shared" si="14"/>
        <v>0.06</v>
      </c>
      <c r="H52" s="718"/>
      <c r="I52" s="24">
        <f t="shared" si="15"/>
        <v>0</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8"/>
      <c r="C53" s="24">
        <f t="shared" si="12"/>
        <v>1</v>
      </c>
      <c r="D53" s="718"/>
      <c r="E53" s="24">
        <f t="shared" si="13"/>
        <v>0.06</v>
      </c>
      <c r="F53" s="718"/>
      <c r="G53" s="24">
        <f t="shared" si="14"/>
        <v>0.06</v>
      </c>
      <c r="H53" s="718"/>
      <c r="I53" s="24">
        <f t="shared" si="15"/>
        <v>0</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8"/>
      <c r="C54" s="24">
        <f t="shared" si="12"/>
        <v>1</v>
      </c>
      <c r="D54" s="718"/>
      <c r="E54" s="24">
        <f t="shared" si="13"/>
        <v>0.06</v>
      </c>
      <c r="F54" s="718"/>
      <c r="G54" s="24">
        <f t="shared" si="14"/>
        <v>0.06</v>
      </c>
      <c r="H54" s="718"/>
      <c r="I54" s="24">
        <f t="shared" si="15"/>
        <v>0</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8"/>
      <c r="C55" s="24">
        <f t="shared" si="12"/>
        <v>1</v>
      </c>
      <c r="D55" s="718"/>
      <c r="E55" s="24">
        <f t="shared" si="13"/>
        <v>0.06</v>
      </c>
      <c r="F55" s="718"/>
      <c r="G55" s="24">
        <f t="shared" si="14"/>
        <v>0.06</v>
      </c>
      <c r="H55" s="718"/>
      <c r="I55" s="24">
        <f t="shared" si="15"/>
        <v>0</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8"/>
      <c r="C56" s="24">
        <f t="shared" si="12"/>
        <v>1</v>
      </c>
      <c r="D56" s="718"/>
      <c r="E56" s="24">
        <f t="shared" si="13"/>
        <v>0.06</v>
      </c>
      <c r="F56" s="718"/>
      <c r="G56" s="24">
        <f t="shared" si="14"/>
        <v>0.06</v>
      </c>
      <c r="H56" s="718"/>
      <c r="I56" s="24">
        <f t="shared" si="15"/>
        <v>0</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8"/>
      <c r="C57" s="24">
        <f t="shared" si="12"/>
        <v>1</v>
      </c>
      <c r="D57" s="718"/>
      <c r="E57" s="24">
        <f t="shared" si="13"/>
        <v>0.06</v>
      </c>
      <c r="F57" s="718"/>
      <c r="G57" s="24">
        <f t="shared" si="14"/>
        <v>0.06</v>
      </c>
      <c r="H57" s="718"/>
      <c r="I57" s="24">
        <f t="shared" si="15"/>
        <v>0</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8"/>
      <c r="C58" s="24">
        <f t="shared" si="12"/>
        <v>1</v>
      </c>
      <c r="D58" s="718"/>
      <c r="E58" s="24">
        <f t="shared" si="13"/>
        <v>0.06</v>
      </c>
      <c r="F58" s="718"/>
      <c r="G58" s="24">
        <f t="shared" si="14"/>
        <v>0.06</v>
      </c>
      <c r="H58" s="718"/>
      <c r="I58" s="24">
        <f t="shared" si="15"/>
        <v>0</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8"/>
      <c r="C59" s="24">
        <f t="shared" si="12"/>
        <v>1</v>
      </c>
      <c r="D59" s="718"/>
      <c r="E59" s="24">
        <f t="shared" si="13"/>
        <v>0.06</v>
      </c>
      <c r="F59" s="718"/>
      <c r="G59" s="24">
        <f t="shared" si="14"/>
        <v>0.06</v>
      </c>
      <c r="H59" s="718"/>
      <c r="I59" s="24">
        <f t="shared" si="15"/>
        <v>0</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8"/>
      <c r="C60" s="24">
        <f t="shared" si="12"/>
        <v>1</v>
      </c>
      <c r="D60" s="718"/>
      <c r="E60" s="24">
        <f t="shared" si="13"/>
        <v>0.06</v>
      </c>
      <c r="F60" s="718"/>
      <c r="G60" s="24">
        <f t="shared" si="14"/>
        <v>0.06</v>
      </c>
      <c r="H60" s="718"/>
      <c r="I60" s="24">
        <f t="shared" si="15"/>
        <v>0</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8"/>
      <c r="C61" s="24">
        <f t="shared" si="12"/>
        <v>1</v>
      </c>
      <c r="D61" s="718"/>
      <c r="E61" s="24">
        <f t="shared" si="13"/>
        <v>0.06</v>
      </c>
      <c r="F61" s="718"/>
      <c r="G61" s="24">
        <f t="shared" si="14"/>
        <v>0.06</v>
      </c>
      <c r="H61" s="718"/>
      <c r="I61" s="24">
        <f t="shared" si="15"/>
        <v>0</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8"/>
      <c r="C62" s="24">
        <f t="shared" si="12"/>
        <v>1</v>
      </c>
      <c r="D62" s="718"/>
      <c r="E62" s="24">
        <f t="shared" si="13"/>
        <v>0.06</v>
      </c>
      <c r="F62" s="718"/>
      <c r="G62" s="24">
        <f t="shared" si="14"/>
        <v>0.06</v>
      </c>
      <c r="H62" s="718"/>
      <c r="I62" s="24">
        <f t="shared" si="15"/>
        <v>0</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8"/>
      <c r="C63" s="24">
        <f t="shared" si="12"/>
        <v>1</v>
      </c>
      <c r="D63" s="718"/>
      <c r="E63" s="24">
        <f t="shared" si="13"/>
        <v>0.06</v>
      </c>
      <c r="F63" s="718"/>
      <c r="G63" s="24">
        <f t="shared" si="14"/>
        <v>0.06</v>
      </c>
      <c r="H63" s="718"/>
      <c r="I63" s="24">
        <f t="shared" si="15"/>
        <v>0</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8"/>
      <c r="C64" s="24">
        <f t="shared" si="12"/>
        <v>1</v>
      </c>
      <c r="D64" s="718"/>
      <c r="E64" s="24">
        <f t="shared" si="13"/>
        <v>0.06</v>
      </c>
      <c r="F64" s="718"/>
      <c r="G64" s="24">
        <f t="shared" si="14"/>
        <v>0.06</v>
      </c>
      <c r="H64" s="718"/>
      <c r="I64" s="24">
        <f t="shared" si="15"/>
        <v>0</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8"/>
      <c r="C65" s="24">
        <f t="shared" si="12"/>
        <v>1</v>
      </c>
      <c r="D65" s="718"/>
      <c r="E65" s="24">
        <f t="shared" si="13"/>
        <v>0.06</v>
      </c>
      <c r="F65" s="718"/>
      <c r="G65" s="24">
        <f t="shared" si="14"/>
        <v>0.06</v>
      </c>
      <c r="H65" s="718"/>
      <c r="I65" s="24">
        <f t="shared" si="15"/>
        <v>0</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8"/>
      <c r="C66" s="24">
        <f t="shared" si="12"/>
        <v>1</v>
      </c>
      <c r="D66" s="718"/>
      <c r="E66" s="24">
        <f t="shared" si="13"/>
        <v>0.06</v>
      </c>
      <c r="F66" s="718"/>
      <c r="G66" s="24">
        <f t="shared" si="14"/>
        <v>0.06</v>
      </c>
      <c r="H66" s="718"/>
      <c r="I66" s="24">
        <f t="shared" si="15"/>
        <v>0</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8"/>
      <c r="C67" s="24">
        <f t="shared" si="12"/>
        <v>1</v>
      </c>
      <c r="D67" s="718"/>
      <c r="E67" s="24">
        <f t="shared" si="13"/>
        <v>0.06</v>
      </c>
      <c r="F67" s="718"/>
      <c r="G67" s="24">
        <f t="shared" si="14"/>
        <v>0.06</v>
      </c>
      <c r="H67" s="718"/>
      <c r="I67" s="24">
        <f t="shared" si="15"/>
        <v>0</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8"/>
      <c r="C68" s="24">
        <f t="shared" si="12"/>
        <v>1</v>
      </c>
      <c r="D68" s="718"/>
      <c r="E68" s="24">
        <f t="shared" si="13"/>
        <v>0.06</v>
      </c>
      <c r="F68" s="718"/>
      <c r="G68" s="24">
        <f t="shared" si="14"/>
        <v>0.06</v>
      </c>
      <c r="H68" s="718"/>
      <c r="I68" s="24">
        <f t="shared" si="15"/>
        <v>0</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8"/>
      <c r="C69" s="24">
        <f t="shared" si="12"/>
        <v>1</v>
      </c>
      <c r="D69" s="718"/>
      <c r="E69" s="24">
        <f t="shared" si="13"/>
        <v>0.06</v>
      </c>
      <c r="F69" s="718"/>
      <c r="G69" s="24">
        <f t="shared" si="14"/>
        <v>0.06</v>
      </c>
      <c r="H69" s="718"/>
      <c r="I69" s="24">
        <f t="shared" si="15"/>
        <v>0</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8"/>
      <c r="C70" s="24">
        <f t="shared" si="12"/>
        <v>1</v>
      </c>
      <c r="D70" s="718"/>
      <c r="E70" s="24">
        <f t="shared" si="13"/>
        <v>0.06</v>
      </c>
      <c r="F70" s="718"/>
      <c r="G70" s="24">
        <f t="shared" si="14"/>
        <v>0.06</v>
      </c>
      <c r="H70" s="718"/>
      <c r="I70" s="24">
        <f t="shared" si="15"/>
        <v>0</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8"/>
      <c r="C71" s="24">
        <f t="shared" si="12"/>
        <v>1</v>
      </c>
      <c r="D71" s="718"/>
      <c r="E71" s="24">
        <f t="shared" si="13"/>
        <v>0.06</v>
      </c>
      <c r="F71" s="718"/>
      <c r="G71" s="24">
        <f t="shared" si="14"/>
        <v>0.06</v>
      </c>
      <c r="H71" s="718"/>
      <c r="I71" s="24">
        <f t="shared" si="15"/>
        <v>0</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8"/>
      <c r="C72" s="24">
        <f t="shared" si="12"/>
        <v>1</v>
      </c>
      <c r="D72" s="718"/>
      <c r="E72" s="24">
        <f t="shared" si="13"/>
        <v>0.06</v>
      </c>
      <c r="F72" s="718"/>
      <c r="G72" s="24">
        <f t="shared" si="14"/>
        <v>0.06</v>
      </c>
      <c r="H72" s="718"/>
      <c r="I72" s="24">
        <f t="shared" si="15"/>
        <v>0</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8"/>
      <c r="C73" s="24">
        <f t="shared" si="12"/>
        <v>1</v>
      </c>
      <c r="D73" s="718"/>
      <c r="E73" s="24">
        <f t="shared" si="13"/>
        <v>0.06</v>
      </c>
      <c r="F73" s="718"/>
      <c r="G73" s="24">
        <f t="shared" si="14"/>
        <v>0.06</v>
      </c>
      <c r="H73" s="718"/>
      <c r="I73" s="24">
        <f t="shared" si="15"/>
        <v>0</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8"/>
      <c r="C74" s="24">
        <f t="shared" si="12"/>
        <v>1</v>
      </c>
      <c r="D74" s="718"/>
      <c r="E74" s="24">
        <f t="shared" si="13"/>
        <v>0.06</v>
      </c>
      <c r="F74" s="718"/>
      <c r="G74" s="24">
        <f t="shared" si="14"/>
        <v>0.06</v>
      </c>
      <c r="H74" s="718"/>
      <c r="I74" s="24">
        <f t="shared" si="15"/>
        <v>0</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8"/>
      <c r="C75" s="24">
        <f t="shared" si="12"/>
        <v>1</v>
      </c>
      <c r="D75" s="718"/>
      <c r="E75" s="24">
        <f t="shared" si="13"/>
        <v>0.06</v>
      </c>
      <c r="F75" s="718"/>
      <c r="G75" s="24">
        <f t="shared" si="14"/>
        <v>0.06</v>
      </c>
      <c r="H75" s="718"/>
      <c r="I75" s="24">
        <f t="shared" si="15"/>
        <v>0</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8"/>
      <c r="C76" s="24">
        <f t="shared" si="12"/>
        <v>1</v>
      </c>
      <c r="D76" s="718"/>
      <c r="E76" s="24">
        <f t="shared" si="13"/>
        <v>0.06</v>
      </c>
      <c r="F76" s="718"/>
      <c r="G76" s="24">
        <f t="shared" si="14"/>
        <v>0.06</v>
      </c>
      <c r="H76" s="718"/>
      <c r="I76" s="24">
        <f t="shared" si="15"/>
        <v>0</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8"/>
      <c r="C77" s="24">
        <f t="shared" si="12"/>
        <v>1</v>
      </c>
      <c r="D77" s="718"/>
      <c r="E77" s="24">
        <f t="shared" si="13"/>
        <v>0.06</v>
      </c>
      <c r="F77" s="718"/>
      <c r="G77" s="24">
        <f t="shared" si="14"/>
        <v>0.06</v>
      </c>
      <c r="H77" s="718"/>
      <c r="I77" s="24">
        <f t="shared" si="15"/>
        <v>0</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8"/>
      <c r="C78" s="24">
        <f t="shared" si="12"/>
        <v>1</v>
      </c>
      <c r="D78" s="718"/>
      <c r="E78" s="24">
        <f t="shared" si="13"/>
        <v>0.06</v>
      </c>
      <c r="F78" s="718"/>
      <c r="G78" s="24">
        <f t="shared" si="14"/>
        <v>0.06</v>
      </c>
      <c r="H78" s="718"/>
      <c r="I78" s="24">
        <f t="shared" si="15"/>
        <v>0</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8"/>
      <c r="C79" s="24">
        <f t="shared" si="12"/>
        <v>1</v>
      </c>
      <c r="D79" s="718"/>
      <c r="E79" s="24">
        <f t="shared" si="13"/>
        <v>0.06</v>
      </c>
      <c r="F79" s="718"/>
      <c r="G79" s="24">
        <f t="shared" si="14"/>
        <v>0.06</v>
      </c>
      <c r="H79" s="718"/>
      <c r="I79" s="24">
        <f t="shared" si="15"/>
        <v>0</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8"/>
      <c r="C80" s="24">
        <f t="shared" si="12"/>
        <v>1</v>
      </c>
      <c r="D80" s="718"/>
      <c r="E80" s="24">
        <f t="shared" si="13"/>
        <v>0.06</v>
      </c>
      <c r="F80" s="718"/>
      <c r="G80" s="24">
        <f t="shared" si="14"/>
        <v>0.06</v>
      </c>
      <c r="H80" s="718"/>
      <c r="I80" s="24">
        <f t="shared" si="15"/>
        <v>0</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8"/>
      <c r="C81" s="24">
        <f t="shared" si="12"/>
        <v>1</v>
      </c>
      <c r="D81" s="718"/>
      <c r="E81" s="24">
        <f t="shared" si="13"/>
        <v>0.06</v>
      </c>
      <c r="F81" s="718"/>
      <c r="G81" s="24">
        <f t="shared" si="14"/>
        <v>0.06</v>
      </c>
      <c r="H81" s="718"/>
      <c r="I81" s="24">
        <f t="shared" si="15"/>
        <v>0</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8"/>
      <c r="C82" s="24">
        <f t="shared" si="12"/>
        <v>1</v>
      </c>
      <c r="D82" s="718"/>
      <c r="E82" s="24">
        <f t="shared" si="13"/>
        <v>0.06</v>
      </c>
      <c r="F82" s="718"/>
      <c r="G82" s="24">
        <f t="shared" si="14"/>
        <v>0.06</v>
      </c>
      <c r="H82" s="718"/>
      <c r="I82" s="24">
        <f t="shared" si="15"/>
        <v>0</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8"/>
      <c r="C83" s="24">
        <f t="shared" si="12"/>
        <v>1</v>
      </c>
      <c r="D83" s="718"/>
      <c r="E83" s="24">
        <f t="shared" si="13"/>
        <v>0.06</v>
      </c>
      <c r="F83" s="718"/>
      <c r="G83" s="24">
        <f t="shared" si="14"/>
        <v>0.06</v>
      </c>
      <c r="H83" s="718"/>
      <c r="I83" s="24">
        <f t="shared" si="15"/>
        <v>0</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8"/>
      <c r="C84" s="24">
        <f t="shared" si="12"/>
        <v>1</v>
      </c>
      <c r="D84" s="718"/>
      <c r="E84" s="24">
        <f t="shared" si="13"/>
        <v>0.06</v>
      </c>
      <c r="F84" s="718"/>
      <c r="G84" s="24">
        <f t="shared" si="14"/>
        <v>0.06</v>
      </c>
      <c r="H84" s="718"/>
      <c r="I84" s="24">
        <f t="shared" si="15"/>
        <v>0</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8"/>
      <c r="C85" s="24">
        <f t="shared" si="12"/>
        <v>1</v>
      </c>
      <c r="D85" s="718"/>
      <c r="E85" s="24">
        <f t="shared" si="13"/>
        <v>0.06</v>
      </c>
      <c r="F85" s="718"/>
      <c r="G85" s="24">
        <f t="shared" si="14"/>
        <v>0.06</v>
      </c>
      <c r="H85" s="718"/>
      <c r="I85" s="24">
        <f t="shared" si="15"/>
        <v>0</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8"/>
      <c r="C86" s="24">
        <f t="shared" si="12"/>
        <v>1</v>
      </c>
      <c r="D86" s="718"/>
      <c r="E86" s="24">
        <f t="shared" si="13"/>
        <v>0.06</v>
      </c>
      <c r="F86" s="718"/>
      <c r="G86" s="24">
        <f t="shared" si="14"/>
        <v>0.06</v>
      </c>
      <c r="H86" s="718"/>
      <c r="I86" s="24">
        <f t="shared" si="15"/>
        <v>0</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8"/>
      <c r="C87" s="24">
        <f t="shared" si="12"/>
        <v>1</v>
      </c>
      <c r="D87" s="718"/>
      <c r="E87" s="24">
        <f t="shared" si="13"/>
        <v>0.06</v>
      </c>
      <c r="F87" s="718"/>
      <c r="G87" s="24">
        <f t="shared" si="14"/>
        <v>0.06</v>
      </c>
      <c r="H87" s="718"/>
      <c r="I87" s="24">
        <f t="shared" si="15"/>
        <v>0</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8"/>
      <c r="C88" s="24">
        <f t="shared" si="12"/>
        <v>1</v>
      </c>
      <c r="D88" s="718"/>
      <c r="E88" s="24">
        <f t="shared" si="13"/>
        <v>0.06</v>
      </c>
      <c r="F88" s="718"/>
      <c r="G88" s="24">
        <f t="shared" si="14"/>
        <v>0.06</v>
      </c>
      <c r="H88" s="718"/>
      <c r="I88" s="24">
        <f t="shared" si="15"/>
        <v>0</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8"/>
      <c r="C89" s="24">
        <f t="shared" si="12"/>
        <v>1</v>
      </c>
      <c r="D89" s="718"/>
      <c r="E89" s="24">
        <f t="shared" si="13"/>
        <v>0.06</v>
      </c>
      <c r="F89" s="718"/>
      <c r="G89" s="24">
        <f t="shared" si="14"/>
        <v>0.06</v>
      </c>
      <c r="H89" s="718"/>
      <c r="I89" s="24">
        <f t="shared" si="15"/>
        <v>0</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8"/>
      <c r="C90" s="24">
        <f t="shared" ref="C90:C153" si="23">IF(B90="",1,(LOOKUP(B90,$3:$3,$4:$4)-LOOKUP($B$24,$3:$3,$4:$4)+100)/100)</f>
        <v>1</v>
      </c>
      <c r="D90" s="718"/>
      <c r="E90" s="24">
        <f t="shared" ref="E90:E153" si="24">(SUMIF($5:$5,D90,$6:$6)-SUMIF($5:$5,$D$24,$6:$6)+100)/100</f>
        <v>0.06</v>
      </c>
      <c r="F90" s="718"/>
      <c r="G90" s="24">
        <f t="shared" ref="G90:G153" si="25">(SUMIF($7:$7,F90,$8:$8)-SUMIF($7:$7,$F$24,$8:$8)+100)/100</f>
        <v>0.06</v>
      </c>
      <c r="H90" s="718"/>
      <c r="I90" s="24">
        <f t="shared" ref="I90:I153" si="26">(SUMIF($9:$9,H90,$10:$10)-SUMIF($9:$9,$H$24,$10:$10)+100)/100</f>
        <v>0</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8"/>
      <c r="C91" s="24">
        <f t="shared" si="23"/>
        <v>1</v>
      </c>
      <c r="D91" s="718"/>
      <c r="E91" s="24">
        <f t="shared" si="24"/>
        <v>0.06</v>
      </c>
      <c r="F91" s="718"/>
      <c r="G91" s="24">
        <f t="shared" si="25"/>
        <v>0.06</v>
      </c>
      <c r="H91" s="718"/>
      <c r="I91" s="24">
        <f t="shared" si="26"/>
        <v>0</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8"/>
      <c r="C92" s="24">
        <f t="shared" si="23"/>
        <v>1</v>
      </c>
      <c r="D92" s="718"/>
      <c r="E92" s="24">
        <f t="shared" si="24"/>
        <v>0.06</v>
      </c>
      <c r="F92" s="718"/>
      <c r="G92" s="24">
        <f t="shared" si="25"/>
        <v>0.06</v>
      </c>
      <c r="H92" s="718"/>
      <c r="I92" s="24">
        <f t="shared" si="26"/>
        <v>0</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8"/>
      <c r="C93" s="24">
        <f t="shared" si="23"/>
        <v>1</v>
      </c>
      <c r="D93" s="718"/>
      <c r="E93" s="24">
        <f t="shared" si="24"/>
        <v>0.06</v>
      </c>
      <c r="F93" s="718"/>
      <c r="G93" s="24">
        <f t="shared" si="25"/>
        <v>0.06</v>
      </c>
      <c r="H93" s="718"/>
      <c r="I93" s="24">
        <f t="shared" si="26"/>
        <v>0</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8"/>
      <c r="C94" s="24">
        <f t="shared" si="23"/>
        <v>1</v>
      </c>
      <c r="D94" s="718"/>
      <c r="E94" s="24">
        <f t="shared" si="24"/>
        <v>0.06</v>
      </c>
      <c r="F94" s="718"/>
      <c r="G94" s="24">
        <f t="shared" si="25"/>
        <v>0.06</v>
      </c>
      <c r="H94" s="718"/>
      <c r="I94" s="24">
        <f t="shared" si="26"/>
        <v>0</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8"/>
      <c r="C95" s="24">
        <f t="shared" si="23"/>
        <v>1</v>
      </c>
      <c r="D95" s="718"/>
      <c r="E95" s="24">
        <f t="shared" si="24"/>
        <v>0.06</v>
      </c>
      <c r="F95" s="718"/>
      <c r="G95" s="24">
        <f t="shared" si="25"/>
        <v>0.06</v>
      </c>
      <c r="H95" s="718"/>
      <c r="I95" s="24">
        <f t="shared" si="26"/>
        <v>0</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8"/>
      <c r="C96" s="24">
        <f t="shared" si="23"/>
        <v>1</v>
      </c>
      <c r="D96" s="718"/>
      <c r="E96" s="24">
        <f t="shared" si="24"/>
        <v>0.06</v>
      </c>
      <c r="F96" s="718"/>
      <c r="G96" s="24">
        <f t="shared" si="25"/>
        <v>0.06</v>
      </c>
      <c r="H96" s="718"/>
      <c r="I96" s="24">
        <f t="shared" si="26"/>
        <v>0</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8"/>
      <c r="C97" s="24">
        <f t="shared" si="23"/>
        <v>1</v>
      </c>
      <c r="D97" s="718"/>
      <c r="E97" s="24">
        <f t="shared" si="24"/>
        <v>0.06</v>
      </c>
      <c r="F97" s="718"/>
      <c r="G97" s="24">
        <f t="shared" si="25"/>
        <v>0.06</v>
      </c>
      <c r="H97" s="718"/>
      <c r="I97" s="24">
        <f t="shared" si="26"/>
        <v>0</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8"/>
      <c r="C98" s="24">
        <f t="shared" si="23"/>
        <v>1</v>
      </c>
      <c r="D98" s="718"/>
      <c r="E98" s="24">
        <f t="shared" si="24"/>
        <v>0.06</v>
      </c>
      <c r="F98" s="718"/>
      <c r="G98" s="24">
        <f t="shared" si="25"/>
        <v>0.06</v>
      </c>
      <c r="H98" s="718"/>
      <c r="I98" s="24">
        <f t="shared" si="26"/>
        <v>0</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8"/>
      <c r="C99" s="24">
        <f t="shared" si="23"/>
        <v>1</v>
      </c>
      <c r="D99" s="718"/>
      <c r="E99" s="24">
        <f t="shared" si="24"/>
        <v>0.06</v>
      </c>
      <c r="F99" s="718"/>
      <c r="G99" s="24">
        <f t="shared" si="25"/>
        <v>0.06</v>
      </c>
      <c r="H99" s="718"/>
      <c r="I99" s="24">
        <f t="shared" si="26"/>
        <v>0</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8"/>
      <c r="C100" s="24">
        <f t="shared" si="23"/>
        <v>1</v>
      </c>
      <c r="D100" s="718"/>
      <c r="E100" s="24">
        <f t="shared" si="24"/>
        <v>0.06</v>
      </c>
      <c r="F100" s="718"/>
      <c r="G100" s="24">
        <f t="shared" si="25"/>
        <v>0.06</v>
      </c>
      <c r="H100" s="718"/>
      <c r="I100" s="24">
        <f t="shared" si="26"/>
        <v>0</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8"/>
      <c r="C101" s="24">
        <f t="shared" si="23"/>
        <v>1</v>
      </c>
      <c r="D101" s="718"/>
      <c r="E101" s="24">
        <f t="shared" si="24"/>
        <v>0.06</v>
      </c>
      <c r="F101" s="718"/>
      <c r="G101" s="24">
        <f t="shared" si="25"/>
        <v>0.06</v>
      </c>
      <c r="H101" s="718"/>
      <c r="I101" s="24">
        <f t="shared" si="26"/>
        <v>0</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8"/>
      <c r="C102" s="24">
        <f t="shared" si="23"/>
        <v>1</v>
      </c>
      <c r="D102" s="718"/>
      <c r="E102" s="24">
        <f t="shared" si="24"/>
        <v>0.06</v>
      </c>
      <c r="F102" s="718"/>
      <c r="G102" s="24">
        <f t="shared" si="25"/>
        <v>0.06</v>
      </c>
      <c r="H102" s="718"/>
      <c r="I102" s="24">
        <f t="shared" si="26"/>
        <v>0</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8"/>
      <c r="C103" s="24">
        <f t="shared" si="23"/>
        <v>1</v>
      </c>
      <c r="D103" s="718"/>
      <c r="E103" s="24">
        <f t="shared" si="24"/>
        <v>0.06</v>
      </c>
      <c r="F103" s="718"/>
      <c r="G103" s="24">
        <f t="shared" si="25"/>
        <v>0.06</v>
      </c>
      <c r="H103" s="718"/>
      <c r="I103" s="24">
        <f t="shared" si="26"/>
        <v>0</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8"/>
      <c r="C104" s="24">
        <f t="shared" si="23"/>
        <v>1</v>
      </c>
      <c r="D104" s="718"/>
      <c r="E104" s="24">
        <f t="shared" si="24"/>
        <v>0.06</v>
      </c>
      <c r="F104" s="718"/>
      <c r="G104" s="24">
        <f t="shared" si="25"/>
        <v>0.06</v>
      </c>
      <c r="H104" s="718"/>
      <c r="I104" s="24">
        <f t="shared" si="26"/>
        <v>0</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8"/>
      <c r="C105" s="24">
        <f t="shared" si="23"/>
        <v>1</v>
      </c>
      <c r="D105" s="718"/>
      <c r="E105" s="24">
        <f t="shared" si="24"/>
        <v>0.06</v>
      </c>
      <c r="F105" s="718"/>
      <c r="G105" s="24">
        <f t="shared" si="25"/>
        <v>0.06</v>
      </c>
      <c r="H105" s="718"/>
      <c r="I105" s="24">
        <f t="shared" si="26"/>
        <v>0</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8"/>
      <c r="C106" s="24">
        <f t="shared" si="23"/>
        <v>1</v>
      </c>
      <c r="D106" s="718"/>
      <c r="E106" s="24">
        <f t="shared" si="24"/>
        <v>0.06</v>
      </c>
      <c r="F106" s="718"/>
      <c r="G106" s="24">
        <f t="shared" si="25"/>
        <v>0.06</v>
      </c>
      <c r="H106" s="718"/>
      <c r="I106" s="24">
        <f t="shared" si="26"/>
        <v>0</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8"/>
      <c r="C107" s="24">
        <f t="shared" si="23"/>
        <v>1</v>
      </c>
      <c r="D107" s="718"/>
      <c r="E107" s="24">
        <f t="shared" si="24"/>
        <v>0.06</v>
      </c>
      <c r="F107" s="718"/>
      <c r="G107" s="24">
        <f t="shared" si="25"/>
        <v>0.06</v>
      </c>
      <c r="H107" s="718"/>
      <c r="I107" s="24">
        <f t="shared" si="26"/>
        <v>0</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8"/>
      <c r="C108" s="24">
        <f t="shared" si="23"/>
        <v>1</v>
      </c>
      <c r="D108" s="718"/>
      <c r="E108" s="24">
        <f t="shared" si="24"/>
        <v>0.06</v>
      </c>
      <c r="F108" s="718"/>
      <c r="G108" s="24">
        <f t="shared" si="25"/>
        <v>0.06</v>
      </c>
      <c r="H108" s="718"/>
      <c r="I108" s="24">
        <f t="shared" si="26"/>
        <v>0</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8"/>
      <c r="C109" s="24">
        <f t="shared" si="23"/>
        <v>1</v>
      </c>
      <c r="D109" s="718"/>
      <c r="E109" s="24">
        <f t="shared" si="24"/>
        <v>0.06</v>
      </c>
      <c r="F109" s="718"/>
      <c r="G109" s="24">
        <f t="shared" si="25"/>
        <v>0.06</v>
      </c>
      <c r="H109" s="718"/>
      <c r="I109" s="24">
        <f t="shared" si="26"/>
        <v>0</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8"/>
      <c r="C110" s="24">
        <f t="shared" si="23"/>
        <v>1</v>
      </c>
      <c r="D110" s="718"/>
      <c r="E110" s="24">
        <f t="shared" si="24"/>
        <v>0.06</v>
      </c>
      <c r="F110" s="718"/>
      <c r="G110" s="24">
        <f t="shared" si="25"/>
        <v>0.06</v>
      </c>
      <c r="H110" s="718"/>
      <c r="I110" s="24">
        <f t="shared" si="26"/>
        <v>0</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8"/>
      <c r="C111" s="24">
        <f t="shared" si="23"/>
        <v>1</v>
      </c>
      <c r="D111" s="718"/>
      <c r="E111" s="24">
        <f t="shared" si="24"/>
        <v>0.06</v>
      </c>
      <c r="F111" s="718"/>
      <c r="G111" s="24">
        <f t="shared" si="25"/>
        <v>0.06</v>
      </c>
      <c r="H111" s="718"/>
      <c r="I111" s="24">
        <f t="shared" si="26"/>
        <v>0</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8"/>
      <c r="C112" s="24">
        <f t="shared" si="23"/>
        <v>1</v>
      </c>
      <c r="D112" s="718"/>
      <c r="E112" s="24">
        <f t="shared" si="24"/>
        <v>0.06</v>
      </c>
      <c r="F112" s="718"/>
      <c r="G112" s="24">
        <f t="shared" si="25"/>
        <v>0.06</v>
      </c>
      <c r="H112" s="718"/>
      <c r="I112" s="24">
        <f t="shared" si="26"/>
        <v>0</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8"/>
      <c r="C113" s="24">
        <f t="shared" si="23"/>
        <v>1</v>
      </c>
      <c r="D113" s="718"/>
      <c r="E113" s="24">
        <f t="shared" si="24"/>
        <v>0.06</v>
      </c>
      <c r="F113" s="718"/>
      <c r="G113" s="24">
        <f t="shared" si="25"/>
        <v>0.06</v>
      </c>
      <c r="H113" s="718"/>
      <c r="I113" s="24">
        <f t="shared" si="26"/>
        <v>0</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8"/>
      <c r="C114" s="24">
        <f t="shared" si="23"/>
        <v>1</v>
      </c>
      <c r="D114" s="718"/>
      <c r="E114" s="24">
        <f t="shared" si="24"/>
        <v>0.06</v>
      </c>
      <c r="F114" s="718"/>
      <c r="G114" s="24">
        <f t="shared" si="25"/>
        <v>0.06</v>
      </c>
      <c r="H114" s="718"/>
      <c r="I114" s="24">
        <f t="shared" si="26"/>
        <v>0</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8"/>
      <c r="C115" s="24">
        <f t="shared" si="23"/>
        <v>1</v>
      </c>
      <c r="D115" s="718"/>
      <c r="E115" s="24">
        <f t="shared" si="24"/>
        <v>0.06</v>
      </c>
      <c r="F115" s="718"/>
      <c r="G115" s="24">
        <f t="shared" si="25"/>
        <v>0.06</v>
      </c>
      <c r="H115" s="718"/>
      <c r="I115" s="24">
        <f t="shared" si="26"/>
        <v>0</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8"/>
      <c r="C116" s="24">
        <f t="shared" si="23"/>
        <v>1</v>
      </c>
      <c r="D116" s="718"/>
      <c r="E116" s="24">
        <f t="shared" si="24"/>
        <v>0.06</v>
      </c>
      <c r="F116" s="718"/>
      <c r="G116" s="24">
        <f t="shared" si="25"/>
        <v>0.06</v>
      </c>
      <c r="H116" s="718"/>
      <c r="I116" s="24">
        <f t="shared" si="26"/>
        <v>0</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8"/>
      <c r="C117" s="24">
        <f t="shared" si="23"/>
        <v>1</v>
      </c>
      <c r="D117" s="718"/>
      <c r="E117" s="24">
        <f t="shared" si="24"/>
        <v>0.06</v>
      </c>
      <c r="F117" s="718"/>
      <c r="G117" s="24">
        <f t="shared" si="25"/>
        <v>0.06</v>
      </c>
      <c r="H117" s="718"/>
      <c r="I117" s="24">
        <f t="shared" si="26"/>
        <v>0</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8"/>
      <c r="C118" s="24">
        <f t="shared" si="23"/>
        <v>1</v>
      </c>
      <c r="D118" s="718"/>
      <c r="E118" s="24">
        <f t="shared" si="24"/>
        <v>0.06</v>
      </c>
      <c r="F118" s="718"/>
      <c r="G118" s="24">
        <f t="shared" si="25"/>
        <v>0.06</v>
      </c>
      <c r="H118" s="718"/>
      <c r="I118" s="24">
        <f t="shared" si="26"/>
        <v>0</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8"/>
      <c r="C119" s="24">
        <f t="shared" si="23"/>
        <v>1</v>
      </c>
      <c r="D119" s="718"/>
      <c r="E119" s="24">
        <f t="shared" si="24"/>
        <v>0.06</v>
      </c>
      <c r="F119" s="718"/>
      <c r="G119" s="24">
        <f t="shared" si="25"/>
        <v>0.06</v>
      </c>
      <c r="H119" s="718"/>
      <c r="I119" s="24">
        <f t="shared" si="26"/>
        <v>0</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8"/>
      <c r="C120" s="24">
        <f t="shared" si="23"/>
        <v>1</v>
      </c>
      <c r="D120" s="718"/>
      <c r="E120" s="24">
        <f t="shared" si="24"/>
        <v>0.06</v>
      </c>
      <c r="F120" s="718"/>
      <c r="G120" s="24">
        <f t="shared" si="25"/>
        <v>0.06</v>
      </c>
      <c r="H120" s="718"/>
      <c r="I120" s="24">
        <f t="shared" si="26"/>
        <v>0</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8"/>
      <c r="C121" s="24">
        <f t="shared" si="23"/>
        <v>1</v>
      </c>
      <c r="D121" s="718"/>
      <c r="E121" s="24">
        <f t="shared" si="24"/>
        <v>0.06</v>
      </c>
      <c r="F121" s="718"/>
      <c r="G121" s="24">
        <f t="shared" si="25"/>
        <v>0.06</v>
      </c>
      <c r="H121" s="718"/>
      <c r="I121" s="24">
        <f t="shared" si="26"/>
        <v>0</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8"/>
      <c r="C122" s="24">
        <f t="shared" si="23"/>
        <v>1</v>
      </c>
      <c r="D122" s="718"/>
      <c r="E122" s="24">
        <f t="shared" si="24"/>
        <v>0.06</v>
      </c>
      <c r="F122" s="718"/>
      <c r="G122" s="24">
        <f t="shared" si="25"/>
        <v>0.06</v>
      </c>
      <c r="H122" s="718"/>
      <c r="I122" s="24">
        <f t="shared" si="26"/>
        <v>0</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8"/>
      <c r="C123" s="24">
        <f t="shared" si="23"/>
        <v>1</v>
      </c>
      <c r="D123" s="718"/>
      <c r="E123" s="24">
        <f t="shared" si="24"/>
        <v>0.06</v>
      </c>
      <c r="F123" s="718"/>
      <c r="G123" s="24">
        <f t="shared" si="25"/>
        <v>0.06</v>
      </c>
      <c r="H123" s="718"/>
      <c r="I123" s="24">
        <f t="shared" si="26"/>
        <v>0</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8"/>
      <c r="C124" s="24">
        <f t="shared" si="23"/>
        <v>1</v>
      </c>
      <c r="D124" s="718"/>
      <c r="E124" s="24">
        <f t="shared" si="24"/>
        <v>0.06</v>
      </c>
      <c r="F124" s="718"/>
      <c r="G124" s="24">
        <f t="shared" si="25"/>
        <v>0.06</v>
      </c>
      <c r="H124" s="718"/>
      <c r="I124" s="24">
        <f t="shared" si="26"/>
        <v>0</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8"/>
      <c r="C125" s="24">
        <f t="shared" si="23"/>
        <v>1</v>
      </c>
      <c r="D125" s="718"/>
      <c r="E125" s="24">
        <f t="shared" si="24"/>
        <v>0.06</v>
      </c>
      <c r="F125" s="718"/>
      <c r="G125" s="24">
        <f t="shared" si="25"/>
        <v>0.06</v>
      </c>
      <c r="H125" s="718"/>
      <c r="I125" s="24">
        <f t="shared" si="26"/>
        <v>0</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8"/>
      <c r="C126" s="24">
        <f t="shared" si="23"/>
        <v>1</v>
      </c>
      <c r="D126" s="718"/>
      <c r="E126" s="24">
        <f t="shared" si="24"/>
        <v>0.06</v>
      </c>
      <c r="F126" s="718"/>
      <c r="G126" s="24">
        <f t="shared" si="25"/>
        <v>0.06</v>
      </c>
      <c r="H126" s="718"/>
      <c r="I126" s="24">
        <f t="shared" si="26"/>
        <v>0</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8"/>
      <c r="C127" s="24">
        <f t="shared" si="23"/>
        <v>1</v>
      </c>
      <c r="D127" s="718"/>
      <c r="E127" s="24">
        <f t="shared" si="24"/>
        <v>0.06</v>
      </c>
      <c r="F127" s="718"/>
      <c r="G127" s="24">
        <f t="shared" si="25"/>
        <v>0.06</v>
      </c>
      <c r="H127" s="718"/>
      <c r="I127" s="24">
        <f t="shared" si="26"/>
        <v>0</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8"/>
      <c r="C128" s="24">
        <f t="shared" si="23"/>
        <v>1</v>
      </c>
      <c r="D128" s="718"/>
      <c r="E128" s="24">
        <f t="shared" si="24"/>
        <v>0.06</v>
      </c>
      <c r="F128" s="718"/>
      <c r="G128" s="24">
        <f t="shared" si="25"/>
        <v>0.06</v>
      </c>
      <c r="H128" s="718"/>
      <c r="I128" s="24">
        <f t="shared" si="26"/>
        <v>0</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8"/>
      <c r="C129" s="24">
        <f t="shared" si="23"/>
        <v>1</v>
      </c>
      <c r="D129" s="718"/>
      <c r="E129" s="24">
        <f t="shared" si="24"/>
        <v>0.06</v>
      </c>
      <c r="F129" s="718"/>
      <c r="G129" s="24">
        <f t="shared" si="25"/>
        <v>0.06</v>
      </c>
      <c r="H129" s="718"/>
      <c r="I129" s="24">
        <f t="shared" si="26"/>
        <v>0</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8"/>
      <c r="C130" s="24">
        <f t="shared" si="23"/>
        <v>1</v>
      </c>
      <c r="D130" s="718"/>
      <c r="E130" s="24">
        <f t="shared" si="24"/>
        <v>0.06</v>
      </c>
      <c r="F130" s="718"/>
      <c r="G130" s="24">
        <f t="shared" si="25"/>
        <v>0.06</v>
      </c>
      <c r="H130" s="718"/>
      <c r="I130" s="24">
        <f t="shared" si="26"/>
        <v>0</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8"/>
      <c r="C131" s="24">
        <f t="shared" si="23"/>
        <v>1</v>
      </c>
      <c r="D131" s="718"/>
      <c r="E131" s="24">
        <f t="shared" si="24"/>
        <v>0.06</v>
      </c>
      <c r="F131" s="718"/>
      <c r="G131" s="24">
        <f t="shared" si="25"/>
        <v>0.06</v>
      </c>
      <c r="H131" s="718"/>
      <c r="I131" s="24">
        <f t="shared" si="26"/>
        <v>0</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8"/>
      <c r="C132" s="24">
        <f t="shared" si="23"/>
        <v>1</v>
      </c>
      <c r="D132" s="718"/>
      <c r="E132" s="24">
        <f t="shared" si="24"/>
        <v>0.06</v>
      </c>
      <c r="F132" s="718"/>
      <c r="G132" s="24">
        <f t="shared" si="25"/>
        <v>0.06</v>
      </c>
      <c r="H132" s="718"/>
      <c r="I132" s="24">
        <f t="shared" si="26"/>
        <v>0</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8"/>
      <c r="C133" s="24">
        <f t="shared" si="23"/>
        <v>1</v>
      </c>
      <c r="D133" s="718"/>
      <c r="E133" s="24">
        <f t="shared" si="24"/>
        <v>0.06</v>
      </c>
      <c r="F133" s="718"/>
      <c r="G133" s="24">
        <f t="shared" si="25"/>
        <v>0.06</v>
      </c>
      <c r="H133" s="718"/>
      <c r="I133" s="24">
        <f t="shared" si="26"/>
        <v>0</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8"/>
      <c r="C134" s="24">
        <f t="shared" si="23"/>
        <v>1</v>
      </c>
      <c r="D134" s="718"/>
      <c r="E134" s="24">
        <f t="shared" si="24"/>
        <v>0.06</v>
      </c>
      <c r="F134" s="718"/>
      <c r="G134" s="24">
        <f t="shared" si="25"/>
        <v>0.06</v>
      </c>
      <c r="H134" s="718"/>
      <c r="I134" s="24">
        <f t="shared" si="26"/>
        <v>0</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8"/>
      <c r="C135" s="24">
        <f t="shared" si="23"/>
        <v>1</v>
      </c>
      <c r="D135" s="718"/>
      <c r="E135" s="24">
        <f t="shared" si="24"/>
        <v>0.06</v>
      </c>
      <c r="F135" s="718"/>
      <c r="G135" s="24">
        <f t="shared" si="25"/>
        <v>0.06</v>
      </c>
      <c r="H135" s="718"/>
      <c r="I135" s="24">
        <f t="shared" si="26"/>
        <v>0</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8"/>
      <c r="C136" s="24">
        <f t="shared" si="23"/>
        <v>1</v>
      </c>
      <c r="D136" s="718"/>
      <c r="E136" s="24">
        <f t="shared" si="24"/>
        <v>0.06</v>
      </c>
      <c r="F136" s="718"/>
      <c r="G136" s="24">
        <f t="shared" si="25"/>
        <v>0.06</v>
      </c>
      <c r="H136" s="718"/>
      <c r="I136" s="24">
        <f t="shared" si="26"/>
        <v>0</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8"/>
      <c r="C137" s="24">
        <f t="shared" si="23"/>
        <v>1</v>
      </c>
      <c r="D137" s="718"/>
      <c r="E137" s="24">
        <f t="shared" si="24"/>
        <v>0.06</v>
      </c>
      <c r="F137" s="718"/>
      <c r="G137" s="24">
        <f t="shared" si="25"/>
        <v>0.06</v>
      </c>
      <c r="H137" s="718"/>
      <c r="I137" s="24">
        <f t="shared" si="26"/>
        <v>0</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8"/>
      <c r="C138" s="24">
        <f t="shared" si="23"/>
        <v>1</v>
      </c>
      <c r="D138" s="718"/>
      <c r="E138" s="24">
        <f t="shared" si="24"/>
        <v>0.06</v>
      </c>
      <c r="F138" s="718"/>
      <c r="G138" s="24">
        <f t="shared" si="25"/>
        <v>0.06</v>
      </c>
      <c r="H138" s="718"/>
      <c r="I138" s="24">
        <f t="shared" si="26"/>
        <v>0</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8"/>
      <c r="C139" s="24">
        <f t="shared" si="23"/>
        <v>1</v>
      </c>
      <c r="D139" s="718"/>
      <c r="E139" s="24">
        <f t="shared" si="24"/>
        <v>0.06</v>
      </c>
      <c r="F139" s="718"/>
      <c r="G139" s="24">
        <f t="shared" si="25"/>
        <v>0.06</v>
      </c>
      <c r="H139" s="718"/>
      <c r="I139" s="24">
        <f t="shared" si="26"/>
        <v>0</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8"/>
      <c r="C140" s="24">
        <f t="shared" si="23"/>
        <v>1</v>
      </c>
      <c r="D140" s="718"/>
      <c r="E140" s="24">
        <f t="shared" si="24"/>
        <v>0.06</v>
      </c>
      <c r="F140" s="718"/>
      <c r="G140" s="24">
        <f t="shared" si="25"/>
        <v>0.06</v>
      </c>
      <c r="H140" s="718"/>
      <c r="I140" s="24">
        <f t="shared" si="26"/>
        <v>0</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8"/>
      <c r="C141" s="24">
        <f t="shared" si="23"/>
        <v>1</v>
      </c>
      <c r="D141" s="718"/>
      <c r="E141" s="24">
        <f t="shared" si="24"/>
        <v>0.06</v>
      </c>
      <c r="F141" s="718"/>
      <c r="G141" s="24">
        <f t="shared" si="25"/>
        <v>0.06</v>
      </c>
      <c r="H141" s="718"/>
      <c r="I141" s="24">
        <f t="shared" si="26"/>
        <v>0</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8"/>
      <c r="C142" s="24">
        <f t="shared" si="23"/>
        <v>1</v>
      </c>
      <c r="D142" s="718"/>
      <c r="E142" s="24">
        <f t="shared" si="24"/>
        <v>0.06</v>
      </c>
      <c r="F142" s="718"/>
      <c r="G142" s="24">
        <f t="shared" si="25"/>
        <v>0.06</v>
      </c>
      <c r="H142" s="718"/>
      <c r="I142" s="24">
        <f t="shared" si="26"/>
        <v>0</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8"/>
      <c r="C143" s="24">
        <f t="shared" si="23"/>
        <v>1</v>
      </c>
      <c r="D143" s="718"/>
      <c r="E143" s="24">
        <f t="shared" si="24"/>
        <v>0.06</v>
      </c>
      <c r="F143" s="718"/>
      <c r="G143" s="24">
        <f t="shared" si="25"/>
        <v>0.06</v>
      </c>
      <c r="H143" s="718"/>
      <c r="I143" s="24">
        <f t="shared" si="26"/>
        <v>0</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8"/>
      <c r="C144" s="24">
        <f t="shared" si="23"/>
        <v>1</v>
      </c>
      <c r="D144" s="718"/>
      <c r="E144" s="24">
        <f t="shared" si="24"/>
        <v>0.06</v>
      </c>
      <c r="F144" s="718"/>
      <c r="G144" s="24">
        <f t="shared" si="25"/>
        <v>0.06</v>
      </c>
      <c r="H144" s="718"/>
      <c r="I144" s="24">
        <f t="shared" si="26"/>
        <v>0</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8"/>
      <c r="C145" s="24">
        <f t="shared" si="23"/>
        <v>1</v>
      </c>
      <c r="D145" s="718"/>
      <c r="E145" s="24">
        <f t="shared" si="24"/>
        <v>0.06</v>
      </c>
      <c r="F145" s="718"/>
      <c r="G145" s="24">
        <f t="shared" si="25"/>
        <v>0.06</v>
      </c>
      <c r="H145" s="718"/>
      <c r="I145" s="24">
        <f t="shared" si="26"/>
        <v>0</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8"/>
      <c r="C146" s="24">
        <f t="shared" si="23"/>
        <v>1</v>
      </c>
      <c r="D146" s="718"/>
      <c r="E146" s="24">
        <f t="shared" si="24"/>
        <v>0.06</v>
      </c>
      <c r="F146" s="718"/>
      <c r="G146" s="24">
        <f t="shared" si="25"/>
        <v>0.06</v>
      </c>
      <c r="H146" s="718"/>
      <c r="I146" s="24">
        <f t="shared" si="26"/>
        <v>0</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8"/>
      <c r="C147" s="24">
        <f t="shared" si="23"/>
        <v>1</v>
      </c>
      <c r="D147" s="718"/>
      <c r="E147" s="24">
        <f t="shared" si="24"/>
        <v>0.06</v>
      </c>
      <c r="F147" s="718"/>
      <c r="G147" s="24">
        <f t="shared" si="25"/>
        <v>0.06</v>
      </c>
      <c r="H147" s="718"/>
      <c r="I147" s="24">
        <f t="shared" si="26"/>
        <v>0</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8"/>
      <c r="C148" s="24">
        <f t="shared" si="23"/>
        <v>1</v>
      </c>
      <c r="D148" s="718"/>
      <c r="E148" s="24">
        <f t="shared" si="24"/>
        <v>0.06</v>
      </c>
      <c r="F148" s="718"/>
      <c r="G148" s="24">
        <f t="shared" si="25"/>
        <v>0.06</v>
      </c>
      <c r="H148" s="718"/>
      <c r="I148" s="24">
        <f t="shared" si="26"/>
        <v>0</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8"/>
      <c r="C149" s="24">
        <f t="shared" si="23"/>
        <v>1</v>
      </c>
      <c r="D149" s="718"/>
      <c r="E149" s="24">
        <f t="shared" si="24"/>
        <v>0.06</v>
      </c>
      <c r="F149" s="718"/>
      <c r="G149" s="24">
        <f t="shared" si="25"/>
        <v>0.06</v>
      </c>
      <c r="H149" s="718"/>
      <c r="I149" s="24">
        <f t="shared" si="26"/>
        <v>0</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8"/>
      <c r="C150" s="24">
        <f t="shared" si="23"/>
        <v>1</v>
      </c>
      <c r="D150" s="718"/>
      <c r="E150" s="24">
        <f t="shared" si="24"/>
        <v>0.06</v>
      </c>
      <c r="F150" s="718"/>
      <c r="G150" s="24">
        <f t="shared" si="25"/>
        <v>0.06</v>
      </c>
      <c r="H150" s="718"/>
      <c r="I150" s="24">
        <f t="shared" si="26"/>
        <v>0</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8"/>
      <c r="C151" s="24">
        <f t="shared" si="23"/>
        <v>1</v>
      </c>
      <c r="D151" s="718"/>
      <c r="E151" s="24">
        <f t="shared" si="24"/>
        <v>0.06</v>
      </c>
      <c r="F151" s="718"/>
      <c r="G151" s="24">
        <f t="shared" si="25"/>
        <v>0.06</v>
      </c>
      <c r="H151" s="718"/>
      <c r="I151" s="24">
        <f t="shared" si="26"/>
        <v>0</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8"/>
      <c r="C152" s="24">
        <f t="shared" si="23"/>
        <v>1</v>
      </c>
      <c r="D152" s="718"/>
      <c r="E152" s="24">
        <f t="shared" si="24"/>
        <v>0.06</v>
      </c>
      <c r="F152" s="718"/>
      <c r="G152" s="24">
        <f t="shared" si="25"/>
        <v>0.06</v>
      </c>
      <c r="H152" s="718"/>
      <c r="I152" s="24">
        <f t="shared" si="26"/>
        <v>0</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8"/>
      <c r="C153" s="24">
        <f t="shared" si="23"/>
        <v>1</v>
      </c>
      <c r="D153" s="718"/>
      <c r="E153" s="24">
        <f t="shared" si="24"/>
        <v>0.06</v>
      </c>
      <c r="F153" s="718"/>
      <c r="G153" s="24">
        <f t="shared" si="25"/>
        <v>0.06</v>
      </c>
      <c r="H153" s="718"/>
      <c r="I153" s="24">
        <f t="shared" si="26"/>
        <v>0</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0.06</v>
      </c>
      <c r="F154" s="718"/>
      <c r="G154" s="24">
        <f t="shared" ref="G154:G217" si="35">(SUMIF($7:$7,F154,$8:$8)-SUMIF($7:$7,$F$24,$8:$8)+100)/100</f>
        <v>0.06</v>
      </c>
      <c r="H154" s="718"/>
      <c r="I154" s="24">
        <f t="shared" ref="I154:I217" si="36">(SUMIF($9:$9,H154,$10:$10)-SUMIF($9:$9,$H$24,$10:$10)+100)/100</f>
        <v>0</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8"/>
      <c r="C155" s="24">
        <f t="shared" si="33"/>
        <v>1</v>
      </c>
      <c r="D155" s="718"/>
      <c r="E155" s="24">
        <f t="shared" si="34"/>
        <v>0.06</v>
      </c>
      <c r="F155" s="718"/>
      <c r="G155" s="24">
        <f t="shared" si="35"/>
        <v>0.06</v>
      </c>
      <c r="H155" s="718"/>
      <c r="I155" s="24">
        <f t="shared" si="36"/>
        <v>0</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8"/>
      <c r="C156" s="24">
        <f t="shared" si="33"/>
        <v>1</v>
      </c>
      <c r="D156" s="718"/>
      <c r="E156" s="24">
        <f t="shared" si="34"/>
        <v>0.06</v>
      </c>
      <c r="F156" s="718"/>
      <c r="G156" s="24">
        <f t="shared" si="35"/>
        <v>0.06</v>
      </c>
      <c r="H156" s="718"/>
      <c r="I156" s="24">
        <f t="shared" si="36"/>
        <v>0</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8"/>
      <c r="C157" s="24">
        <f t="shared" si="33"/>
        <v>1</v>
      </c>
      <c r="D157" s="718"/>
      <c r="E157" s="24">
        <f t="shared" si="34"/>
        <v>0.06</v>
      </c>
      <c r="F157" s="718"/>
      <c r="G157" s="24">
        <f t="shared" si="35"/>
        <v>0.06</v>
      </c>
      <c r="H157" s="718"/>
      <c r="I157" s="24">
        <f t="shared" si="36"/>
        <v>0</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8"/>
      <c r="C158" s="24">
        <f t="shared" si="33"/>
        <v>1</v>
      </c>
      <c r="D158" s="718"/>
      <c r="E158" s="24">
        <f t="shared" si="34"/>
        <v>0.06</v>
      </c>
      <c r="F158" s="718"/>
      <c r="G158" s="24">
        <f t="shared" si="35"/>
        <v>0.06</v>
      </c>
      <c r="H158" s="718"/>
      <c r="I158" s="24">
        <f t="shared" si="36"/>
        <v>0</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8"/>
      <c r="C159" s="24">
        <f t="shared" si="33"/>
        <v>1</v>
      </c>
      <c r="D159" s="718"/>
      <c r="E159" s="24">
        <f t="shared" si="34"/>
        <v>0.06</v>
      </c>
      <c r="F159" s="718"/>
      <c r="G159" s="24">
        <f t="shared" si="35"/>
        <v>0.06</v>
      </c>
      <c r="H159" s="718"/>
      <c r="I159" s="24">
        <f t="shared" si="36"/>
        <v>0</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8"/>
      <c r="C160" s="24">
        <f t="shared" si="33"/>
        <v>1</v>
      </c>
      <c r="D160" s="718"/>
      <c r="E160" s="24">
        <f t="shared" si="34"/>
        <v>0.06</v>
      </c>
      <c r="F160" s="718"/>
      <c r="G160" s="24">
        <f t="shared" si="35"/>
        <v>0.06</v>
      </c>
      <c r="H160" s="718"/>
      <c r="I160" s="24">
        <f t="shared" si="36"/>
        <v>0</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8"/>
      <c r="C161" s="24">
        <f t="shared" si="33"/>
        <v>1</v>
      </c>
      <c r="D161" s="718"/>
      <c r="E161" s="24">
        <f t="shared" si="34"/>
        <v>0.06</v>
      </c>
      <c r="F161" s="718"/>
      <c r="G161" s="24">
        <f t="shared" si="35"/>
        <v>0.06</v>
      </c>
      <c r="H161" s="718"/>
      <c r="I161" s="24">
        <f t="shared" si="36"/>
        <v>0</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8"/>
      <c r="C162" s="24">
        <f t="shared" si="33"/>
        <v>1</v>
      </c>
      <c r="D162" s="718"/>
      <c r="E162" s="24">
        <f t="shared" si="34"/>
        <v>0.06</v>
      </c>
      <c r="F162" s="718"/>
      <c r="G162" s="24">
        <f t="shared" si="35"/>
        <v>0.06</v>
      </c>
      <c r="H162" s="718"/>
      <c r="I162" s="24">
        <f t="shared" si="36"/>
        <v>0</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8"/>
      <c r="C163" s="24">
        <f t="shared" si="33"/>
        <v>1</v>
      </c>
      <c r="D163" s="718"/>
      <c r="E163" s="24">
        <f t="shared" si="34"/>
        <v>0.06</v>
      </c>
      <c r="F163" s="718"/>
      <c r="G163" s="24">
        <f t="shared" si="35"/>
        <v>0.06</v>
      </c>
      <c r="H163" s="718"/>
      <c r="I163" s="24">
        <f t="shared" si="36"/>
        <v>0</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8"/>
      <c r="C164" s="24">
        <f t="shared" si="33"/>
        <v>1</v>
      </c>
      <c r="D164" s="718"/>
      <c r="E164" s="24">
        <f t="shared" si="34"/>
        <v>0.06</v>
      </c>
      <c r="F164" s="718"/>
      <c r="G164" s="24">
        <f t="shared" si="35"/>
        <v>0.06</v>
      </c>
      <c r="H164" s="718"/>
      <c r="I164" s="24">
        <f t="shared" si="36"/>
        <v>0</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8"/>
      <c r="C165" s="24">
        <f t="shared" si="33"/>
        <v>1</v>
      </c>
      <c r="D165" s="718"/>
      <c r="E165" s="24">
        <f t="shared" si="34"/>
        <v>0.06</v>
      </c>
      <c r="F165" s="718"/>
      <c r="G165" s="24">
        <f t="shared" si="35"/>
        <v>0.06</v>
      </c>
      <c r="H165" s="718"/>
      <c r="I165" s="24">
        <f t="shared" si="36"/>
        <v>0</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8"/>
      <c r="C166" s="24">
        <f t="shared" si="33"/>
        <v>1</v>
      </c>
      <c r="D166" s="718"/>
      <c r="E166" s="24">
        <f t="shared" si="34"/>
        <v>0.06</v>
      </c>
      <c r="F166" s="718"/>
      <c r="G166" s="24">
        <f t="shared" si="35"/>
        <v>0.06</v>
      </c>
      <c r="H166" s="718"/>
      <c r="I166" s="24">
        <f t="shared" si="36"/>
        <v>0</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8"/>
      <c r="C167" s="24">
        <f t="shared" si="33"/>
        <v>1</v>
      </c>
      <c r="D167" s="718"/>
      <c r="E167" s="24">
        <f t="shared" si="34"/>
        <v>0.06</v>
      </c>
      <c r="F167" s="718"/>
      <c r="G167" s="24">
        <f t="shared" si="35"/>
        <v>0.06</v>
      </c>
      <c r="H167" s="718"/>
      <c r="I167" s="24">
        <f t="shared" si="36"/>
        <v>0</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8"/>
      <c r="C168" s="24">
        <f t="shared" si="33"/>
        <v>1</v>
      </c>
      <c r="D168" s="718"/>
      <c r="E168" s="24">
        <f t="shared" si="34"/>
        <v>0.06</v>
      </c>
      <c r="F168" s="718"/>
      <c r="G168" s="24">
        <f t="shared" si="35"/>
        <v>0.06</v>
      </c>
      <c r="H168" s="718"/>
      <c r="I168" s="24">
        <f t="shared" si="36"/>
        <v>0</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8"/>
      <c r="C169" s="24">
        <f t="shared" si="33"/>
        <v>1</v>
      </c>
      <c r="D169" s="718"/>
      <c r="E169" s="24">
        <f t="shared" si="34"/>
        <v>0.06</v>
      </c>
      <c r="F169" s="718"/>
      <c r="G169" s="24">
        <f t="shared" si="35"/>
        <v>0.06</v>
      </c>
      <c r="H169" s="718"/>
      <c r="I169" s="24">
        <f t="shared" si="36"/>
        <v>0</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8"/>
      <c r="C170" s="24">
        <f t="shared" si="33"/>
        <v>1</v>
      </c>
      <c r="D170" s="718"/>
      <c r="E170" s="24">
        <f t="shared" si="34"/>
        <v>0.06</v>
      </c>
      <c r="F170" s="718"/>
      <c r="G170" s="24">
        <f t="shared" si="35"/>
        <v>0.06</v>
      </c>
      <c r="H170" s="718"/>
      <c r="I170" s="24">
        <f t="shared" si="36"/>
        <v>0</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8"/>
      <c r="C171" s="24">
        <f t="shared" si="33"/>
        <v>1</v>
      </c>
      <c r="D171" s="718"/>
      <c r="E171" s="24">
        <f t="shared" si="34"/>
        <v>0.06</v>
      </c>
      <c r="F171" s="718"/>
      <c r="G171" s="24">
        <f t="shared" si="35"/>
        <v>0.06</v>
      </c>
      <c r="H171" s="718"/>
      <c r="I171" s="24">
        <f t="shared" si="36"/>
        <v>0</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8"/>
      <c r="C172" s="24">
        <f t="shared" si="33"/>
        <v>1</v>
      </c>
      <c r="D172" s="718"/>
      <c r="E172" s="24">
        <f t="shared" si="34"/>
        <v>0.06</v>
      </c>
      <c r="F172" s="718"/>
      <c r="G172" s="24">
        <f t="shared" si="35"/>
        <v>0.06</v>
      </c>
      <c r="H172" s="718"/>
      <c r="I172" s="24">
        <f t="shared" si="36"/>
        <v>0</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8"/>
      <c r="C173" s="24">
        <f t="shared" si="33"/>
        <v>1</v>
      </c>
      <c r="D173" s="718"/>
      <c r="E173" s="24">
        <f t="shared" si="34"/>
        <v>0.06</v>
      </c>
      <c r="F173" s="718"/>
      <c r="G173" s="24">
        <f t="shared" si="35"/>
        <v>0.06</v>
      </c>
      <c r="H173" s="718"/>
      <c r="I173" s="24">
        <f t="shared" si="36"/>
        <v>0</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8"/>
      <c r="C174" s="24">
        <f t="shared" si="33"/>
        <v>1</v>
      </c>
      <c r="D174" s="718"/>
      <c r="E174" s="24">
        <f t="shared" si="34"/>
        <v>0.06</v>
      </c>
      <c r="F174" s="718"/>
      <c r="G174" s="24">
        <f t="shared" si="35"/>
        <v>0.06</v>
      </c>
      <c r="H174" s="718"/>
      <c r="I174" s="24">
        <f t="shared" si="36"/>
        <v>0</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8"/>
      <c r="C175" s="24">
        <f t="shared" si="33"/>
        <v>1</v>
      </c>
      <c r="D175" s="718"/>
      <c r="E175" s="24">
        <f t="shared" si="34"/>
        <v>0.06</v>
      </c>
      <c r="F175" s="718"/>
      <c r="G175" s="24">
        <f t="shared" si="35"/>
        <v>0.06</v>
      </c>
      <c r="H175" s="718"/>
      <c r="I175" s="24">
        <f t="shared" si="36"/>
        <v>0</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8"/>
      <c r="C176" s="24">
        <f t="shared" si="33"/>
        <v>1</v>
      </c>
      <c r="D176" s="718"/>
      <c r="E176" s="24">
        <f t="shared" si="34"/>
        <v>0.06</v>
      </c>
      <c r="F176" s="718"/>
      <c r="G176" s="24">
        <f t="shared" si="35"/>
        <v>0.06</v>
      </c>
      <c r="H176" s="718"/>
      <c r="I176" s="24">
        <f t="shared" si="36"/>
        <v>0</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8"/>
      <c r="C177" s="24">
        <f t="shared" si="33"/>
        <v>1</v>
      </c>
      <c r="D177" s="718"/>
      <c r="E177" s="24">
        <f t="shared" si="34"/>
        <v>0.06</v>
      </c>
      <c r="F177" s="718"/>
      <c r="G177" s="24">
        <f t="shared" si="35"/>
        <v>0.06</v>
      </c>
      <c r="H177" s="718"/>
      <c r="I177" s="24">
        <f t="shared" si="36"/>
        <v>0</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8"/>
      <c r="C178" s="24">
        <f t="shared" si="33"/>
        <v>1</v>
      </c>
      <c r="D178" s="718"/>
      <c r="E178" s="24">
        <f t="shared" si="34"/>
        <v>0.06</v>
      </c>
      <c r="F178" s="718"/>
      <c r="G178" s="24">
        <f t="shared" si="35"/>
        <v>0.06</v>
      </c>
      <c r="H178" s="718"/>
      <c r="I178" s="24">
        <f t="shared" si="36"/>
        <v>0</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8"/>
      <c r="C179" s="24">
        <f t="shared" si="33"/>
        <v>1</v>
      </c>
      <c r="D179" s="718"/>
      <c r="E179" s="24">
        <f t="shared" si="34"/>
        <v>0.06</v>
      </c>
      <c r="F179" s="718"/>
      <c r="G179" s="24">
        <f t="shared" si="35"/>
        <v>0.06</v>
      </c>
      <c r="H179" s="718"/>
      <c r="I179" s="24">
        <f t="shared" si="36"/>
        <v>0</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8"/>
      <c r="C180" s="24">
        <f t="shared" si="33"/>
        <v>1</v>
      </c>
      <c r="D180" s="718"/>
      <c r="E180" s="24">
        <f t="shared" si="34"/>
        <v>0.06</v>
      </c>
      <c r="F180" s="718"/>
      <c r="G180" s="24">
        <f t="shared" si="35"/>
        <v>0.06</v>
      </c>
      <c r="H180" s="718"/>
      <c r="I180" s="24">
        <f t="shared" si="36"/>
        <v>0</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8"/>
      <c r="C181" s="24">
        <f t="shared" si="33"/>
        <v>1</v>
      </c>
      <c r="D181" s="718"/>
      <c r="E181" s="24">
        <f t="shared" si="34"/>
        <v>0.06</v>
      </c>
      <c r="F181" s="718"/>
      <c r="G181" s="24">
        <f t="shared" si="35"/>
        <v>0.06</v>
      </c>
      <c r="H181" s="718"/>
      <c r="I181" s="24">
        <f t="shared" si="36"/>
        <v>0</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8"/>
      <c r="C182" s="24">
        <f t="shared" si="33"/>
        <v>1</v>
      </c>
      <c r="D182" s="718"/>
      <c r="E182" s="24">
        <f t="shared" si="34"/>
        <v>0.06</v>
      </c>
      <c r="F182" s="718"/>
      <c r="G182" s="24">
        <f t="shared" si="35"/>
        <v>0.06</v>
      </c>
      <c r="H182" s="718"/>
      <c r="I182" s="24">
        <f t="shared" si="36"/>
        <v>0</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8"/>
      <c r="C183" s="24">
        <f t="shared" si="33"/>
        <v>1</v>
      </c>
      <c r="D183" s="718"/>
      <c r="E183" s="24">
        <f t="shared" si="34"/>
        <v>0.06</v>
      </c>
      <c r="F183" s="718"/>
      <c r="G183" s="24">
        <f t="shared" si="35"/>
        <v>0.06</v>
      </c>
      <c r="H183" s="718"/>
      <c r="I183" s="24">
        <f t="shared" si="36"/>
        <v>0</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8"/>
      <c r="C184" s="24">
        <f t="shared" si="33"/>
        <v>1</v>
      </c>
      <c r="D184" s="718"/>
      <c r="E184" s="24">
        <f t="shared" si="34"/>
        <v>0.06</v>
      </c>
      <c r="F184" s="718"/>
      <c r="G184" s="24">
        <f t="shared" si="35"/>
        <v>0.06</v>
      </c>
      <c r="H184" s="718"/>
      <c r="I184" s="24">
        <f t="shared" si="36"/>
        <v>0</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8"/>
      <c r="C185" s="24">
        <f t="shared" si="33"/>
        <v>1</v>
      </c>
      <c r="D185" s="718"/>
      <c r="E185" s="24">
        <f t="shared" si="34"/>
        <v>0.06</v>
      </c>
      <c r="F185" s="718"/>
      <c r="G185" s="24">
        <f t="shared" si="35"/>
        <v>0.06</v>
      </c>
      <c r="H185" s="718"/>
      <c r="I185" s="24">
        <f t="shared" si="36"/>
        <v>0</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8"/>
      <c r="C186" s="24">
        <f t="shared" si="33"/>
        <v>1</v>
      </c>
      <c r="D186" s="718"/>
      <c r="E186" s="24">
        <f t="shared" si="34"/>
        <v>0.06</v>
      </c>
      <c r="F186" s="718"/>
      <c r="G186" s="24">
        <f t="shared" si="35"/>
        <v>0.06</v>
      </c>
      <c r="H186" s="718"/>
      <c r="I186" s="24">
        <f t="shared" si="36"/>
        <v>0</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8"/>
      <c r="C187" s="24">
        <f t="shared" si="33"/>
        <v>1</v>
      </c>
      <c r="D187" s="718"/>
      <c r="E187" s="24">
        <f t="shared" si="34"/>
        <v>0.06</v>
      </c>
      <c r="F187" s="718"/>
      <c r="G187" s="24">
        <f t="shared" si="35"/>
        <v>0.06</v>
      </c>
      <c r="H187" s="718"/>
      <c r="I187" s="24">
        <f t="shared" si="36"/>
        <v>0</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8"/>
      <c r="C188" s="24">
        <f t="shared" si="33"/>
        <v>1</v>
      </c>
      <c r="D188" s="718"/>
      <c r="E188" s="24">
        <f t="shared" si="34"/>
        <v>0.06</v>
      </c>
      <c r="F188" s="718"/>
      <c r="G188" s="24">
        <f t="shared" si="35"/>
        <v>0.06</v>
      </c>
      <c r="H188" s="718"/>
      <c r="I188" s="24">
        <f t="shared" si="36"/>
        <v>0</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8"/>
      <c r="C189" s="24">
        <f t="shared" si="33"/>
        <v>1</v>
      </c>
      <c r="D189" s="718"/>
      <c r="E189" s="24">
        <f t="shared" si="34"/>
        <v>0.06</v>
      </c>
      <c r="F189" s="718"/>
      <c r="G189" s="24">
        <f t="shared" si="35"/>
        <v>0.06</v>
      </c>
      <c r="H189" s="718"/>
      <c r="I189" s="24">
        <f t="shared" si="36"/>
        <v>0</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8"/>
      <c r="C190" s="24">
        <f t="shared" si="33"/>
        <v>1</v>
      </c>
      <c r="D190" s="718"/>
      <c r="E190" s="24">
        <f t="shared" si="34"/>
        <v>0.06</v>
      </c>
      <c r="F190" s="718"/>
      <c r="G190" s="24">
        <f t="shared" si="35"/>
        <v>0.06</v>
      </c>
      <c r="H190" s="718"/>
      <c r="I190" s="24">
        <f t="shared" si="36"/>
        <v>0</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8"/>
      <c r="C191" s="24">
        <f t="shared" si="33"/>
        <v>1</v>
      </c>
      <c r="D191" s="718"/>
      <c r="E191" s="24">
        <f t="shared" si="34"/>
        <v>0.06</v>
      </c>
      <c r="F191" s="718"/>
      <c r="G191" s="24">
        <f t="shared" si="35"/>
        <v>0.06</v>
      </c>
      <c r="H191" s="718"/>
      <c r="I191" s="24">
        <f t="shared" si="36"/>
        <v>0</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8"/>
      <c r="C192" s="24">
        <f t="shared" si="33"/>
        <v>1</v>
      </c>
      <c r="D192" s="718"/>
      <c r="E192" s="24">
        <f t="shared" si="34"/>
        <v>0.06</v>
      </c>
      <c r="F192" s="718"/>
      <c r="G192" s="24">
        <f t="shared" si="35"/>
        <v>0.06</v>
      </c>
      <c r="H192" s="718"/>
      <c r="I192" s="24">
        <f t="shared" si="36"/>
        <v>0</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8"/>
      <c r="C193" s="24">
        <f t="shared" si="33"/>
        <v>1</v>
      </c>
      <c r="D193" s="718"/>
      <c r="E193" s="24">
        <f t="shared" si="34"/>
        <v>0.06</v>
      </c>
      <c r="F193" s="718"/>
      <c r="G193" s="24">
        <f t="shared" si="35"/>
        <v>0.06</v>
      </c>
      <c r="H193" s="718"/>
      <c r="I193" s="24">
        <f t="shared" si="36"/>
        <v>0</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8"/>
      <c r="C194" s="24">
        <f t="shared" si="33"/>
        <v>1</v>
      </c>
      <c r="D194" s="718"/>
      <c r="E194" s="24">
        <f t="shared" si="34"/>
        <v>0.06</v>
      </c>
      <c r="F194" s="718"/>
      <c r="G194" s="24">
        <f t="shared" si="35"/>
        <v>0.06</v>
      </c>
      <c r="H194" s="718"/>
      <c r="I194" s="24">
        <f t="shared" si="36"/>
        <v>0</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8"/>
      <c r="C195" s="24">
        <f t="shared" si="33"/>
        <v>1</v>
      </c>
      <c r="D195" s="718"/>
      <c r="E195" s="24">
        <f t="shared" si="34"/>
        <v>0.06</v>
      </c>
      <c r="F195" s="718"/>
      <c r="G195" s="24">
        <f t="shared" si="35"/>
        <v>0.06</v>
      </c>
      <c r="H195" s="718"/>
      <c r="I195" s="24">
        <f t="shared" si="36"/>
        <v>0</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8"/>
      <c r="C196" s="24">
        <f t="shared" si="33"/>
        <v>1</v>
      </c>
      <c r="D196" s="718"/>
      <c r="E196" s="24">
        <f t="shared" si="34"/>
        <v>0.06</v>
      </c>
      <c r="F196" s="718"/>
      <c r="G196" s="24">
        <f t="shared" si="35"/>
        <v>0.06</v>
      </c>
      <c r="H196" s="718"/>
      <c r="I196" s="24">
        <f t="shared" si="36"/>
        <v>0</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8"/>
      <c r="C197" s="24">
        <f t="shared" si="33"/>
        <v>1</v>
      </c>
      <c r="D197" s="718"/>
      <c r="E197" s="24">
        <f t="shared" si="34"/>
        <v>0.06</v>
      </c>
      <c r="F197" s="718"/>
      <c r="G197" s="24">
        <f t="shared" si="35"/>
        <v>0.06</v>
      </c>
      <c r="H197" s="718"/>
      <c r="I197" s="24">
        <f t="shared" si="36"/>
        <v>0</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8"/>
      <c r="C198" s="24">
        <f t="shared" si="33"/>
        <v>1</v>
      </c>
      <c r="D198" s="718"/>
      <c r="E198" s="24">
        <f t="shared" si="34"/>
        <v>0.06</v>
      </c>
      <c r="F198" s="718"/>
      <c r="G198" s="24">
        <f t="shared" si="35"/>
        <v>0.06</v>
      </c>
      <c r="H198" s="718"/>
      <c r="I198" s="24">
        <f t="shared" si="36"/>
        <v>0</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8"/>
      <c r="C199" s="24">
        <f t="shared" si="33"/>
        <v>1</v>
      </c>
      <c r="D199" s="718"/>
      <c r="E199" s="24">
        <f t="shared" si="34"/>
        <v>0.06</v>
      </c>
      <c r="F199" s="718"/>
      <c r="G199" s="24">
        <f t="shared" si="35"/>
        <v>0.06</v>
      </c>
      <c r="H199" s="718"/>
      <c r="I199" s="24">
        <f t="shared" si="36"/>
        <v>0</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8"/>
      <c r="C200" s="24">
        <f t="shared" si="33"/>
        <v>1</v>
      </c>
      <c r="D200" s="718"/>
      <c r="E200" s="24">
        <f t="shared" si="34"/>
        <v>0.06</v>
      </c>
      <c r="F200" s="718"/>
      <c r="G200" s="24">
        <f t="shared" si="35"/>
        <v>0.06</v>
      </c>
      <c r="H200" s="718"/>
      <c r="I200" s="24">
        <f t="shared" si="36"/>
        <v>0</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8"/>
      <c r="C201" s="24">
        <f t="shared" si="33"/>
        <v>1</v>
      </c>
      <c r="D201" s="718"/>
      <c r="E201" s="24">
        <f t="shared" si="34"/>
        <v>0.06</v>
      </c>
      <c r="F201" s="718"/>
      <c r="G201" s="24">
        <f t="shared" si="35"/>
        <v>0.06</v>
      </c>
      <c r="H201" s="718"/>
      <c r="I201" s="24">
        <f t="shared" si="36"/>
        <v>0</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8"/>
      <c r="C202" s="24">
        <f t="shared" si="33"/>
        <v>1</v>
      </c>
      <c r="D202" s="718"/>
      <c r="E202" s="24">
        <f t="shared" si="34"/>
        <v>0.06</v>
      </c>
      <c r="F202" s="718"/>
      <c r="G202" s="24">
        <f t="shared" si="35"/>
        <v>0.06</v>
      </c>
      <c r="H202" s="718"/>
      <c r="I202" s="24">
        <f t="shared" si="36"/>
        <v>0</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8"/>
      <c r="C203" s="24">
        <f t="shared" si="33"/>
        <v>1</v>
      </c>
      <c r="D203" s="718"/>
      <c r="E203" s="24">
        <f t="shared" si="34"/>
        <v>0.06</v>
      </c>
      <c r="F203" s="718"/>
      <c r="G203" s="24">
        <f t="shared" si="35"/>
        <v>0.06</v>
      </c>
      <c r="H203" s="718"/>
      <c r="I203" s="24">
        <f t="shared" si="36"/>
        <v>0</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8"/>
      <c r="C204" s="24">
        <f t="shared" si="33"/>
        <v>1</v>
      </c>
      <c r="D204" s="718"/>
      <c r="E204" s="24">
        <f t="shared" si="34"/>
        <v>0.06</v>
      </c>
      <c r="F204" s="718"/>
      <c r="G204" s="24">
        <f t="shared" si="35"/>
        <v>0.06</v>
      </c>
      <c r="H204" s="718"/>
      <c r="I204" s="24">
        <f t="shared" si="36"/>
        <v>0</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8"/>
      <c r="C205" s="24">
        <f t="shared" si="33"/>
        <v>1</v>
      </c>
      <c r="D205" s="718"/>
      <c r="E205" s="24">
        <f t="shared" si="34"/>
        <v>0.06</v>
      </c>
      <c r="F205" s="718"/>
      <c r="G205" s="24">
        <f t="shared" si="35"/>
        <v>0.06</v>
      </c>
      <c r="H205" s="718"/>
      <c r="I205" s="24">
        <f t="shared" si="36"/>
        <v>0</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8"/>
      <c r="C206" s="24">
        <f t="shared" si="33"/>
        <v>1</v>
      </c>
      <c r="D206" s="718"/>
      <c r="E206" s="24">
        <f t="shared" si="34"/>
        <v>0.06</v>
      </c>
      <c r="F206" s="718"/>
      <c r="G206" s="24">
        <f t="shared" si="35"/>
        <v>0.06</v>
      </c>
      <c r="H206" s="718"/>
      <c r="I206" s="24">
        <f t="shared" si="36"/>
        <v>0</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8"/>
      <c r="C207" s="24">
        <f t="shared" si="33"/>
        <v>1</v>
      </c>
      <c r="D207" s="718"/>
      <c r="E207" s="24">
        <f t="shared" si="34"/>
        <v>0.06</v>
      </c>
      <c r="F207" s="718"/>
      <c r="G207" s="24">
        <f t="shared" si="35"/>
        <v>0.06</v>
      </c>
      <c r="H207" s="718"/>
      <c r="I207" s="24">
        <f t="shared" si="36"/>
        <v>0</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8"/>
      <c r="C208" s="24">
        <f t="shared" si="33"/>
        <v>1</v>
      </c>
      <c r="D208" s="718"/>
      <c r="E208" s="24">
        <f t="shared" si="34"/>
        <v>0.06</v>
      </c>
      <c r="F208" s="718"/>
      <c r="G208" s="24">
        <f t="shared" si="35"/>
        <v>0.06</v>
      </c>
      <c r="H208" s="718"/>
      <c r="I208" s="24">
        <f t="shared" si="36"/>
        <v>0</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8"/>
      <c r="C209" s="24">
        <f t="shared" si="33"/>
        <v>1</v>
      </c>
      <c r="D209" s="718"/>
      <c r="E209" s="24">
        <f t="shared" si="34"/>
        <v>0.06</v>
      </c>
      <c r="F209" s="718"/>
      <c r="G209" s="24">
        <f t="shared" si="35"/>
        <v>0.06</v>
      </c>
      <c r="H209" s="718"/>
      <c r="I209" s="24">
        <f t="shared" si="36"/>
        <v>0</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8"/>
      <c r="C210" s="24">
        <f t="shared" si="33"/>
        <v>1</v>
      </c>
      <c r="D210" s="718"/>
      <c r="E210" s="24">
        <f t="shared" si="34"/>
        <v>0.06</v>
      </c>
      <c r="F210" s="718"/>
      <c r="G210" s="24">
        <f t="shared" si="35"/>
        <v>0.06</v>
      </c>
      <c r="H210" s="718"/>
      <c r="I210" s="24">
        <f t="shared" si="36"/>
        <v>0</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8"/>
      <c r="C211" s="24">
        <f t="shared" si="33"/>
        <v>1</v>
      </c>
      <c r="D211" s="718"/>
      <c r="E211" s="24">
        <f t="shared" si="34"/>
        <v>0.06</v>
      </c>
      <c r="F211" s="718"/>
      <c r="G211" s="24">
        <f t="shared" si="35"/>
        <v>0.06</v>
      </c>
      <c r="H211" s="718"/>
      <c r="I211" s="24">
        <f t="shared" si="36"/>
        <v>0</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8"/>
      <c r="C212" s="24">
        <f t="shared" si="33"/>
        <v>1</v>
      </c>
      <c r="D212" s="718"/>
      <c r="E212" s="24">
        <f t="shared" si="34"/>
        <v>0.06</v>
      </c>
      <c r="F212" s="718"/>
      <c r="G212" s="24">
        <f t="shared" si="35"/>
        <v>0.06</v>
      </c>
      <c r="H212" s="718"/>
      <c r="I212" s="24">
        <f t="shared" si="36"/>
        <v>0</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8"/>
      <c r="C213" s="24">
        <f t="shared" si="33"/>
        <v>1</v>
      </c>
      <c r="D213" s="718"/>
      <c r="E213" s="24">
        <f t="shared" si="34"/>
        <v>0.06</v>
      </c>
      <c r="F213" s="718"/>
      <c r="G213" s="24">
        <f t="shared" si="35"/>
        <v>0.06</v>
      </c>
      <c r="H213" s="718"/>
      <c r="I213" s="24">
        <f t="shared" si="36"/>
        <v>0</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8"/>
      <c r="C214" s="24">
        <f t="shared" si="33"/>
        <v>1</v>
      </c>
      <c r="D214" s="718"/>
      <c r="E214" s="24">
        <f t="shared" si="34"/>
        <v>0.06</v>
      </c>
      <c r="F214" s="718"/>
      <c r="G214" s="24">
        <f t="shared" si="35"/>
        <v>0.06</v>
      </c>
      <c r="H214" s="718"/>
      <c r="I214" s="24">
        <f t="shared" si="36"/>
        <v>0</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8"/>
      <c r="C215" s="24">
        <f t="shared" si="33"/>
        <v>1</v>
      </c>
      <c r="D215" s="718"/>
      <c r="E215" s="24">
        <f t="shared" si="34"/>
        <v>0.06</v>
      </c>
      <c r="F215" s="718"/>
      <c r="G215" s="24">
        <f t="shared" si="35"/>
        <v>0.06</v>
      </c>
      <c r="H215" s="718"/>
      <c r="I215" s="24">
        <f t="shared" si="36"/>
        <v>0</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8"/>
      <c r="C216" s="24">
        <f t="shared" si="33"/>
        <v>1</v>
      </c>
      <c r="D216" s="718"/>
      <c r="E216" s="24">
        <f t="shared" si="34"/>
        <v>0.06</v>
      </c>
      <c r="F216" s="718"/>
      <c r="G216" s="24">
        <f t="shared" si="35"/>
        <v>0.06</v>
      </c>
      <c r="H216" s="718"/>
      <c r="I216" s="24">
        <f t="shared" si="36"/>
        <v>0</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8"/>
      <c r="C217" s="24">
        <f t="shared" si="33"/>
        <v>1</v>
      </c>
      <c r="D217" s="718"/>
      <c r="E217" s="24">
        <f t="shared" si="34"/>
        <v>0.06</v>
      </c>
      <c r="F217" s="718"/>
      <c r="G217" s="24">
        <f t="shared" si="35"/>
        <v>0.06</v>
      </c>
      <c r="H217" s="718"/>
      <c r="I217" s="24">
        <f t="shared" si="36"/>
        <v>0</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0.06</v>
      </c>
      <c r="F218" s="718"/>
      <c r="G218" s="24">
        <f t="shared" ref="G218:G281" si="45">(SUMIF($7:$7,F218,$8:$8)-SUMIF($7:$7,$F$24,$8:$8)+100)/100</f>
        <v>0.06</v>
      </c>
      <c r="H218" s="718"/>
      <c r="I218" s="24">
        <f t="shared" ref="I218:I281" si="46">(SUMIF($9:$9,H218,$10:$10)-SUMIF($9:$9,$H$24,$10:$10)+100)/100</f>
        <v>0</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8"/>
      <c r="C219" s="24">
        <f t="shared" si="43"/>
        <v>1</v>
      </c>
      <c r="D219" s="718"/>
      <c r="E219" s="24">
        <f t="shared" si="44"/>
        <v>0.06</v>
      </c>
      <c r="F219" s="718"/>
      <c r="G219" s="24">
        <f t="shared" si="45"/>
        <v>0.06</v>
      </c>
      <c r="H219" s="718"/>
      <c r="I219" s="24">
        <f t="shared" si="46"/>
        <v>0</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8"/>
      <c r="C220" s="24">
        <f t="shared" si="43"/>
        <v>1</v>
      </c>
      <c r="D220" s="718"/>
      <c r="E220" s="24">
        <f t="shared" si="44"/>
        <v>0.06</v>
      </c>
      <c r="F220" s="718"/>
      <c r="G220" s="24">
        <f t="shared" si="45"/>
        <v>0.06</v>
      </c>
      <c r="H220" s="718"/>
      <c r="I220" s="24">
        <f t="shared" si="46"/>
        <v>0</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8"/>
      <c r="C221" s="24">
        <f t="shared" si="43"/>
        <v>1</v>
      </c>
      <c r="D221" s="718"/>
      <c r="E221" s="24">
        <f t="shared" si="44"/>
        <v>0.06</v>
      </c>
      <c r="F221" s="718"/>
      <c r="G221" s="24">
        <f t="shared" si="45"/>
        <v>0.06</v>
      </c>
      <c r="H221" s="718"/>
      <c r="I221" s="24">
        <f t="shared" si="46"/>
        <v>0</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8"/>
      <c r="C222" s="24">
        <f t="shared" si="43"/>
        <v>1</v>
      </c>
      <c r="D222" s="718"/>
      <c r="E222" s="24">
        <f t="shared" si="44"/>
        <v>0.06</v>
      </c>
      <c r="F222" s="718"/>
      <c r="G222" s="24">
        <f t="shared" si="45"/>
        <v>0.06</v>
      </c>
      <c r="H222" s="718"/>
      <c r="I222" s="24">
        <f t="shared" si="46"/>
        <v>0</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8"/>
      <c r="C223" s="24">
        <f t="shared" si="43"/>
        <v>1</v>
      </c>
      <c r="D223" s="718"/>
      <c r="E223" s="24">
        <f t="shared" si="44"/>
        <v>0.06</v>
      </c>
      <c r="F223" s="718"/>
      <c r="G223" s="24">
        <f t="shared" si="45"/>
        <v>0.06</v>
      </c>
      <c r="H223" s="718"/>
      <c r="I223" s="24">
        <f t="shared" si="46"/>
        <v>0</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8"/>
      <c r="C224" s="24">
        <f t="shared" si="43"/>
        <v>1</v>
      </c>
      <c r="D224" s="718"/>
      <c r="E224" s="24">
        <f t="shared" si="44"/>
        <v>0.06</v>
      </c>
      <c r="F224" s="718"/>
      <c r="G224" s="24">
        <f t="shared" si="45"/>
        <v>0.06</v>
      </c>
      <c r="H224" s="718"/>
      <c r="I224" s="24">
        <f t="shared" si="46"/>
        <v>0</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8"/>
      <c r="C225" s="24">
        <f t="shared" si="43"/>
        <v>1</v>
      </c>
      <c r="D225" s="718"/>
      <c r="E225" s="24">
        <f t="shared" si="44"/>
        <v>0.06</v>
      </c>
      <c r="F225" s="718"/>
      <c r="G225" s="24">
        <f t="shared" si="45"/>
        <v>0.06</v>
      </c>
      <c r="H225" s="718"/>
      <c r="I225" s="24">
        <f t="shared" si="46"/>
        <v>0</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8"/>
      <c r="C226" s="24">
        <f t="shared" si="43"/>
        <v>1</v>
      </c>
      <c r="D226" s="718"/>
      <c r="E226" s="24">
        <f t="shared" si="44"/>
        <v>0.06</v>
      </c>
      <c r="F226" s="718"/>
      <c r="G226" s="24">
        <f t="shared" si="45"/>
        <v>0.06</v>
      </c>
      <c r="H226" s="718"/>
      <c r="I226" s="24">
        <f t="shared" si="46"/>
        <v>0</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8"/>
      <c r="C227" s="24">
        <f t="shared" si="43"/>
        <v>1</v>
      </c>
      <c r="D227" s="718"/>
      <c r="E227" s="24">
        <f t="shared" si="44"/>
        <v>0.06</v>
      </c>
      <c r="F227" s="718"/>
      <c r="G227" s="24">
        <f t="shared" si="45"/>
        <v>0.06</v>
      </c>
      <c r="H227" s="718"/>
      <c r="I227" s="24">
        <f t="shared" si="46"/>
        <v>0</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8"/>
      <c r="C228" s="24">
        <f t="shared" si="43"/>
        <v>1</v>
      </c>
      <c r="D228" s="718"/>
      <c r="E228" s="24">
        <f t="shared" si="44"/>
        <v>0.06</v>
      </c>
      <c r="F228" s="718"/>
      <c r="G228" s="24">
        <f t="shared" si="45"/>
        <v>0.06</v>
      </c>
      <c r="H228" s="718"/>
      <c r="I228" s="24">
        <f t="shared" si="46"/>
        <v>0</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8"/>
      <c r="C229" s="24">
        <f t="shared" si="43"/>
        <v>1</v>
      </c>
      <c r="D229" s="718"/>
      <c r="E229" s="24">
        <f t="shared" si="44"/>
        <v>0.06</v>
      </c>
      <c r="F229" s="718"/>
      <c r="G229" s="24">
        <f t="shared" si="45"/>
        <v>0.06</v>
      </c>
      <c r="H229" s="718"/>
      <c r="I229" s="24">
        <f t="shared" si="46"/>
        <v>0</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8"/>
      <c r="C230" s="24">
        <f t="shared" si="43"/>
        <v>1</v>
      </c>
      <c r="D230" s="718"/>
      <c r="E230" s="24">
        <f t="shared" si="44"/>
        <v>0.06</v>
      </c>
      <c r="F230" s="718"/>
      <c r="G230" s="24">
        <f t="shared" si="45"/>
        <v>0.06</v>
      </c>
      <c r="H230" s="718"/>
      <c r="I230" s="24">
        <f t="shared" si="46"/>
        <v>0</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8"/>
      <c r="C231" s="24">
        <f t="shared" si="43"/>
        <v>1</v>
      </c>
      <c r="D231" s="718"/>
      <c r="E231" s="24">
        <f t="shared" si="44"/>
        <v>0.06</v>
      </c>
      <c r="F231" s="718"/>
      <c r="G231" s="24">
        <f t="shared" si="45"/>
        <v>0.06</v>
      </c>
      <c r="H231" s="718"/>
      <c r="I231" s="24">
        <f t="shared" si="46"/>
        <v>0</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8"/>
      <c r="C232" s="24">
        <f t="shared" si="43"/>
        <v>1</v>
      </c>
      <c r="D232" s="718"/>
      <c r="E232" s="24">
        <f t="shared" si="44"/>
        <v>0.06</v>
      </c>
      <c r="F232" s="718"/>
      <c r="G232" s="24">
        <f t="shared" si="45"/>
        <v>0.06</v>
      </c>
      <c r="H232" s="718"/>
      <c r="I232" s="24">
        <f t="shared" si="46"/>
        <v>0</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8"/>
      <c r="C233" s="24">
        <f t="shared" si="43"/>
        <v>1</v>
      </c>
      <c r="D233" s="718"/>
      <c r="E233" s="24">
        <f t="shared" si="44"/>
        <v>0.06</v>
      </c>
      <c r="F233" s="718"/>
      <c r="G233" s="24">
        <f t="shared" si="45"/>
        <v>0.06</v>
      </c>
      <c r="H233" s="718"/>
      <c r="I233" s="24">
        <f t="shared" si="46"/>
        <v>0</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8"/>
      <c r="C234" s="24">
        <f t="shared" si="43"/>
        <v>1</v>
      </c>
      <c r="D234" s="718"/>
      <c r="E234" s="24">
        <f t="shared" si="44"/>
        <v>0.06</v>
      </c>
      <c r="F234" s="718"/>
      <c r="G234" s="24">
        <f t="shared" si="45"/>
        <v>0.06</v>
      </c>
      <c r="H234" s="718"/>
      <c r="I234" s="24">
        <f t="shared" si="46"/>
        <v>0</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8"/>
      <c r="C235" s="24">
        <f t="shared" si="43"/>
        <v>1</v>
      </c>
      <c r="D235" s="718"/>
      <c r="E235" s="24">
        <f t="shared" si="44"/>
        <v>0.06</v>
      </c>
      <c r="F235" s="718"/>
      <c r="G235" s="24">
        <f t="shared" si="45"/>
        <v>0.06</v>
      </c>
      <c r="H235" s="718"/>
      <c r="I235" s="24">
        <f t="shared" si="46"/>
        <v>0</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8"/>
      <c r="C236" s="24">
        <f t="shared" si="43"/>
        <v>1</v>
      </c>
      <c r="D236" s="718"/>
      <c r="E236" s="24">
        <f t="shared" si="44"/>
        <v>0.06</v>
      </c>
      <c r="F236" s="718"/>
      <c r="G236" s="24">
        <f t="shared" si="45"/>
        <v>0.06</v>
      </c>
      <c r="H236" s="718"/>
      <c r="I236" s="24">
        <f t="shared" si="46"/>
        <v>0</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8"/>
      <c r="C237" s="24">
        <f t="shared" si="43"/>
        <v>1</v>
      </c>
      <c r="D237" s="718"/>
      <c r="E237" s="24">
        <f t="shared" si="44"/>
        <v>0.06</v>
      </c>
      <c r="F237" s="718"/>
      <c r="G237" s="24">
        <f t="shared" si="45"/>
        <v>0.06</v>
      </c>
      <c r="H237" s="718"/>
      <c r="I237" s="24">
        <f t="shared" si="46"/>
        <v>0</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8"/>
      <c r="C238" s="24">
        <f t="shared" si="43"/>
        <v>1</v>
      </c>
      <c r="D238" s="718"/>
      <c r="E238" s="24">
        <f t="shared" si="44"/>
        <v>0.06</v>
      </c>
      <c r="F238" s="718"/>
      <c r="G238" s="24">
        <f t="shared" si="45"/>
        <v>0.06</v>
      </c>
      <c r="H238" s="718"/>
      <c r="I238" s="24">
        <f t="shared" si="46"/>
        <v>0</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8"/>
      <c r="C239" s="24">
        <f t="shared" si="43"/>
        <v>1</v>
      </c>
      <c r="D239" s="718"/>
      <c r="E239" s="24">
        <f t="shared" si="44"/>
        <v>0.06</v>
      </c>
      <c r="F239" s="718"/>
      <c r="G239" s="24">
        <f t="shared" si="45"/>
        <v>0.06</v>
      </c>
      <c r="H239" s="718"/>
      <c r="I239" s="24">
        <f t="shared" si="46"/>
        <v>0</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8"/>
      <c r="C240" s="24">
        <f t="shared" si="43"/>
        <v>1</v>
      </c>
      <c r="D240" s="718"/>
      <c r="E240" s="24">
        <f t="shared" si="44"/>
        <v>0.06</v>
      </c>
      <c r="F240" s="718"/>
      <c r="G240" s="24">
        <f t="shared" si="45"/>
        <v>0.06</v>
      </c>
      <c r="H240" s="718"/>
      <c r="I240" s="24">
        <f t="shared" si="46"/>
        <v>0</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8"/>
      <c r="C241" s="24">
        <f t="shared" si="43"/>
        <v>1</v>
      </c>
      <c r="D241" s="718"/>
      <c r="E241" s="24">
        <f t="shared" si="44"/>
        <v>0.06</v>
      </c>
      <c r="F241" s="718"/>
      <c r="G241" s="24">
        <f t="shared" si="45"/>
        <v>0.06</v>
      </c>
      <c r="H241" s="718"/>
      <c r="I241" s="24">
        <f t="shared" si="46"/>
        <v>0</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8"/>
      <c r="C242" s="24">
        <f t="shared" si="43"/>
        <v>1</v>
      </c>
      <c r="D242" s="718"/>
      <c r="E242" s="24">
        <f t="shared" si="44"/>
        <v>0.06</v>
      </c>
      <c r="F242" s="718"/>
      <c r="G242" s="24">
        <f t="shared" si="45"/>
        <v>0.06</v>
      </c>
      <c r="H242" s="718"/>
      <c r="I242" s="24">
        <f t="shared" si="46"/>
        <v>0</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8"/>
      <c r="C243" s="24">
        <f t="shared" si="43"/>
        <v>1</v>
      </c>
      <c r="D243" s="718"/>
      <c r="E243" s="24">
        <f t="shared" si="44"/>
        <v>0.06</v>
      </c>
      <c r="F243" s="718"/>
      <c r="G243" s="24">
        <f t="shared" si="45"/>
        <v>0.06</v>
      </c>
      <c r="H243" s="718"/>
      <c r="I243" s="24">
        <f t="shared" si="46"/>
        <v>0</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8"/>
      <c r="C244" s="24">
        <f t="shared" si="43"/>
        <v>1</v>
      </c>
      <c r="D244" s="718"/>
      <c r="E244" s="24">
        <f t="shared" si="44"/>
        <v>0.06</v>
      </c>
      <c r="F244" s="718"/>
      <c r="G244" s="24">
        <f t="shared" si="45"/>
        <v>0.06</v>
      </c>
      <c r="H244" s="718"/>
      <c r="I244" s="24">
        <f t="shared" si="46"/>
        <v>0</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8"/>
      <c r="C245" s="24">
        <f t="shared" si="43"/>
        <v>1</v>
      </c>
      <c r="D245" s="718"/>
      <c r="E245" s="24">
        <f t="shared" si="44"/>
        <v>0.06</v>
      </c>
      <c r="F245" s="718"/>
      <c r="G245" s="24">
        <f t="shared" si="45"/>
        <v>0.06</v>
      </c>
      <c r="H245" s="718"/>
      <c r="I245" s="24">
        <f t="shared" si="46"/>
        <v>0</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8"/>
      <c r="C246" s="24">
        <f t="shared" si="43"/>
        <v>1</v>
      </c>
      <c r="D246" s="718"/>
      <c r="E246" s="24">
        <f t="shared" si="44"/>
        <v>0.06</v>
      </c>
      <c r="F246" s="718"/>
      <c r="G246" s="24">
        <f t="shared" si="45"/>
        <v>0.06</v>
      </c>
      <c r="H246" s="718"/>
      <c r="I246" s="24">
        <f t="shared" si="46"/>
        <v>0</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8"/>
      <c r="C247" s="24">
        <f t="shared" si="43"/>
        <v>1</v>
      </c>
      <c r="D247" s="718"/>
      <c r="E247" s="24">
        <f t="shared" si="44"/>
        <v>0.06</v>
      </c>
      <c r="F247" s="718"/>
      <c r="G247" s="24">
        <f t="shared" si="45"/>
        <v>0.06</v>
      </c>
      <c r="H247" s="718"/>
      <c r="I247" s="24">
        <f t="shared" si="46"/>
        <v>0</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8"/>
      <c r="C248" s="24">
        <f t="shared" si="43"/>
        <v>1</v>
      </c>
      <c r="D248" s="718"/>
      <c r="E248" s="24">
        <f t="shared" si="44"/>
        <v>0.06</v>
      </c>
      <c r="F248" s="718"/>
      <c r="G248" s="24">
        <f t="shared" si="45"/>
        <v>0.06</v>
      </c>
      <c r="H248" s="718"/>
      <c r="I248" s="24">
        <f t="shared" si="46"/>
        <v>0</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8"/>
      <c r="C249" s="24">
        <f t="shared" si="43"/>
        <v>1</v>
      </c>
      <c r="D249" s="718"/>
      <c r="E249" s="24">
        <f t="shared" si="44"/>
        <v>0.06</v>
      </c>
      <c r="F249" s="718"/>
      <c r="G249" s="24">
        <f t="shared" si="45"/>
        <v>0.06</v>
      </c>
      <c r="H249" s="718"/>
      <c r="I249" s="24">
        <f t="shared" si="46"/>
        <v>0</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8"/>
      <c r="C250" s="24">
        <f t="shared" si="43"/>
        <v>1</v>
      </c>
      <c r="D250" s="718"/>
      <c r="E250" s="24">
        <f t="shared" si="44"/>
        <v>0.06</v>
      </c>
      <c r="F250" s="718"/>
      <c r="G250" s="24">
        <f t="shared" si="45"/>
        <v>0.06</v>
      </c>
      <c r="H250" s="718"/>
      <c r="I250" s="24">
        <f t="shared" si="46"/>
        <v>0</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8"/>
      <c r="C251" s="24">
        <f t="shared" si="43"/>
        <v>1</v>
      </c>
      <c r="D251" s="718"/>
      <c r="E251" s="24">
        <f t="shared" si="44"/>
        <v>0.06</v>
      </c>
      <c r="F251" s="718"/>
      <c r="G251" s="24">
        <f t="shared" si="45"/>
        <v>0.06</v>
      </c>
      <c r="H251" s="718"/>
      <c r="I251" s="24">
        <f t="shared" si="46"/>
        <v>0</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8"/>
      <c r="C252" s="24">
        <f t="shared" si="43"/>
        <v>1</v>
      </c>
      <c r="D252" s="718"/>
      <c r="E252" s="24">
        <f t="shared" si="44"/>
        <v>0.06</v>
      </c>
      <c r="F252" s="718"/>
      <c r="G252" s="24">
        <f t="shared" si="45"/>
        <v>0.06</v>
      </c>
      <c r="H252" s="718"/>
      <c r="I252" s="24">
        <f t="shared" si="46"/>
        <v>0</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8"/>
      <c r="C253" s="24">
        <f t="shared" si="43"/>
        <v>1</v>
      </c>
      <c r="D253" s="718"/>
      <c r="E253" s="24">
        <f t="shared" si="44"/>
        <v>0.06</v>
      </c>
      <c r="F253" s="718"/>
      <c r="G253" s="24">
        <f t="shared" si="45"/>
        <v>0.06</v>
      </c>
      <c r="H253" s="718"/>
      <c r="I253" s="24">
        <f t="shared" si="46"/>
        <v>0</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8"/>
      <c r="C254" s="24">
        <f t="shared" si="43"/>
        <v>1</v>
      </c>
      <c r="D254" s="718"/>
      <c r="E254" s="24">
        <f t="shared" si="44"/>
        <v>0.06</v>
      </c>
      <c r="F254" s="718"/>
      <c r="G254" s="24">
        <f t="shared" si="45"/>
        <v>0.06</v>
      </c>
      <c r="H254" s="718"/>
      <c r="I254" s="24">
        <f t="shared" si="46"/>
        <v>0</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8"/>
      <c r="C255" s="24">
        <f t="shared" si="43"/>
        <v>1</v>
      </c>
      <c r="D255" s="718"/>
      <c r="E255" s="24">
        <f t="shared" si="44"/>
        <v>0.06</v>
      </c>
      <c r="F255" s="718"/>
      <c r="G255" s="24">
        <f t="shared" si="45"/>
        <v>0.06</v>
      </c>
      <c r="H255" s="718"/>
      <c r="I255" s="24">
        <f t="shared" si="46"/>
        <v>0</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8"/>
      <c r="C256" s="24">
        <f t="shared" si="43"/>
        <v>1</v>
      </c>
      <c r="D256" s="718"/>
      <c r="E256" s="24">
        <f t="shared" si="44"/>
        <v>0.06</v>
      </c>
      <c r="F256" s="718"/>
      <c r="G256" s="24">
        <f t="shared" si="45"/>
        <v>0.06</v>
      </c>
      <c r="H256" s="718"/>
      <c r="I256" s="24">
        <f t="shared" si="46"/>
        <v>0</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8"/>
      <c r="C257" s="24">
        <f t="shared" si="43"/>
        <v>1</v>
      </c>
      <c r="D257" s="718"/>
      <c r="E257" s="24">
        <f t="shared" si="44"/>
        <v>0.06</v>
      </c>
      <c r="F257" s="718"/>
      <c r="G257" s="24">
        <f t="shared" si="45"/>
        <v>0.06</v>
      </c>
      <c r="H257" s="718"/>
      <c r="I257" s="24">
        <f t="shared" si="46"/>
        <v>0</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8"/>
      <c r="C258" s="24">
        <f t="shared" si="43"/>
        <v>1</v>
      </c>
      <c r="D258" s="718"/>
      <c r="E258" s="24">
        <f t="shared" si="44"/>
        <v>0.06</v>
      </c>
      <c r="F258" s="718"/>
      <c r="G258" s="24">
        <f t="shared" si="45"/>
        <v>0.06</v>
      </c>
      <c r="H258" s="718"/>
      <c r="I258" s="24">
        <f t="shared" si="46"/>
        <v>0</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8"/>
      <c r="C259" s="24">
        <f t="shared" si="43"/>
        <v>1</v>
      </c>
      <c r="D259" s="718"/>
      <c r="E259" s="24">
        <f t="shared" si="44"/>
        <v>0.06</v>
      </c>
      <c r="F259" s="718"/>
      <c r="G259" s="24">
        <f t="shared" si="45"/>
        <v>0.06</v>
      </c>
      <c r="H259" s="718"/>
      <c r="I259" s="24">
        <f t="shared" si="46"/>
        <v>0</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8"/>
      <c r="C260" s="24">
        <f t="shared" si="43"/>
        <v>1</v>
      </c>
      <c r="D260" s="718"/>
      <c r="E260" s="24">
        <f t="shared" si="44"/>
        <v>0.06</v>
      </c>
      <c r="F260" s="718"/>
      <c r="G260" s="24">
        <f t="shared" si="45"/>
        <v>0.06</v>
      </c>
      <c r="H260" s="718"/>
      <c r="I260" s="24">
        <f t="shared" si="46"/>
        <v>0</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8"/>
      <c r="C261" s="24">
        <f t="shared" si="43"/>
        <v>1</v>
      </c>
      <c r="D261" s="718"/>
      <c r="E261" s="24">
        <f t="shared" si="44"/>
        <v>0.06</v>
      </c>
      <c r="F261" s="718"/>
      <c r="G261" s="24">
        <f t="shared" si="45"/>
        <v>0.06</v>
      </c>
      <c r="H261" s="718"/>
      <c r="I261" s="24">
        <f t="shared" si="46"/>
        <v>0</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8"/>
      <c r="C262" s="24">
        <f t="shared" si="43"/>
        <v>1</v>
      </c>
      <c r="D262" s="718"/>
      <c r="E262" s="24">
        <f t="shared" si="44"/>
        <v>0.06</v>
      </c>
      <c r="F262" s="718"/>
      <c r="G262" s="24">
        <f t="shared" si="45"/>
        <v>0.06</v>
      </c>
      <c r="H262" s="718"/>
      <c r="I262" s="24">
        <f t="shared" si="46"/>
        <v>0</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8"/>
      <c r="C263" s="24">
        <f t="shared" si="43"/>
        <v>1</v>
      </c>
      <c r="D263" s="718"/>
      <c r="E263" s="24">
        <f t="shared" si="44"/>
        <v>0.06</v>
      </c>
      <c r="F263" s="718"/>
      <c r="G263" s="24">
        <f t="shared" si="45"/>
        <v>0.06</v>
      </c>
      <c r="H263" s="718"/>
      <c r="I263" s="24">
        <f t="shared" si="46"/>
        <v>0</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8"/>
      <c r="C264" s="24">
        <f t="shared" si="43"/>
        <v>1</v>
      </c>
      <c r="D264" s="718"/>
      <c r="E264" s="24">
        <f t="shared" si="44"/>
        <v>0.06</v>
      </c>
      <c r="F264" s="718"/>
      <c r="G264" s="24">
        <f t="shared" si="45"/>
        <v>0.06</v>
      </c>
      <c r="H264" s="718"/>
      <c r="I264" s="24">
        <f t="shared" si="46"/>
        <v>0</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8"/>
      <c r="C265" s="24">
        <f t="shared" si="43"/>
        <v>1</v>
      </c>
      <c r="D265" s="718"/>
      <c r="E265" s="24">
        <f t="shared" si="44"/>
        <v>0.06</v>
      </c>
      <c r="F265" s="718"/>
      <c r="G265" s="24">
        <f t="shared" si="45"/>
        <v>0.06</v>
      </c>
      <c r="H265" s="718"/>
      <c r="I265" s="24">
        <f t="shared" si="46"/>
        <v>0</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8"/>
      <c r="C266" s="24">
        <f t="shared" si="43"/>
        <v>1</v>
      </c>
      <c r="D266" s="718"/>
      <c r="E266" s="24">
        <f t="shared" si="44"/>
        <v>0.06</v>
      </c>
      <c r="F266" s="718"/>
      <c r="G266" s="24">
        <f t="shared" si="45"/>
        <v>0.06</v>
      </c>
      <c r="H266" s="718"/>
      <c r="I266" s="24">
        <f t="shared" si="46"/>
        <v>0</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8"/>
      <c r="C267" s="24">
        <f t="shared" si="43"/>
        <v>1</v>
      </c>
      <c r="D267" s="718"/>
      <c r="E267" s="24">
        <f t="shared" si="44"/>
        <v>0.06</v>
      </c>
      <c r="F267" s="718"/>
      <c r="G267" s="24">
        <f t="shared" si="45"/>
        <v>0.06</v>
      </c>
      <c r="H267" s="718"/>
      <c r="I267" s="24">
        <f t="shared" si="46"/>
        <v>0</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8"/>
      <c r="C268" s="24">
        <f t="shared" si="43"/>
        <v>1</v>
      </c>
      <c r="D268" s="718"/>
      <c r="E268" s="24">
        <f t="shared" si="44"/>
        <v>0.06</v>
      </c>
      <c r="F268" s="718"/>
      <c r="G268" s="24">
        <f t="shared" si="45"/>
        <v>0.06</v>
      </c>
      <c r="H268" s="718"/>
      <c r="I268" s="24">
        <f t="shared" si="46"/>
        <v>0</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8"/>
      <c r="C269" s="24">
        <f t="shared" si="43"/>
        <v>1</v>
      </c>
      <c r="D269" s="718"/>
      <c r="E269" s="24">
        <f t="shared" si="44"/>
        <v>0.06</v>
      </c>
      <c r="F269" s="718"/>
      <c r="G269" s="24">
        <f t="shared" si="45"/>
        <v>0.06</v>
      </c>
      <c r="H269" s="718"/>
      <c r="I269" s="24">
        <f t="shared" si="46"/>
        <v>0</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8"/>
      <c r="C270" s="24">
        <f t="shared" si="43"/>
        <v>1</v>
      </c>
      <c r="D270" s="718"/>
      <c r="E270" s="24">
        <f t="shared" si="44"/>
        <v>0.06</v>
      </c>
      <c r="F270" s="718"/>
      <c r="G270" s="24">
        <f t="shared" si="45"/>
        <v>0.06</v>
      </c>
      <c r="H270" s="718"/>
      <c r="I270" s="24">
        <f t="shared" si="46"/>
        <v>0</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8"/>
      <c r="C271" s="24">
        <f t="shared" si="43"/>
        <v>1</v>
      </c>
      <c r="D271" s="718"/>
      <c r="E271" s="24">
        <f t="shared" si="44"/>
        <v>0.06</v>
      </c>
      <c r="F271" s="718"/>
      <c r="G271" s="24">
        <f t="shared" si="45"/>
        <v>0.06</v>
      </c>
      <c r="H271" s="718"/>
      <c r="I271" s="24">
        <f t="shared" si="46"/>
        <v>0</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8"/>
      <c r="C272" s="24">
        <f t="shared" si="43"/>
        <v>1</v>
      </c>
      <c r="D272" s="718"/>
      <c r="E272" s="24">
        <f t="shared" si="44"/>
        <v>0.06</v>
      </c>
      <c r="F272" s="718"/>
      <c r="G272" s="24">
        <f t="shared" si="45"/>
        <v>0.06</v>
      </c>
      <c r="H272" s="718"/>
      <c r="I272" s="24">
        <f t="shared" si="46"/>
        <v>0</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8"/>
      <c r="C273" s="24">
        <f t="shared" si="43"/>
        <v>1</v>
      </c>
      <c r="D273" s="718"/>
      <c r="E273" s="24">
        <f t="shared" si="44"/>
        <v>0.06</v>
      </c>
      <c r="F273" s="718"/>
      <c r="G273" s="24">
        <f t="shared" si="45"/>
        <v>0.06</v>
      </c>
      <c r="H273" s="718"/>
      <c r="I273" s="24">
        <f t="shared" si="46"/>
        <v>0</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8"/>
      <c r="C274" s="24">
        <f t="shared" si="43"/>
        <v>1</v>
      </c>
      <c r="D274" s="718"/>
      <c r="E274" s="24">
        <f t="shared" si="44"/>
        <v>0.06</v>
      </c>
      <c r="F274" s="718"/>
      <c r="G274" s="24">
        <f t="shared" si="45"/>
        <v>0.06</v>
      </c>
      <c r="H274" s="718"/>
      <c r="I274" s="24">
        <f t="shared" si="46"/>
        <v>0</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8"/>
      <c r="C275" s="24">
        <f t="shared" si="43"/>
        <v>1</v>
      </c>
      <c r="D275" s="718"/>
      <c r="E275" s="24">
        <f t="shared" si="44"/>
        <v>0.06</v>
      </c>
      <c r="F275" s="718"/>
      <c r="G275" s="24">
        <f t="shared" si="45"/>
        <v>0.06</v>
      </c>
      <c r="H275" s="718"/>
      <c r="I275" s="24">
        <f t="shared" si="46"/>
        <v>0</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8"/>
      <c r="C276" s="24">
        <f t="shared" si="43"/>
        <v>1</v>
      </c>
      <c r="D276" s="718"/>
      <c r="E276" s="24">
        <f t="shared" si="44"/>
        <v>0.06</v>
      </c>
      <c r="F276" s="718"/>
      <c r="G276" s="24">
        <f t="shared" si="45"/>
        <v>0.06</v>
      </c>
      <c r="H276" s="718"/>
      <c r="I276" s="24">
        <f t="shared" si="46"/>
        <v>0</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8"/>
      <c r="C277" s="24">
        <f t="shared" si="43"/>
        <v>1</v>
      </c>
      <c r="D277" s="718"/>
      <c r="E277" s="24">
        <f t="shared" si="44"/>
        <v>0.06</v>
      </c>
      <c r="F277" s="718"/>
      <c r="G277" s="24">
        <f t="shared" si="45"/>
        <v>0.06</v>
      </c>
      <c r="H277" s="718"/>
      <c r="I277" s="24">
        <f t="shared" si="46"/>
        <v>0</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8"/>
      <c r="C278" s="24">
        <f t="shared" si="43"/>
        <v>1</v>
      </c>
      <c r="D278" s="718"/>
      <c r="E278" s="24">
        <f t="shared" si="44"/>
        <v>0.06</v>
      </c>
      <c r="F278" s="718"/>
      <c r="G278" s="24">
        <f t="shared" si="45"/>
        <v>0.06</v>
      </c>
      <c r="H278" s="718"/>
      <c r="I278" s="24">
        <f t="shared" si="46"/>
        <v>0</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8"/>
      <c r="C279" s="24">
        <f t="shared" si="43"/>
        <v>1</v>
      </c>
      <c r="D279" s="718"/>
      <c r="E279" s="24">
        <f t="shared" si="44"/>
        <v>0.06</v>
      </c>
      <c r="F279" s="718"/>
      <c r="G279" s="24">
        <f t="shared" si="45"/>
        <v>0.06</v>
      </c>
      <c r="H279" s="718"/>
      <c r="I279" s="24">
        <f t="shared" si="46"/>
        <v>0</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8"/>
      <c r="C280" s="24">
        <f t="shared" si="43"/>
        <v>1</v>
      </c>
      <c r="D280" s="718"/>
      <c r="E280" s="24">
        <f t="shared" si="44"/>
        <v>0.06</v>
      </c>
      <c r="F280" s="718"/>
      <c r="G280" s="24">
        <f t="shared" si="45"/>
        <v>0.06</v>
      </c>
      <c r="H280" s="718"/>
      <c r="I280" s="24">
        <f t="shared" si="46"/>
        <v>0</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8"/>
      <c r="C281" s="24">
        <f t="shared" si="43"/>
        <v>1</v>
      </c>
      <c r="D281" s="718"/>
      <c r="E281" s="24">
        <f t="shared" si="44"/>
        <v>0.06</v>
      </c>
      <c r="F281" s="718"/>
      <c r="G281" s="24">
        <f t="shared" si="45"/>
        <v>0.06</v>
      </c>
      <c r="H281" s="718"/>
      <c r="I281" s="24">
        <f t="shared" si="46"/>
        <v>0</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0.06</v>
      </c>
      <c r="F282" s="718"/>
      <c r="G282" s="24">
        <f t="shared" ref="G282:G345" si="55">(SUMIF($7:$7,F282,$8:$8)-SUMIF($7:$7,$F$24,$8:$8)+100)/100</f>
        <v>0.06</v>
      </c>
      <c r="H282" s="718"/>
      <c r="I282" s="24">
        <f t="shared" ref="I282:I345" si="56">(SUMIF($9:$9,H282,$10:$10)-SUMIF($9:$9,$H$24,$10:$10)+100)/100</f>
        <v>0</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8"/>
      <c r="C283" s="24">
        <f t="shared" si="53"/>
        <v>1</v>
      </c>
      <c r="D283" s="718"/>
      <c r="E283" s="24">
        <f t="shared" si="54"/>
        <v>0.06</v>
      </c>
      <c r="F283" s="718"/>
      <c r="G283" s="24">
        <f t="shared" si="55"/>
        <v>0.06</v>
      </c>
      <c r="H283" s="718"/>
      <c r="I283" s="24">
        <f t="shared" si="56"/>
        <v>0</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8"/>
      <c r="C284" s="24">
        <f t="shared" si="53"/>
        <v>1</v>
      </c>
      <c r="D284" s="718"/>
      <c r="E284" s="24">
        <f t="shared" si="54"/>
        <v>0.06</v>
      </c>
      <c r="F284" s="718"/>
      <c r="G284" s="24">
        <f t="shared" si="55"/>
        <v>0.06</v>
      </c>
      <c r="H284" s="718"/>
      <c r="I284" s="24">
        <f t="shared" si="56"/>
        <v>0</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8"/>
      <c r="C285" s="24">
        <f t="shared" si="53"/>
        <v>1</v>
      </c>
      <c r="D285" s="718"/>
      <c r="E285" s="24">
        <f t="shared" si="54"/>
        <v>0.06</v>
      </c>
      <c r="F285" s="718"/>
      <c r="G285" s="24">
        <f t="shared" si="55"/>
        <v>0.06</v>
      </c>
      <c r="H285" s="718"/>
      <c r="I285" s="24">
        <f t="shared" si="56"/>
        <v>0</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8"/>
      <c r="C286" s="24">
        <f t="shared" si="53"/>
        <v>1</v>
      </c>
      <c r="D286" s="718"/>
      <c r="E286" s="24">
        <f t="shared" si="54"/>
        <v>0.06</v>
      </c>
      <c r="F286" s="718"/>
      <c r="G286" s="24">
        <f t="shared" si="55"/>
        <v>0.06</v>
      </c>
      <c r="H286" s="718"/>
      <c r="I286" s="24">
        <f t="shared" si="56"/>
        <v>0</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8"/>
      <c r="C287" s="24">
        <f t="shared" si="53"/>
        <v>1</v>
      </c>
      <c r="D287" s="718"/>
      <c r="E287" s="24">
        <f t="shared" si="54"/>
        <v>0.06</v>
      </c>
      <c r="F287" s="718"/>
      <c r="G287" s="24">
        <f t="shared" si="55"/>
        <v>0.06</v>
      </c>
      <c r="H287" s="718"/>
      <c r="I287" s="24">
        <f t="shared" si="56"/>
        <v>0</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8"/>
      <c r="C288" s="24">
        <f t="shared" si="53"/>
        <v>1</v>
      </c>
      <c r="D288" s="718"/>
      <c r="E288" s="24">
        <f t="shared" si="54"/>
        <v>0.06</v>
      </c>
      <c r="F288" s="718"/>
      <c r="G288" s="24">
        <f t="shared" si="55"/>
        <v>0.06</v>
      </c>
      <c r="H288" s="718"/>
      <c r="I288" s="24">
        <f t="shared" si="56"/>
        <v>0</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8"/>
      <c r="C289" s="24">
        <f t="shared" si="53"/>
        <v>1</v>
      </c>
      <c r="D289" s="718"/>
      <c r="E289" s="24">
        <f t="shared" si="54"/>
        <v>0.06</v>
      </c>
      <c r="F289" s="718"/>
      <c r="G289" s="24">
        <f t="shared" si="55"/>
        <v>0.06</v>
      </c>
      <c r="H289" s="718"/>
      <c r="I289" s="24">
        <f t="shared" si="56"/>
        <v>0</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8"/>
      <c r="C290" s="24">
        <f t="shared" si="53"/>
        <v>1</v>
      </c>
      <c r="D290" s="718"/>
      <c r="E290" s="24">
        <f t="shared" si="54"/>
        <v>0.06</v>
      </c>
      <c r="F290" s="718"/>
      <c r="G290" s="24">
        <f t="shared" si="55"/>
        <v>0.06</v>
      </c>
      <c r="H290" s="718"/>
      <c r="I290" s="24">
        <f t="shared" si="56"/>
        <v>0</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8"/>
      <c r="C291" s="24">
        <f t="shared" si="53"/>
        <v>1</v>
      </c>
      <c r="D291" s="718"/>
      <c r="E291" s="24">
        <f t="shared" si="54"/>
        <v>0.06</v>
      </c>
      <c r="F291" s="718"/>
      <c r="G291" s="24">
        <f t="shared" si="55"/>
        <v>0.06</v>
      </c>
      <c r="H291" s="718"/>
      <c r="I291" s="24">
        <f t="shared" si="56"/>
        <v>0</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8"/>
      <c r="C292" s="24">
        <f t="shared" si="53"/>
        <v>1</v>
      </c>
      <c r="D292" s="718"/>
      <c r="E292" s="24">
        <f t="shared" si="54"/>
        <v>0.06</v>
      </c>
      <c r="F292" s="718"/>
      <c r="G292" s="24">
        <f t="shared" si="55"/>
        <v>0.06</v>
      </c>
      <c r="H292" s="718"/>
      <c r="I292" s="24">
        <f t="shared" si="56"/>
        <v>0</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8"/>
      <c r="C293" s="24">
        <f t="shared" si="53"/>
        <v>1</v>
      </c>
      <c r="D293" s="718"/>
      <c r="E293" s="24">
        <f t="shared" si="54"/>
        <v>0.06</v>
      </c>
      <c r="F293" s="718"/>
      <c r="G293" s="24">
        <f t="shared" si="55"/>
        <v>0.06</v>
      </c>
      <c r="H293" s="718"/>
      <c r="I293" s="24">
        <f t="shared" si="56"/>
        <v>0</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8"/>
      <c r="C294" s="24">
        <f t="shared" si="53"/>
        <v>1</v>
      </c>
      <c r="D294" s="718"/>
      <c r="E294" s="24">
        <f t="shared" si="54"/>
        <v>0.06</v>
      </c>
      <c r="F294" s="718"/>
      <c r="G294" s="24">
        <f t="shared" si="55"/>
        <v>0.06</v>
      </c>
      <c r="H294" s="718"/>
      <c r="I294" s="24">
        <f t="shared" si="56"/>
        <v>0</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8"/>
      <c r="C295" s="24">
        <f t="shared" si="53"/>
        <v>1</v>
      </c>
      <c r="D295" s="718"/>
      <c r="E295" s="24">
        <f t="shared" si="54"/>
        <v>0.06</v>
      </c>
      <c r="F295" s="718"/>
      <c r="G295" s="24">
        <f t="shared" si="55"/>
        <v>0.06</v>
      </c>
      <c r="H295" s="718"/>
      <c r="I295" s="24">
        <f t="shared" si="56"/>
        <v>0</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8"/>
      <c r="C296" s="24">
        <f t="shared" si="53"/>
        <v>1</v>
      </c>
      <c r="D296" s="718"/>
      <c r="E296" s="24">
        <f t="shared" si="54"/>
        <v>0.06</v>
      </c>
      <c r="F296" s="718"/>
      <c r="G296" s="24">
        <f t="shared" si="55"/>
        <v>0.06</v>
      </c>
      <c r="H296" s="718"/>
      <c r="I296" s="24">
        <f t="shared" si="56"/>
        <v>0</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8"/>
      <c r="C297" s="24">
        <f t="shared" si="53"/>
        <v>1</v>
      </c>
      <c r="D297" s="718"/>
      <c r="E297" s="24">
        <f t="shared" si="54"/>
        <v>0.06</v>
      </c>
      <c r="F297" s="718"/>
      <c r="G297" s="24">
        <f t="shared" si="55"/>
        <v>0.06</v>
      </c>
      <c r="H297" s="718"/>
      <c r="I297" s="24">
        <f t="shared" si="56"/>
        <v>0</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8"/>
      <c r="C298" s="24">
        <f t="shared" si="53"/>
        <v>1</v>
      </c>
      <c r="D298" s="718"/>
      <c r="E298" s="24">
        <f t="shared" si="54"/>
        <v>0.06</v>
      </c>
      <c r="F298" s="718"/>
      <c r="G298" s="24">
        <f t="shared" si="55"/>
        <v>0.06</v>
      </c>
      <c r="H298" s="718"/>
      <c r="I298" s="24">
        <f t="shared" si="56"/>
        <v>0</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8"/>
      <c r="C299" s="24">
        <f t="shared" si="53"/>
        <v>1</v>
      </c>
      <c r="D299" s="718"/>
      <c r="E299" s="24">
        <f t="shared" si="54"/>
        <v>0.06</v>
      </c>
      <c r="F299" s="718"/>
      <c r="G299" s="24">
        <f t="shared" si="55"/>
        <v>0.06</v>
      </c>
      <c r="H299" s="718"/>
      <c r="I299" s="24">
        <f t="shared" si="56"/>
        <v>0</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8"/>
      <c r="C300" s="24">
        <f t="shared" si="53"/>
        <v>1</v>
      </c>
      <c r="D300" s="718"/>
      <c r="E300" s="24">
        <f t="shared" si="54"/>
        <v>0.06</v>
      </c>
      <c r="F300" s="718"/>
      <c r="G300" s="24">
        <f t="shared" si="55"/>
        <v>0.06</v>
      </c>
      <c r="H300" s="718"/>
      <c r="I300" s="24">
        <f t="shared" si="56"/>
        <v>0</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8"/>
      <c r="C301" s="24">
        <f t="shared" si="53"/>
        <v>1</v>
      </c>
      <c r="D301" s="718"/>
      <c r="E301" s="24">
        <f t="shared" si="54"/>
        <v>0.06</v>
      </c>
      <c r="F301" s="718"/>
      <c r="G301" s="24">
        <f t="shared" si="55"/>
        <v>0.06</v>
      </c>
      <c r="H301" s="718"/>
      <c r="I301" s="24">
        <f t="shared" si="56"/>
        <v>0</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8"/>
      <c r="C302" s="24">
        <f t="shared" si="53"/>
        <v>1</v>
      </c>
      <c r="D302" s="718"/>
      <c r="E302" s="24">
        <f t="shared" si="54"/>
        <v>0.06</v>
      </c>
      <c r="F302" s="718"/>
      <c r="G302" s="24">
        <f t="shared" si="55"/>
        <v>0.06</v>
      </c>
      <c r="H302" s="718"/>
      <c r="I302" s="24">
        <f t="shared" si="56"/>
        <v>0</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8"/>
      <c r="C303" s="24">
        <f t="shared" si="53"/>
        <v>1</v>
      </c>
      <c r="D303" s="718"/>
      <c r="E303" s="24">
        <f t="shared" si="54"/>
        <v>0.06</v>
      </c>
      <c r="F303" s="718"/>
      <c r="G303" s="24">
        <f t="shared" si="55"/>
        <v>0.06</v>
      </c>
      <c r="H303" s="718"/>
      <c r="I303" s="24">
        <f t="shared" si="56"/>
        <v>0</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8"/>
      <c r="C304" s="24">
        <f t="shared" si="53"/>
        <v>1</v>
      </c>
      <c r="D304" s="718"/>
      <c r="E304" s="24">
        <f t="shared" si="54"/>
        <v>0.06</v>
      </c>
      <c r="F304" s="718"/>
      <c r="G304" s="24">
        <f t="shared" si="55"/>
        <v>0.06</v>
      </c>
      <c r="H304" s="718"/>
      <c r="I304" s="24">
        <f t="shared" si="56"/>
        <v>0</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8"/>
      <c r="C305" s="24">
        <f t="shared" si="53"/>
        <v>1</v>
      </c>
      <c r="D305" s="718"/>
      <c r="E305" s="24">
        <f t="shared" si="54"/>
        <v>0.06</v>
      </c>
      <c r="F305" s="718"/>
      <c r="G305" s="24">
        <f t="shared" si="55"/>
        <v>0.06</v>
      </c>
      <c r="H305" s="718"/>
      <c r="I305" s="24">
        <f t="shared" si="56"/>
        <v>0</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8"/>
      <c r="C306" s="24">
        <f t="shared" si="53"/>
        <v>1</v>
      </c>
      <c r="D306" s="718"/>
      <c r="E306" s="24">
        <f t="shared" si="54"/>
        <v>0.06</v>
      </c>
      <c r="F306" s="718"/>
      <c r="G306" s="24">
        <f t="shared" si="55"/>
        <v>0.06</v>
      </c>
      <c r="H306" s="718"/>
      <c r="I306" s="24">
        <f t="shared" si="56"/>
        <v>0</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8"/>
      <c r="C307" s="24">
        <f t="shared" si="53"/>
        <v>1</v>
      </c>
      <c r="D307" s="718"/>
      <c r="E307" s="24">
        <f t="shared" si="54"/>
        <v>0.06</v>
      </c>
      <c r="F307" s="718"/>
      <c r="G307" s="24">
        <f t="shared" si="55"/>
        <v>0.06</v>
      </c>
      <c r="H307" s="718"/>
      <c r="I307" s="24">
        <f t="shared" si="56"/>
        <v>0</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8"/>
      <c r="C308" s="24">
        <f t="shared" si="53"/>
        <v>1</v>
      </c>
      <c r="D308" s="718"/>
      <c r="E308" s="24">
        <f t="shared" si="54"/>
        <v>0.06</v>
      </c>
      <c r="F308" s="718"/>
      <c r="G308" s="24">
        <f t="shared" si="55"/>
        <v>0.06</v>
      </c>
      <c r="H308" s="718"/>
      <c r="I308" s="24">
        <f t="shared" si="56"/>
        <v>0</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8"/>
      <c r="C309" s="24">
        <f t="shared" si="53"/>
        <v>1</v>
      </c>
      <c r="D309" s="718"/>
      <c r="E309" s="24">
        <f t="shared" si="54"/>
        <v>0.06</v>
      </c>
      <c r="F309" s="718"/>
      <c r="G309" s="24">
        <f t="shared" si="55"/>
        <v>0.06</v>
      </c>
      <c r="H309" s="718"/>
      <c r="I309" s="24">
        <f t="shared" si="56"/>
        <v>0</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8"/>
      <c r="C310" s="24">
        <f t="shared" si="53"/>
        <v>1</v>
      </c>
      <c r="D310" s="718"/>
      <c r="E310" s="24">
        <f t="shared" si="54"/>
        <v>0.06</v>
      </c>
      <c r="F310" s="718"/>
      <c r="G310" s="24">
        <f t="shared" si="55"/>
        <v>0.06</v>
      </c>
      <c r="H310" s="718"/>
      <c r="I310" s="24">
        <f t="shared" si="56"/>
        <v>0</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8"/>
      <c r="C311" s="24">
        <f t="shared" si="53"/>
        <v>1</v>
      </c>
      <c r="D311" s="718"/>
      <c r="E311" s="24">
        <f t="shared" si="54"/>
        <v>0.06</v>
      </c>
      <c r="F311" s="718"/>
      <c r="G311" s="24">
        <f t="shared" si="55"/>
        <v>0.06</v>
      </c>
      <c r="H311" s="718"/>
      <c r="I311" s="24">
        <f t="shared" si="56"/>
        <v>0</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8"/>
      <c r="C312" s="24">
        <f t="shared" si="53"/>
        <v>1</v>
      </c>
      <c r="D312" s="718"/>
      <c r="E312" s="24">
        <f t="shared" si="54"/>
        <v>0.06</v>
      </c>
      <c r="F312" s="718"/>
      <c r="G312" s="24">
        <f t="shared" si="55"/>
        <v>0.06</v>
      </c>
      <c r="H312" s="718"/>
      <c r="I312" s="24">
        <f t="shared" si="56"/>
        <v>0</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8"/>
      <c r="C313" s="24">
        <f t="shared" si="53"/>
        <v>1</v>
      </c>
      <c r="D313" s="718"/>
      <c r="E313" s="24">
        <f t="shared" si="54"/>
        <v>0.06</v>
      </c>
      <c r="F313" s="718"/>
      <c r="G313" s="24">
        <f t="shared" si="55"/>
        <v>0.06</v>
      </c>
      <c r="H313" s="718"/>
      <c r="I313" s="24">
        <f t="shared" si="56"/>
        <v>0</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8"/>
      <c r="C314" s="24">
        <f t="shared" si="53"/>
        <v>1</v>
      </c>
      <c r="D314" s="718"/>
      <c r="E314" s="24">
        <f t="shared" si="54"/>
        <v>0.06</v>
      </c>
      <c r="F314" s="718"/>
      <c r="G314" s="24">
        <f t="shared" si="55"/>
        <v>0.06</v>
      </c>
      <c r="H314" s="718"/>
      <c r="I314" s="24">
        <f t="shared" si="56"/>
        <v>0</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8"/>
      <c r="C315" s="24">
        <f t="shared" si="53"/>
        <v>1</v>
      </c>
      <c r="D315" s="718"/>
      <c r="E315" s="24">
        <f t="shared" si="54"/>
        <v>0.06</v>
      </c>
      <c r="F315" s="718"/>
      <c r="G315" s="24">
        <f t="shared" si="55"/>
        <v>0.06</v>
      </c>
      <c r="H315" s="718"/>
      <c r="I315" s="24">
        <f t="shared" si="56"/>
        <v>0</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8"/>
      <c r="C316" s="24">
        <f t="shared" si="53"/>
        <v>1</v>
      </c>
      <c r="D316" s="718"/>
      <c r="E316" s="24">
        <f t="shared" si="54"/>
        <v>0.06</v>
      </c>
      <c r="F316" s="718"/>
      <c r="G316" s="24">
        <f t="shared" si="55"/>
        <v>0.06</v>
      </c>
      <c r="H316" s="718"/>
      <c r="I316" s="24">
        <f t="shared" si="56"/>
        <v>0</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8"/>
      <c r="C317" s="24">
        <f t="shared" si="53"/>
        <v>1</v>
      </c>
      <c r="D317" s="718"/>
      <c r="E317" s="24">
        <f t="shared" si="54"/>
        <v>0.06</v>
      </c>
      <c r="F317" s="718"/>
      <c r="G317" s="24">
        <f t="shared" si="55"/>
        <v>0.06</v>
      </c>
      <c r="H317" s="718"/>
      <c r="I317" s="24">
        <f t="shared" si="56"/>
        <v>0</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8"/>
      <c r="C318" s="24">
        <f t="shared" si="53"/>
        <v>1</v>
      </c>
      <c r="D318" s="718"/>
      <c r="E318" s="24">
        <f t="shared" si="54"/>
        <v>0.06</v>
      </c>
      <c r="F318" s="718"/>
      <c r="G318" s="24">
        <f t="shared" si="55"/>
        <v>0.06</v>
      </c>
      <c r="H318" s="718"/>
      <c r="I318" s="24">
        <f t="shared" si="56"/>
        <v>0</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8"/>
      <c r="C319" s="24">
        <f t="shared" si="53"/>
        <v>1</v>
      </c>
      <c r="D319" s="718"/>
      <c r="E319" s="24">
        <f t="shared" si="54"/>
        <v>0.06</v>
      </c>
      <c r="F319" s="718"/>
      <c r="G319" s="24">
        <f t="shared" si="55"/>
        <v>0.06</v>
      </c>
      <c r="H319" s="718"/>
      <c r="I319" s="24">
        <f t="shared" si="56"/>
        <v>0</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8"/>
      <c r="C320" s="24">
        <f t="shared" si="53"/>
        <v>1</v>
      </c>
      <c r="D320" s="718"/>
      <c r="E320" s="24">
        <f t="shared" si="54"/>
        <v>0.06</v>
      </c>
      <c r="F320" s="718"/>
      <c r="G320" s="24">
        <f t="shared" si="55"/>
        <v>0.06</v>
      </c>
      <c r="H320" s="718"/>
      <c r="I320" s="24">
        <f t="shared" si="56"/>
        <v>0</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8"/>
      <c r="C321" s="24">
        <f t="shared" si="53"/>
        <v>1</v>
      </c>
      <c r="D321" s="718"/>
      <c r="E321" s="24">
        <f t="shared" si="54"/>
        <v>0.06</v>
      </c>
      <c r="F321" s="718"/>
      <c r="G321" s="24">
        <f t="shared" si="55"/>
        <v>0.06</v>
      </c>
      <c r="H321" s="718"/>
      <c r="I321" s="24">
        <f t="shared" si="56"/>
        <v>0</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8"/>
      <c r="C322" s="24">
        <f t="shared" si="53"/>
        <v>1</v>
      </c>
      <c r="D322" s="718"/>
      <c r="E322" s="24">
        <f t="shared" si="54"/>
        <v>0.06</v>
      </c>
      <c r="F322" s="718"/>
      <c r="G322" s="24">
        <f t="shared" si="55"/>
        <v>0.06</v>
      </c>
      <c r="H322" s="718"/>
      <c r="I322" s="24">
        <f t="shared" si="56"/>
        <v>0</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8"/>
      <c r="C323" s="24">
        <f t="shared" si="53"/>
        <v>1</v>
      </c>
      <c r="D323" s="718"/>
      <c r="E323" s="24">
        <f t="shared" si="54"/>
        <v>0.06</v>
      </c>
      <c r="F323" s="718"/>
      <c r="G323" s="24">
        <f t="shared" si="55"/>
        <v>0.06</v>
      </c>
      <c r="H323" s="718"/>
      <c r="I323" s="24">
        <f t="shared" si="56"/>
        <v>0</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8"/>
      <c r="C324" s="24">
        <f t="shared" si="53"/>
        <v>1</v>
      </c>
      <c r="D324" s="718"/>
      <c r="E324" s="24">
        <f t="shared" si="54"/>
        <v>0.06</v>
      </c>
      <c r="F324" s="718"/>
      <c r="G324" s="24">
        <f t="shared" si="55"/>
        <v>0.06</v>
      </c>
      <c r="H324" s="718"/>
      <c r="I324" s="24">
        <f t="shared" si="56"/>
        <v>0</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8"/>
      <c r="C325" s="24">
        <f t="shared" si="53"/>
        <v>1</v>
      </c>
      <c r="D325" s="718"/>
      <c r="E325" s="24">
        <f t="shared" si="54"/>
        <v>0.06</v>
      </c>
      <c r="F325" s="718"/>
      <c r="G325" s="24">
        <f t="shared" si="55"/>
        <v>0.06</v>
      </c>
      <c r="H325" s="718"/>
      <c r="I325" s="24">
        <f t="shared" si="56"/>
        <v>0</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8"/>
      <c r="C326" s="24">
        <f t="shared" si="53"/>
        <v>1</v>
      </c>
      <c r="D326" s="718"/>
      <c r="E326" s="24">
        <f t="shared" si="54"/>
        <v>0.06</v>
      </c>
      <c r="F326" s="718"/>
      <c r="G326" s="24">
        <f t="shared" si="55"/>
        <v>0.06</v>
      </c>
      <c r="H326" s="718"/>
      <c r="I326" s="24">
        <f t="shared" si="56"/>
        <v>0</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8"/>
      <c r="C327" s="24">
        <f t="shared" si="53"/>
        <v>1</v>
      </c>
      <c r="D327" s="718"/>
      <c r="E327" s="24">
        <f t="shared" si="54"/>
        <v>0.06</v>
      </c>
      <c r="F327" s="718"/>
      <c r="G327" s="24">
        <f t="shared" si="55"/>
        <v>0.06</v>
      </c>
      <c r="H327" s="718"/>
      <c r="I327" s="24">
        <f t="shared" si="56"/>
        <v>0</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8"/>
      <c r="C328" s="24">
        <f t="shared" si="53"/>
        <v>1</v>
      </c>
      <c r="D328" s="718"/>
      <c r="E328" s="24">
        <f t="shared" si="54"/>
        <v>0.06</v>
      </c>
      <c r="F328" s="718"/>
      <c r="G328" s="24">
        <f t="shared" si="55"/>
        <v>0.06</v>
      </c>
      <c r="H328" s="718"/>
      <c r="I328" s="24">
        <f t="shared" si="56"/>
        <v>0</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8"/>
      <c r="C329" s="24">
        <f t="shared" si="53"/>
        <v>1</v>
      </c>
      <c r="D329" s="718"/>
      <c r="E329" s="24">
        <f t="shared" si="54"/>
        <v>0.06</v>
      </c>
      <c r="F329" s="718"/>
      <c r="G329" s="24">
        <f t="shared" si="55"/>
        <v>0.06</v>
      </c>
      <c r="H329" s="718"/>
      <c r="I329" s="24">
        <f t="shared" si="56"/>
        <v>0</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8"/>
      <c r="C330" s="24">
        <f t="shared" si="53"/>
        <v>1</v>
      </c>
      <c r="D330" s="718"/>
      <c r="E330" s="24">
        <f t="shared" si="54"/>
        <v>0.06</v>
      </c>
      <c r="F330" s="718"/>
      <c r="G330" s="24">
        <f t="shared" si="55"/>
        <v>0.06</v>
      </c>
      <c r="H330" s="718"/>
      <c r="I330" s="24">
        <f t="shared" si="56"/>
        <v>0</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8"/>
      <c r="C331" s="24">
        <f t="shared" si="53"/>
        <v>1</v>
      </c>
      <c r="D331" s="718"/>
      <c r="E331" s="24">
        <f t="shared" si="54"/>
        <v>0.06</v>
      </c>
      <c r="F331" s="718"/>
      <c r="G331" s="24">
        <f t="shared" si="55"/>
        <v>0.06</v>
      </c>
      <c r="H331" s="718"/>
      <c r="I331" s="24">
        <f t="shared" si="56"/>
        <v>0</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8"/>
      <c r="C332" s="24">
        <f t="shared" si="53"/>
        <v>1</v>
      </c>
      <c r="D332" s="718"/>
      <c r="E332" s="24">
        <f t="shared" si="54"/>
        <v>0.06</v>
      </c>
      <c r="F332" s="718"/>
      <c r="G332" s="24">
        <f t="shared" si="55"/>
        <v>0.06</v>
      </c>
      <c r="H332" s="718"/>
      <c r="I332" s="24">
        <f t="shared" si="56"/>
        <v>0</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8"/>
      <c r="C333" s="24">
        <f t="shared" si="53"/>
        <v>1</v>
      </c>
      <c r="D333" s="718"/>
      <c r="E333" s="24">
        <f t="shared" si="54"/>
        <v>0.06</v>
      </c>
      <c r="F333" s="718"/>
      <c r="G333" s="24">
        <f t="shared" si="55"/>
        <v>0.06</v>
      </c>
      <c r="H333" s="718"/>
      <c r="I333" s="24">
        <f t="shared" si="56"/>
        <v>0</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8"/>
      <c r="C334" s="24">
        <f t="shared" si="53"/>
        <v>1</v>
      </c>
      <c r="D334" s="718"/>
      <c r="E334" s="24">
        <f t="shared" si="54"/>
        <v>0.06</v>
      </c>
      <c r="F334" s="718"/>
      <c r="G334" s="24">
        <f t="shared" si="55"/>
        <v>0.06</v>
      </c>
      <c r="H334" s="718"/>
      <c r="I334" s="24">
        <f t="shared" si="56"/>
        <v>0</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8"/>
      <c r="C335" s="24">
        <f t="shared" si="53"/>
        <v>1</v>
      </c>
      <c r="D335" s="718"/>
      <c r="E335" s="24">
        <f t="shared" si="54"/>
        <v>0.06</v>
      </c>
      <c r="F335" s="718"/>
      <c r="G335" s="24">
        <f t="shared" si="55"/>
        <v>0.06</v>
      </c>
      <c r="H335" s="718"/>
      <c r="I335" s="24">
        <f t="shared" si="56"/>
        <v>0</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8"/>
      <c r="C336" s="24">
        <f t="shared" si="53"/>
        <v>1</v>
      </c>
      <c r="D336" s="718"/>
      <c r="E336" s="24">
        <f t="shared" si="54"/>
        <v>0.06</v>
      </c>
      <c r="F336" s="718"/>
      <c r="G336" s="24">
        <f t="shared" si="55"/>
        <v>0.06</v>
      </c>
      <c r="H336" s="718"/>
      <c r="I336" s="24">
        <f t="shared" si="56"/>
        <v>0</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8"/>
      <c r="C337" s="24">
        <f t="shared" si="53"/>
        <v>1</v>
      </c>
      <c r="D337" s="718"/>
      <c r="E337" s="24">
        <f t="shared" si="54"/>
        <v>0.06</v>
      </c>
      <c r="F337" s="718"/>
      <c r="G337" s="24">
        <f t="shared" si="55"/>
        <v>0.06</v>
      </c>
      <c r="H337" s="718"/>
      <c r="I337" s="24">
        <f t="shared" si="56"/>
        <v>0</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8"/>
      <c r="C338" s="24">
        <f t="shared" si="53"/>
        <v>1</v>
      </c>
      <c r="D338" s="718"/>
      <c r="E338" s="24">
        <f t="shared" si="54"/>
        <v>0.06</v>
      </c>
      <c r="F338" s="718"/>
      <c r="G338" s="24">
        <f t="shared" si="55"/>
        <v>0.06</v>
      </c>
      <c r="H338" s="718"/>
      <c r="I338" s="24">
        <f t="shared" si="56"/>
        <v>0</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8"/>
      <c r="C339" s="24">
        <f t="shared" si="53"/>
        <v>1</v>
      </c>
      <c r="D339" s="718"/>
      <c r="E339" s="24">
        <f t="shared" si="54"/>
        <v>0.06</v>
      </c>
      <c r="F339" s="718"/>
      <c r="G339" s="24">
        <f t="shared" si="55"/>
        <v>0.06</v>
      </c>
      <c r="H339" s="718"/>
      <c r="I339" s="24">
        <f t="shared" si="56"/>
        <v>0</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8"/>
      <c r="C340" s="24">
        <f t="shared" si="53"/>
        <v>1</v>
      </c>
      <c r="D340" s="718"/>
      <c r="E340" s="24">
        <f t="shared" si="54"/>
        <v>0.06</v>
      </c>
      <c r="F340" s="718"/>
      <c r="G340" s="24">
        <f t="shared" si="55"/>
        <v>0.06</v>
      </c>
      <c r="H340" s="718"/>
      <c r="I340" s="24">
        <f t="shared" si="56"/>
        <v>0</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8"/>
      <c r="C341" s="24">
        <f t="shared" si="53"/>
        <v>1</v>
      </c>
      <c r="D341" s="718"/>
      <c r="E341" s="24">
        <f t="shared" si="54"/>
        <v>0.06</v>
      </c>
      <c r="F341" s="718"/>
      <c r="G341" s="24">
        <f t="shared" si="55"/>
        <v>0.06</v>
      </c>
      <c r="H341" s="718"/>
      <c r="I341" s="24">
        <f t="shared" si="56"/>
        <v>0</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8"/>
      <c r="C342" s="24">
        <f t="shared" si="53"/>
        <v>1</v>
      </c>
      <c r="D342" s="718"/>
      <c r="E342" s="24">
        <f t="shared" si="54"/>
        <v>0.06</v>
      </c>
      <c r="F342" s="718"/>
      <c r="G342" s="24">
        <f t="shared" si="55"/>
        <v>0.06</v>
      </c>
      <c r="H342" s="718"/>
      <c r="I342" s="24">
        <f t="shared" si="56"/>
        <v>0</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8"/>
      <c r="C343" s="24">
        <f t="shared" si="53"/>
        <v>1</v>
      </c>
      <c r="D343" s="718"/>
      <c r="E343" s="24">
        <f t="shared" si="54"/>
        <v>0.06</v>
      </c>
      <c r="F343" s="718"/>
      <c r="G343" s="24">
        <f t="shared" si="55"/>
        <v>0.06</v>
      </c>
      <c r="H343" s="718"/>
      <c r="I343" s="24">
        <f t="shared" si="56"/>
        <v>0</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8"/>
      <c r="C344" s="24">
        <f t="shared" si="53"/>
        <v>1</v>
      </c>
      <c r="D344" s="718"/>
      <c r="E344" s="24">
        <f t="shared" si="54"/>
        <v>0.06</v>
      </c>
      <c r="F344" s="718"/>
      <c r="G344" s="24">
        <f t="shared" si="55"/>
        <v>0.06</v>
      </c>
      <c r="H344" s="718"/>
      <c r="I344" s="24">
        <f t="shared" si="56"/>
        <v>0</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8"/>
      <c r="C345" s="24">
        <f t="shared" si="53"/>
        <v>1</v>
      </c>
      <c r="D345" s="718"/>
      <c r="E345" s="24">
        <f t="shared" si="54"/>
        <v>0.06</v>
      </c>
      <c r="F345" s="718"/>
      <c r="G345" s="24">
        <f t="shared" si="55"/>
        <v>0.06</v>
      </c>
      <c r="H345" s="718"/>
      <c r="I345" s="24">
        <f t="shared" si="56"/>
        <v>0</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0.06</v>
      </c>
      <c r="F346" s="718"/>
      <c r="G346" s="24">
        <f t="shared" ref="G346:G409" si="66">(SUMIF($7:$7,F346,$8:$8)-SUMIF($7:$7,$F$24,$8:$8)+100)/100</f>
        <v>0.06</v>
      </c>
      <c r="H346" s="718"/>
      <c r="I346" s="24">
        <f t="shared" ref="I346:I409" si="67">(SUMIF($9:$9,H346,$10:$10)-SUMIF($9:$9,$H$24,$10:$10)+100)/100</f>
        <v>0</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8"/>
      <c r="C347" s="24">
        <f t="shared" si="64"/>
        <v>1</v>
      </c>
      <c r="D347" s="718"/>
      <c r="E347" s="24">
        <f t="shared" si="65"/>
        <v>0.06</v>
      </c>
      <c r="F347" s="718"/>
      <c r="G347" s="24">
        <f t="shared" si="66"/>
        <v>0.06</v>
      </c>
      <c r="H347" s="718"/>
      <c r="I347" s="24">
        <f t="shared" si="67"/>
        <v>0</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8"/>
      <c r="C348" s="24">
        <f t="shared" si="64"/>
        <v>1</v>
      </c>
      <c r="D348" s="718"/>
      <c r="E348" s="24">
        <f t="shared" si="65"/>
        <v>0.06</v>
      </c>
      <c r="F348" s="718"/>
      <c r="G348" s="24">
        <f t="shared" si="66"/>
        <v>0.06</v>
      </c>
      <c r="H348" s="718"/>
      <c r="I348" s="24">
        <f t="shared" si="67"/>
        <v>0</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8"/>
      <c r="C349" s="24">
        <f t="shared" si="64"/>
        <v>1</v>
      </c>
      <c r="D349" s="718"/>
      <c r="E349" s="24">
        <f t="shared" si="65"/>
        <v>0.06</v>
      </c>
      <c r="F349" s="718"/>
      <c r="G349" s="24">
        <f t="shared" si="66"/>
        <v>0.06</v>
      </c>
      <c r="H349" s="718"/>
      <c r="I349" s="24">
        <f t="shared" si="67"/>
        <v>0</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8"/>
      <c r="C350" s="24">
        <f t="shared" si="64"/>
        <v>1</v>
      </c>
      <c r="D350" s="718"/>
      <c r="E350" s="24">
        <f t="shared" si="65"/>
        <v>0.06</v>
      </c>
      <c r="F350" s="718"/>
      <c r="G350" s="24">
        <f t="shared" si="66"/>
        <v>0.06</v>
      </c>
      <c r="H350" s="718"/>
      <c r="I350" s="24">
        <f t="shared" si="67"/>
        <v>0</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8"/>
      <c r="C351" s="24">
        <f t="shared" si="64"/>
        <v>1</v>
      </c>
      <c r="D351" s="718"/>
      <c r="E351" s="24">
        <f t="shared" si="65"/>
        <v>0.06</v>
      </c>
      <c r="F351" s="718"/>
      <c r="G351" s="24">
        <f t="shared" si="66"/>
        <v>0.06</v>
      </c>
      <c r="H351" s="718"/>
      <c r="I351" s="24">
        <f t="shared" si="67"/>
        <v>0</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8"/>
      <c r="C352" s="24">
        <f t="shared" si="64"/>
        <v>1</v>
      </c>
      <c r="D352" s="718"/>
      <c r="E352" s="24">
        <f t="shared" si="65"/>
        <v>0.06</v>
      </c>
      <c r="F352" s="718"/>
      <c r="G352" s="24">
        <f t="shared" si="66"/>
        <v>0.06</v>
      </c>
      <c r="H352" s="718"/>
      <c r="I352" s="24">
        <f t="shared" si="67"/>
        <v>0</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8"/>
      <c r="C353" s="24">
        <f t="shared" si="64"/>
        <v>1</v>
      </c>
      <c r="D353" s="718"/>
      <c r="E353" s="24">
        <f t="shared" si="65"/>
        <v>0.06</v>
      </c>
      <c r="F353" s="718"/>
      <c r="G353" s="24">
        <f t="shared" si="66"/>
        <v>0.06</v>
      </c>
      <c r="H353" s="718"/>
      <c r="I353" s="24">
        <f t="shared" si="67"/>
        <v>0</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8"/>
      <c r="C354" s="24">
        <f t="shared" si="64"/>
        <v>1</v>
      </c>
      <c r="D354" s="718"/>
      <c r="E354" s="24">
        <f t="shared" si="65"/>
        <v>0.06</v>
      </c>
      <c r="F354" s="718"/>
      <c r="G354" s="24">
        <f t="shared" si="66"/>
        <v>0.06</v>
      </c>
      <c r="H354" s="718"/>
      <c r="I354" s="24">
        <f t="shared" si="67"/>
        <v>0</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8"/>
      <c r="C355" s="24">
        <f t="shared" si="64"/>
        <v>1</v>
      </c>
      <c r="D355" s="718"/>
      <c r="E355" s="24">
        <f t="shared" si="65"/>
        <v>0.06</v>
      </c>
      <c r="F355" s="718"/>
      <c r="G355" s="24">
        <f t="shared" si="66"/>
        <v>0.06</v>
      </c>
      <c r="H355" s="718"/>
      <c r="I355" s="24">
        <f t="shared" si="67"/>
        <v>0</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8"/>
      <c r="C356" s="24">
        <f t="shared" si="64"/>
        <v>1</v>
      </c>
      <c r="D356" s="718"/>
      <c r="E356" s="24">
        <f t="shared" si="65"/>
        <v>0.06</v>
      </c>
      <c r="F356" s="718"/>
      <c r="G356" s="24">
        <f t="shared" si="66"/>
        <v>0.06</v>
      </c>
      <c r="H356" s="718"/>
      <c r="I356" s="24">
        <f t="shared" si="67"/>
        <v>0</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8"/>
      <c r="C357" s="24">
        <f t="shared" si="64"/>
        <v>1</v>
      </c>
      <c r="D357" s="718"/>
      <c r="E357" s="24">
        <f t="shared" si="65"/>
        <v>0.06</v>
      </c>
      <c r="F357" s="718"/>
      <c r="G357" s="24">
        <f t="shared" si="66"/>
        <v>0.06</v>
      </c>
      <c r="H357" s="718"/>
      <c r="I357" s="24">
        <f t="shared" si="67"/>
        <v>0</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8"/>
      <c r="C358" s="24">
        <f t="shared" si="64"/>
        <v>1</v>
      </c>
      <c r="D358" s="718"/>
      <c r="E358" s="24">
        <f t="shared" si="65"/>
        <v>0.06</v>
      </c>
      <c r="F358" s="718"/>
      <c r="G358" s="24">
        <f t="shared" si="66"/>
        <v>0.06</v>
      </c>
      <c r="H358" s="718"/>
      <c r="I358" s="24">
        <f t="shared" si="67"/>
        <v>0</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8"/>
      <c r="C359" s="24">
        <f t="shared" si="64"/>
        <v>1</v>
      </c>
      <c r="D359" s="718"/>
      <c r="E359" s="24">
        <f t="shared" si="65"/>
        <v>0.06</v>
      </c>
      <c r="F359" s="718"/>
      <c r="G359" s="24">
        <f t="shared" si="66"/>
        <v>0.06</v>
      </c>
      <c r="H359" s="718"/>
      <c r="I359" s="24">
        <f t="shared" si="67"/>
        <v>0</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8"/>
      <c r="C360" s="24">
        <f t="shared" si="64"/>
        <v>1</v>
      </c>
      <c r="D360" s="718"/>
      <c r="E360" s="24">
        <f t="shared" si="65"/>
        <v>0.06</v>
      </c>
      <c r="F360" s="718"/>
      <c r="G360" s="24">
        <f t="shared" si="66"/>
        <v>0.06</v>
      </c>
      <c r="H360" s="718"/>
      <c r="I360" s="24">
        <f t="shared" si="67"/>
        <v>0</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8"/>
      <c r="C361" s="24">
        <f t="shared" si="64"/>
        <v>1</v>
      </c>
      <c r="D361" s="718"/>
      <c r="E361" s="24">
        <f t="shared" si="65"/>
        <v>0.06</v>
      </c>
      <c r="F361" s="718"/>
      <c r="G361" s="24">
        <f t="shared" si="66"/>
        <v>0.06</v>
      </c>
      <c r="H361" s="718"/>
      <c r="I361" s="24">
        <f t="shared" si="67"/>
        <v>0</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8"/>
      <c r="C362" s="24">
        <f t="shared" si="64"/>
        <v>1</v>
      </c>
      <c r="D362" s="718"/>
      <c r="E362" s="24">
        <f t="shared" si="65"/>
        <v>0.06</v>
      </c>
      <c r="F362" s="718"/>
      <c r="G362" s="24">
        <f t="shared" si="66"/>
        <v>0.06</v>
      </c>
      <c r="H362" s="718"/>
      <c r="I362" s="24">
        <f t="shared" si="67"/>
        <v>0</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8"/>
      <c r="C363" s="24">
        <f t="shared" si="64"/>
        <v>1</v>
      </c>
      <c r="D363" s="718"/>
      <c r="E363" s="24">
        <f t="shared" si="65"/>
        <v>0.06</v>
      </c>
      <c r="F363" s="718"/>
      <c r="G363" s="24">
        <f t="shared" si="66"/>
        <v>0.06</v>
      </c>
      <c r="H363" s="718"/>
      <c r="I363" s="24">
        <f t="shared" si="67"/>
        <v>0</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8"/>
      <c r="C364" s="24">
        <f t="shared" si="64"/>
        <v>1</v>
      </c>
      <c r="D364" s="718"/>
      <c r="E364" s="24">
        <f t="shared" si="65"/>
        <v>0.06</v>
      </c>
      <c r="F364" s="718"/>
      <c r="G364" s="24">
        <f t="shared" si="66"/>
        <v>0.06</v>
      </c>
      <c r="H364" s="718"/>
      <c r="I364" s="24">
        <f t="shared" si="67"/>
        <v>0</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8"/>
      <c r="C365" s="24">
        <f t="shared" si="64"/>
        <v>1</v>
      </c>
      <c r="D365" s="718"/>
      <c r="E365" s="24">
        <f t="shared" si="65"/>
        <v>0.06</v>
      </c>
      <c r="F365" s="718"/>
      <c r="G365" s="24">
        <f t="shared" si="66"/>
        <v>0.06</v>
      </c>
      <c r="H365" s="718"/>
      <c r="I365" s="24">
        <f t="shared" si="67"/>
        <v>0</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8"/>
      <c r="C366" s="24">
        <f t="shared" si="64"/>
        <v>1</v>
      </c>
      <c r="D366" s="718"/>
      <c r="E366" s="24">
        <f t="shared" si="65"/>
        <v>0.06</v>
      </c>
      <c r="F366" s="718"/>
      <c r="G366" s="24">
        <f t="shared" si="66"/>
        <v>0.06</v>
      </c>
      <c r="H366" s="718"/>
      <c r="I366" s="24">
        <f t="shared" si="67"/>
        <v>0</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8"/>
      <c r="C367" s="24">
        <f t="shared" si="64"/>
        <v>1</v>
      </c>
      <c r="D367" s="718"/>
      <c r="E367" s="24">
        <f t="shared" si="65"/>
        <v>0.06</v>
      </c>
      <c r="F367" s="718"/>
      <c r="G367" s="24">
        <f t="shared" si="66"/>
        <v>0.06</v>
      </c>
      <c r="H367" s="718"/>
      <c r="I367" s="24">
        <f t="shared" si="67"/>
        <v>0</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8"/>
      <c r="C368" s="24">
        <f t="shared" si="64"/>
        <v>1</v>
      </c>
      <c r="D368" s="718"/>
      <c r="E368" s="24">
        <f t="shared" si="65"/>
        <v>0.06</v>
      </c>
      <c r="F368" s="718"/>
      <c r="G368" s="24">
        <f t="shared" si="66"/>
        <v>0.06</v>
      </c>
      <c r="H368" s="718"/>
      <c r="I368" s="24">
        <f t="shared" si="67"/>
        <v>0</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8"/>
      <c r="C369" s="24">
        <f t="shared" si="64"/>
        <v>1</v>
      </c>
      <c r="D369" s="718"/>
      <c r="E369" s="24">
        <f t="shared" si="65"/>
        <v>0.06</v>
      </c>
      <c r="F369" s="718"/>
      <c r="G369" s="24">
        <f t="shared" si="66"/>
        <v>0.06</v>
      </c>
      <c r="H369" s="718"/>
      <c r="I369" s="24">
        <f t="shared" si="67"/>
        <v>0</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8"/>
      <c r="C370" s="24">
        <f t="shared" si="64"/>
        <v>1</v>
      </c>
      <c r="D370" s="718"/>
      <c r="E370" s="24">
        <f t="shared" si="65"/>
        <v>0.06</v>
      </c>
      <c r="F370" s="718"/>
      <c r="G370" s="24">
        <f t="shared" si="66"/>
        <v>0.06</v>
      </c>
      <c r="H370" s="718"/>
      <c r="I370" s="24">
        <f t="shared" si="67"/>
        <v>0</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8"/>
      <c r="C371" s="24">
        <f t="shared" si="64"/>
        <v>1</v>
      </c>
      <c r="D371" s="718"/>
      <c r="E371" s="24">
        <f t="shared" si="65"/>
        <v>0.06</v>
      </c>
      <c r="F371" s="718"/>
      <c r="G371" s="24">
        <f t="shared" si="66"/>
        <v>0.06</v>
      </c>
      <c r="H371" s="718"/>
      <c r="I371" s="24">
        <f t="shared" si="67"/>
        <v>0</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8"/>
      <c r="C372" s="24">
        <f t="shared" si="64"/>
        <v>1</v>
      </c>
      <c r="D372" s="718"/>
      <c r="E372" s="24">
        <f t="shared" si="65"/>
        <v>0.06</v>
      </c>
      <c r="F372" s="718"/>
      <c r="G372" s="24">
        <f t="shared" si="66"/>
        <v>0.06</v>
      </c>
      <c r="H372" s="718"/>
      <c r="I372" s="24">
        <f t="shared" si="67"/>
        <v>0</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8"/>
      <c r="C373" s="24">
        <f t="shared" si="64"/>
        <v>1</v>
      </c>
      <c r="D373" s="718"/>
      <c r="E373" s="24">
        <f t="shared" si="65"/>
        <v>0.06</v>
      </c>
      <c r="F373" s="718"/>
      <c r="G373" s="24">
        <f t="shared" si="66"/>
        <v>0.06</v>
      </c>
      <c r="H373" s="718"/>
      <c r="I373" s="24">
        <f t="shared" si="67"/>
        <v>0</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8"/>
      <c r="C374" s="24">
        <f t="shared" si="64"/>
        <v>1</v>
      </c>
      <c r="D374" s="718"/>
      <c r="E374" s="24">
        <f t="shared" si="65"/>
        <v>0.06</v>
      </c>
      <c r="F374" s="718"/>
      <c r="G374" s="24">
        <f t="shared" si="66"/>
        <v>0.06</v>
      </c>
      <c r="H374" s="718"/>
      <c r="I374" s="24">
        <f t="shared" si="67"/>
        <v>0</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8"/>
      <c r="C375" s="24">
        <f t="shared" si="64"/>
        <v>1</v>
      </c>
      <c r="D375" s="718"/>
      <c r="E375" s="24">
        <f t="shared" si="65"/>
        <v>0.06</v>
      </c>
      <c r="F375" s="718"/>
      <c r="G375" s="24">
        <f t="shared" si="66"/>
        <v>0.06</v>
      </c>
      <c r="H375" s="718"/>
      <c r="I375" s="24">
        <f t="shared" si="67"/>
        <v>0</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8"/>
      <c r="C376" s="24">
        <f t="shared" si="64"/>
        <v>1</v>
      </c>
      <c r="D376" s="718"/>
      <c r="E376" s="24">
        <f t="shared" si="65"/>
        <v>0.06</v>
      </c>
      <c r="F376" s="718"/>
      <c r="G376" s="24">
        <f t="shared" si="66"/>
        <v>0.06</v>
      </c>
      <c r="H376" s="718"/>
      <c r="I376" s="24">
        <f t="shared" si="67"/>
        <v>0</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8"/>
      <c r="C377" s="24">
        <f t="shared" si="64"/>
        <v>1</v>
      </c>
      <c r="D377" s="718"/>
      <c r="E377" s="24">
        <f t="shared" si="65"/>
        <v>0.06</v>
      </c>
      <c r="F377" s="718"/>
      <c r="G377" s="24">
        <f t="shared" si="66"/>
        <v>0.06</v>
      </c>
      <c r="H377" s="718"/>
      <c r="I377" s="24">
        <f t="shared" si="67"/>
        <v>0</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8"/>
      <c r="C378" s="24">
        <f t="shared" si="64"/>
        <v>1</v>
      </c>
      <c r="D378" s="718"/>
      <c r="E378" s="24">
        <f t="shared" si="65"/>
        <v>0.06</v>
      </c>
      <c r="F378" s="718"/>
      <c r="G378" s="24">
        <f t="shared" si="66"/>
        <v>0.06</v>
      </c>
      <c r="H378" s="718"/>
      <c r="I378" s="24">
        <f t="shared" si="67"/>
        <v>0</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8"/>
      <c r="C379" s="24">
        <f t="shared" si="64"/>
        <v>1</v>
      </c>
      <c r="D379" s="718"/>
      <c r="E379" s="24">
        <f t="shared" si="65"/>
        <v>0.06</v>
      </c>
      <c r="F379" s="718"/>
      <c r="G379" s="24">
        <f t="shared" si="66"/>
        <v>0.06</v>
      </c>
      <c r="H379" s="718"/>
      <c r="I379" s="24">
        <f t="shared" si="67"/>
        <v>0</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8"/>
      <c r="C380" s="24">
        <f t="shared" si="64"/>
        <v>1</v>
      </c>
      <c r="D380" s="718"/>
      <c r="E380" s="24">
        <f t="shared" si="65"/>
        <v>0.06</v>
      </c>
      <c r="F380" s="718"/>
      <c r="G380" s="24">
        <f t="shared" si="66"/>
        <v>0.06</v>
      </c>
      <c r="H380" s="718"/>
      <c r="I380" s="24">
        <f t="shared" si="67"/>
        <v>0</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8"/>
      <c r="C381" s="24">
        <f t="shared" si="64"/>
        <v>1</v>
      </c>
      <c r="D381" s="718"/>
      <c r="E381" s="24">
        <f t="shared" si="65"/>
        <v>0.06</v>
      </c>
      <c r="F381" s="718"/>
      <c r="G381" s="24">
        <f t="shared" si="66"/>
        <v>0.06</v>
      </c>
      <c r="H381" s="718"/>
      <c r="I381" s="24">
        <f t="shared" si="67"/>
        <v>0</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8"/>
      <c r="C382" s="24">
        <f t="shared" si="64"/>
        <v>1</v>
      </c>
      <c r="D382" s="718"/>
      <c r="E382" s="24">
        <f t="shared" si="65"/>
        <v>0.06</v>
      </c>
      <c r="F382" s="718"/>
      <c r="G382" s="24">
        <f t="shared" si="66"/>
        <v>0.06</v>
      </c>
      <c r="H382" s="718"/>
      <c r="I382" s="24">
        <f t="shared" si="67"/>
        <v>0</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8"/>
      <c r="C383" s="24">
        <f t="shared" si="64"/>
        <v>1</v>
      </c>
      <c r="D383" s="718"/>
      <c r="E383" s="24">
        <f t="shared" si="65"/>
        <v>0.06</v>
      </c>
      <c r="F383" s="718"/>
      <c r="G383" s="24">
        <f t="shared" si="66"/>
        <v>0.06</v>
      </c>
      <c r="H383" s="718"/>
      <c r="I383" s="24">
        <f t="shared" si="67"/>
        <v>0</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8"/>
      <c r="C384" s="24">
        <f t="shared" si="64"/>
        <v>1</v>
      </c>
      <c r="D384" s="718"/>
      <c r="E384" s="24">
        <f t="shared" si="65"/>
        <v>0.06</v>
      </c>
      <c r="F384" s="718"/>
      <c r="G384" s="24">
        <f t="shared" si="66"/>
        <v>0.06</v>
      </c>
      <c r="H384" s="718"/>
      <c r="I384" s="24">
        <f t="shared" si="67"/>
        <v>0</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8"/>
      <c r="C385" s="24">
        <f t="shared" si="64"/>
        <v>1</v>
      </c>
      <c r="D385" s="718"/>
      <c r="E385" s="24">
        <f t="shared" si="65"/>
        <v>0.06</v>
      </c>
      <c r="F385" s="718"/>
      <c r="G385" s="24">
        <f t="shared" si="66"/>
        <v>0.06</v>
      </c>
      <c r="H385" s="718"/>
      <c r="I385" s="24">
        <f t="shared" si="67"/>
        <v>0</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8"/>
      <c r="C386" s="24">
        <f t="shared" si="64"/>
        <v>1</v>
      </c>
      <c r="D386" s="718"/>
      <c r="E386" s="24">
        <f t="shared" si="65"/>
        <v>0.06</v>
      </c>
      <c r="F386" s="718"/>
      <c r="G386" s="24">
        <f t="shared" si="66"/>
        <v>0.06</v>
      </c>
      <c r="H386" s="718"/>
      <c r="I386" s="24">
        <f t="shared" si="67"/>
        <v>0</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8"/>
      <c r="C387" s="24">
        <f t="shared" si="64"/>
        <v>1</v>
      </c>
      <c r="D387" s="718"/>
      <c r="E387" s="24">
        <f t="shared" si="65"/>
        <v>0.06</v>
      </c>
      <c r="F387" s="718"/>
      <c r="G387" s="24">
        <f t="shared" si="66"/>
        <v>0.06</v>
      </c>
      <c r="H387" s="718"/>
      <c r="I387" s="24">
        <f t="shared" si="67"/>
        <v>0</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8"/>
      <c r="C388" s="24">
        <f t="shared" si="64"/>
        <v>1</v>
      </c>
      <c r="D388" s="718"/>
      <c r="E388" s="24">
        <f t="shared" si="65"/>
        <v>0.06</v>
      </c>
      <c r="F388" s="718"/>
      <c r="G388" s="24">
        <f t="shared" si="66"/>
        <v>0.06</v>
      </c>
      <c r="H388" s="718"/>
      <c r="I388" s="24">
        <f t="shared" si="67"/>
        <v>0</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8"/>
      <c r="C389" s="24">
        <f t="shared" si="64"/>
        <v>1</v>
      </c>
      <c r="D389" s="718"/>
      <c r="E389" s="24">
        <f t="shared" si="65"/>
        <v>0.06</v>
      </c>
      <c r="F389" s="718"/>
      <c r="G389" s="24">
        <f t="shared" si="66"/>
        <v>0.06</v>
      </c>
      <c r="H389" s="718"/>
      <c r="I389" s="24">
        <f t="shared" si="67"/>
        <v>0</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8"/>
      <c r="C390" s="24">
        <f t="shared" si="64"/>
        <v>1</v>
      </c>
      <c r="D390" s="718"/>
      <c r="E390" s="24">
        <f t="shared" si="65"/>
        <v>0.06</v>
      </c>
      <c r="F390" s="718"/>
      <c r="G390" s="24">
        <f t="shared" si="66"/>
        <v>0.06</v>
      </c>
      <c r="H390" s="718"/>
      <c r="I390" s="24">
        <f t="shared" si="67"/>
        <v>0</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8"/>
      <c r="C391" s="24">
        <f t="shared" si="64"/>
        <v>1</v>
      </c>
      <c r="D391" s="718"/>
      <c r="E391" s="24">
        <f t="shared" si="65"/>
        <v>0.06</v>
      </c>
      <c r="F391" s="718"/>
      <c r="G391" s="24">
        <f t="shared" si="66"/>
        <v>0.06</v>
      </c>
      <c r="H391" s="718"/>
      <c r="I391" s="24">
        <f t="shared" si="67"/>
        <v>0</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8"/>
      <c r="C392" s="24">
        <f t="shared" si="64"/>
        <v>1</v>
      </c>
      <c r="D392" s="718"/>
      <c r="E392" s="24">
        <f t="shared" si="65"/>
        <v>0.06</v>
      </c>
      <c r="F392" s="718"/>
      <c r="G392" s="24">
        <f t="shared" si="66"/>
        <v>0.06</v>
      </c>
      <c r="H392" s="718"/>
      <c r="I392" s="24">
        <f t="shared" si="67"/>
        <v>0</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8"/>
      <c r="C393" s="24">
        <f t="shared" si="64"/>
        <v>1</v>
      </c>
      <c r="D393" s="718"/>
      <c r="E393" s="24">
        <f t="shared" si="65"/>
        <v>0.06</v>
      </c>
      <c r="F393" s="718"/>
      <c r="G393" s="24">
        <f t="shared" si="66"/>
        <v>0.06</v>
      </c>
      <c r="H393" s="718"/>
      <c r="I393" s="24">
        <f t="shared" si="67"/>
        <v>0</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8"/>
      <c r="C394" s="24">
        <f t="shared" si="64"/>
        <v>1</v>
      </c>
      <c r="D394" s="718"/>
      <c r="E394" s="24">
        <f t="shared" si="65"/>
        <v>0.06</v>
      </c>
      <c r="F394" s="718"/>
      <c r="G394" s="24">
        <f t="shared" si="66"/>
        <v>0.06</v>
      </c>
      <c r="H394" s="718"/>
      <c r="I394" s="24">
        <f t="shared" si="67"/>
        <v>0</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8"/>
      <c r="C395" s="24">
        <f t="shared" si="64"/>
        <v>1</v>
      </c>
      <c r="D395" s="718"/>
      <c r="E395" s="24">
        <f t="shared" si="65"/>
        <v>0.06</v>
      </c>
      <c r="F395" s="718"/>
      <c r="G395" s="24">
        <f t="shared" si="66"/>
        <v>0.06</v>
      </c>
      <c r="H395" s="718"/>
      <c r="I395" s="24">
        <f t="shared" si="67"/>
        <v>0</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8"/>
      <c r="C396" s="24">
        <f t="shared" si="64"/>
        <v>1</v>
      </c>
      <c r="D396" s="718"/>
      <c r="E396" s="24">
        <f t="shared" si="65"/>
        <v>0.06</v>
      </c>
      <c r="F396" s="718"/>
      <c r="G396" s="24">
        <f t="shared" si="66"/>
        <v>0.06</v>
      </c>
      <c r="H396" s="718"/>
      <c r="I396" s="24">
        <f t="shared" si="67"/>
        <v>0</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8"/>
      <c r="C397" s="24">
        <f t="shared" si="64"/>
        <v>1</v>
      </c>
      <c r="D397" s="718"/>
      <c r="E397" s="24">
        <f t="shared" si="65"/>
        <v>0.06</v>
      </c>
      <c r="F397" s="718"/>
      <c r="G397" s="24">
        <f t="shared" si="66"/>
        <v>0.06</v>
      </c>
      <c r="H397" s="718"/>
      <c r="I397" s="24">
        <f t="shared" si="67"/>
        <v>0</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8"/>
      <c r="C398" s="24">
        <f t="shared" si="64"/>
        <v>1</v>
      </c>
      <c r="D398" s="718"/>
      <c r="E398" s="24">
        <f t="shared" si="65"/>
        <v>0.06</v>
      </c>
      <c r="F398" s="718"/>
      <c r="G398" s="24">
        <f t="shared" si="66"/>
        <v>0.06</v>
      </c>
      <c r="H398" s="718"/>
      <c r="I398" s="24">
        <f t="shared" si="67"/>
        <v>0</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8"/>
      <c r="C399" s="24">
        <f t="shared" si="64"/>
        <v>1</v>
      </c>
      <c r="D399" s="718"/>
      <c r="E399" s="24">
        <f t="shared" si="65"/>
        <v>0.06</v>
      </c>
      <c r="F399" s="718"/>
      <c r="G399" s="24">
        <f t="shared" si="66"/>
        <v>0.06</v>
      </c>
      <c r="H399" s="718"/>
      <c r="I399" s="24">
        <f t="shared" si="67"/>
        <v>0</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8"/>
      <c r="C400" s="24">
        <f t="shared" si="64"/>
        <v>1</v>
      </c>
      <c r="D400" s="718"/>
      <c r="E400" s="24">
        <f t="shared" si="65"/>
        <v>0.06</v>
      </c>
      <c r="F400" s="718"/>
      <c r="G400" s="24">
        <f t="shared" si="66"/>
        <v>0.06</v>
      </c>
      <c r="H400" s="718"/>
      <c r="I400" s="24">
        <f t="shared" si="67"/>
        <v>0</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8"/>
      <c r="C401" s="24">
        <f t="shared" si="64"/>
        <v>1</v>
      </c>
      <c r="D401" s="718"/>
      <c r="E401" s="24">
        <f t="shared" si="65"/>
        <v>0.06</v>
      </c>
      <c r="F401" s="718"/>
      <c r="G401" s="24">
        <f t="shared" si="66"/>
        <v>0.06</v>
      </c>
      <c r="H401" s="718"/>
      <c r="I401" s="24">
        <f t="shared" si="67"/>
        <v>0</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8"/>
      <c r="C402" s="24">
        <f t="shared" si="64"/>
        <v>1</v>
      </c>
      <c r="D402" s="718"/>
      <c r="E402" s="24">
        <f t="shared" si="65"/>
        <v>0.06</v>
      </c>
      <c r="F402" s="718"/>
      <c r="G402" s="24">
        <f t="shared" si="66"/>
        <v>0.06</v>
      </c>
      <c r="H402" s="718"/>
      <c r="I402" s="24">
        <f t="shared" si="67"/>
        <v>0</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8"/>
      <c r="C403" s="24">
        <f t="shared" si="64"/>
        <v>1</v>
      </c>
      <c r="D403" s="718"/>
      <c r="E403" s="24">
        <f t="shared" si="65"/>
        <v>0.06</v>
      </c>
      <c r="F403" s="718"/>
      <c r="G403" s="24">
        <f t="shared" si="66"/>
        <v>0.06</v>
      </c>
      <c r="H403" s="718"/>
      <c r="I403" s="24">
        <f t="shared" si="67"/>
        <v>0</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8"/>
      <c r="C404" s="24">
        <f t="shared" si="64"/>
        <v>1</v>
      </c>
      <c r="D404" s="718"/>
      <c r="E404" s="24">
        <f t="shared" si="65"/>
        <v>0.06</v>
      </c>
      <c r="F404" s="718"/>
      <c r="G404" s="24">
        <f t="shared" si="66"/>
        <v>0.06</v>
      </c>
      <c r="H404" s="718"/>
      <c r="I404" s="24">
        <f t="shared" si="67"/>
        <v>0</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8"/>
      <c r="C405" s="24">
        <f t="shared" si="64"/>
        <v>1</v>
      </c>
      <c r="D405" s="718"/>
      <c r="E405" s="24">
        <f t="shared" si="65"/>
        <v>0.06</v>
      </c>
      <c r="F405" s="718"/>
      <c r="G405" s="24">
        <f t="shared" si="66"/>
        <v>0.06</v>
      </c>
      <c r="H405" s="718"/>
      <c r="I405" s="24">
        <f t="shared" si="67"/>
        <v>0</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8"/>
      <c r="C406" s="24">
        <f t="shared" si="64"/>
        <v>1</v>
      </c>
      <c r="D406" s="718"/>
      <c r="E406" s="24">
        <f t="shared" si="65"/>
        <v>0.06</v>
      </c>
      <c r="F406" s="718"/>
      <c r="G406" s="24">
        <f t="shared" si="66"/>
        <v>0.06</v>
      </c>
      <c r="H406" s="718"/>
      <c r="I406" s="24">
        <f t="shared" si="67"/>
        <v>0</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8"/>
      <c r="C407" s="24">
        <f t="shared" si="64"/>
        <v>1</v>
      </c>
      <c r="D407" s="718"/>
      <c r="E407" s="24">
        <f t="shared" si="65"/>
        <v>0.06</v>
      </c>
      <c r="F407" s="718"/>
      <c r="G407" s="24">
        <f t="shared" si="66"/>
        <v>0.06</v>
      </c>
      <c r="H407" s="718"/>
      <c r="I407" s="24">
        <f t="shared" si="67"/>
        <v>0</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8"/>
      <c r="C408" s="24">
        <f t="shared" si="64"/>
        <v>1</v>
      </c>
      <c r="D408" s="718"/>
      <c r="E408" s="24">
        <f t="shared" si="65"/>
        <v>0.06</v>
      </c>
      <c r="F408" s="718"/>
      <c r="G408" s="24">
        <f t="shared" si="66"/>
        <v>0.06</v>
      </c>
      <c r="H408" s="718"/>
      <c r="I408" s="24">
        <f t="shared" si="67"/>
        <v>0</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8"/>
      <c r="C409" s="24">
        <f t="shared" si="64"/>
        <v>1</v>
      </c>
      <c r="D409" s="718"/>
      <c r="E409" s="24">
        <f t="shared" si="65"/>
        <v>0.06</v>
      </c>
      <c r="F409" s="718"/>
      <c r="G409" s="24">
        <f t="shared" si="66"/>
        <v>0.06</v>
      </c>
      <c r="H409" s="718"/>
      <c r="I409" s="24">
        <f t="shared" si="67"/>
        <v>0</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0.06</v>
      </c>
      <c r="F410" s="718"/>
      <c r="G410" s="24">
        <f t="shared" ref="G410:G473" si="76">(SUMIF($7:$7,F410,$8:$8)-SUMIF($7:$7,$F$24,$8:$8)+100)/100</f>
        <v>0.06</v>
      </c>
      <c r="H410" s="718"/>
      <c r="I410" s="24">
        <f t="shared" ref="I410:I473" si="77">(SUMIF($9:$9,H410,$10:$10)-SUMIF($9:$9,$H$24,$10:$10)+100)/100</f>
        <v>0</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8"/>
      <c r="C411" s="24">
        <f t="shared" si="74"/>
        <v>1</v>
      </c>
      <c r="D411" s="718"/>
      <c r="E411" s="24">
        <f t="shared" si="75"/>
        <v>0.06</v>
      </c>
      <c r="F411" s="718"/>
      <c r="G411" s="24">
        <f t="shared" si="76"/>
        <v>0.06</v>
      </c>
      <c r="H411" s="718"/>
      <c r="I411" s="24">
        <f t="shared" si="77"/>
        <v>0</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8"/>
      <c r="C412" s="24">
        <f t="shared" si="74"/>
        <v>1</v>
      </c>
      <c r="D412" s="718"/>
      <c r="E412" s="24">
        <f t="shared" si="75"/>
        <v>0.06</v>
      </c>
      <c r="F412" s="718"/>
      <c r="G412" s="24">
        <f t="shared" si="76"/>
        <v>0.06</v>
      </c>
      <c r="H412" s="718"/>
      <c r="I412" s="24">
        <f t="shared" si="77"/>
        <v>0</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8"/>
      <c r="C413" s="24">
        <f t="shared" si="74"/>
        <v>1</v>
      </c>
      <c r="D413" s="718"/>
      <c r="E413" s="24">
        <f t="shared" si="75"/>
        <v>0.06</v>
      </c>
      <c r="F413" s="718"/>
      <c r="G413" s="24">
        <f t="shared" si="76"/>
        <v>0.06</v>
      </c>
      <c r="H413" s="718"/>
      <c r="I413" s="24">
        <f t="shared" si="77"/>
        <v>0</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8"/>
      <c r="C414" s="24">
        <f t="shared" si="74"/>
        <v>1</v>
      </c>
      <c r="D414" s="718"/>
      <c r="E414" s="24">
        <f t="shared" si="75"/>
        <v>0.06</v>
      </c>
      <c r="F414" s="718"/>
      <c r="G414" s="24">
        <f t="shared" si="76"/>
        <v>0.06</v>
      </c>
      <c r="H414" s="718"/>
      <c r="I414" s="24">
        <f t="shared" si="77"/>
        <v>0</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8"/>
      <c r="C415" s="24">
        <f t="shared" si="74"/>
        <v>1</v>
      </c>
      <c r="D415" s="718"/>
      <c r="E415" s="24">
        <f t="shared" si="75"/>
        <v>0.06</v>
      </c>
      <c r="F415" s="718"/>
      <c r="G415" s="24">
        <f t="shared" si="76"/>
        <v>0.06</v>
      </c>
      <c r="H415" s="718"/>
      <c r="I415" s="24">
        <f t="shared" si="77"/>
        <v>0</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8"/>
      <c r="C416" s="24">
        <f t="shared" si="74"/>
        <v>1</v>
      </c>
      <c r="D416" s="718"/>
      <c r="E416" s="24">
        <f t="shared" si="75"/>
        <v>0.06</v>
      </c>
      <c r="F416" s="718"/>
      <c r="G416" s="24">
        <f t="shared" si="76"/>
        <v>0.06</v>
      </c>
      <c r="H416" s="718"/>
      <c r="I416" s="24">
        <f t="shared" si="77"/>
        <v>0</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8"/>
      <c r="C417" s="24">
        <f t="shared" si="74"/>
        <v>1</v>
      </c>
      <c r="D417" s="718"/>
      <c r="E417" s="24">
        <f t="shared" si="75"/>
        <v>0.06</v>
      </c>
      <c r="F417" s="718"/>
      <c r="G417" s="24">
        <f t="shared" si="76"/>
        <v>0.06</v>
      </c>
      <c r="H417" s="718"/>
      <c r="I417" s="24">
        <f t="shared" si="77"/>
        <v>0</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8"/>
      <c r="C418" s="24">
        <f t="shared" si="74"/>
        <v>1</v>
      </c>
      <c r="D418" s="718"/>
      <c r="E418" s="24">
        <f t="shared" si="75"/>
        <v>0.06</v>
      </c>
      <c r="F418" s="718"/>
      <c r="G418" s="24">
        <f t="shared" si="76"/>
        <v>0.06</v>
      </c>
      <c r="H418" s="718"/>
      <c r="I418" s="24">
        <f t="shared" si="77"/>
        <v>0</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8"/>
      <c r="C419" s="24">
        <f t="shared" si="74"/>
        <v>1</v>
      </c>
      <c r="D419" s="718"/>
      <c r="E419" s="24">
        <f t="shared" si="75"/>
        <v>0.06</v>
      </c>
      <c r="F419" s="718"/>
      <c r="G419" s="24">
        <f t="shared" si="76"/>
        <v>0.06</v>
      </c>
      <c r="H419" s="718"/>
      <c r="I419" s="24">
        <f t="shared" si="77"/>
        <v>0</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8"/>
      <c r="C420" s="24">
        <f t="shared" si="74"/>
        <v>1</v>
      </c>
      <c r="D420" s="718"/>
      <c r="E420" s="24">
        <f t="shared" si="75"/>
        <v>0.06</v>
      </c>
      <c r="F420" s="718"/>
      <c r="G420" s="24">
        <f t="shared" si="76"/>
        <v>0.06</v>
      </c>
      <c r="H420" s="718"/>
      <c r="I420" s="24">
        <f t="shared" si="77"/>
        <v>0</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8"/>
      <c r="C421" s="24">
        <f t="shared" si="74"/>
        <v>1</v>
      </c>
      <c r="D421" s="718"/>
      <c r="E421" s="24">
        <f t="shared" si="75"/>
        <v>0.06</v>
      </c>
      <c r="F421" s="718"/>
      <c r="G421" s="24">
        <f t="shared" si="76"/>
        <v>0.06</v>
      </c>
      <c r="H421" s="718"/>
      <c r="I421" s="24">
        <f t="shared" si="77"/>
        <v>0</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8"/>
      <c r="C422" s="24">
        <f t="shared" si="74"/>
        <v>1</v>
      </c>
      <c r="D422" s="718"/>
      <c r="E422" s="24">
        <f t="shared" si="75"/>
        <v>0.06</v>
      </c>
      <c r="F422" s="718"/>
      <c r="G422" s="24">
        <f t="shared" si="76"/>
        <v>0.06</v>
      </c>
      <c r="H422" s="718"/>
      <c r="I422" s="24">
        <f t="shared" si="77"/>
        <v>0</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8"/>
      <c r="C423" s="24">
        <f t="shared" si="74"/>
        <v>1</v>
      </c>
      <c r="D423" s="718"/>
      <c r="E423" s="24">
        <f t="shared" si="75"/>
        <v>0.06</v>
      </c>
      <c r="F423" s="718"/>
      <c r="G423" s="24">
        <f t="shared" si="76"/>
        <v>0.06</v>
      </c>
      <c r="H423" s="718"/>
      <c r="I423" s="24">
        <f t="shared" si="77"/>
        <v>0</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8"/>
      <c r="C424" s="24">
        <f t="shared" si="74"/>
        <v>1</v>
      </c>
      <c r="D424" s="718"/>
      <c r="E424" s="24">
        <f t="shared" si="75"/>
        <v>0.06</v>
      </c>
      <c r="F424" s="718"/>
      <c r="G424" s="24">
        <f t="shared" si="76"/>
        <v>0.06</v>
      </c>
      <c r="H424" s="718"/>
      <c r="I424" s="24">
        <f t="shared" si="77"/>
        <v>0</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8"/>
      <c r="C425" s="24">
        <f t="shared" si="74"/>
        <v>1</v>
      </c>
      <c r="D425" s="718"/>
      <c r="E425" s="24">
        <f t="shared" si="75"/>
        <v>0.06</v>
      </c>
      <c r="F425" s="718"/>
      <c r="G425" s="24">
        <f t="shared" si="76"/>
        <v>0.06</v>
      </c>
      <c r="H425" s="718"/>
      <c r="I425" s="24">
        <f t="shared" si="77"/>
        <v>0</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8"/>
      <c r="C426" s="24">
        <f t="shared" si="74"/>
        <v>1</v>
      </c>
      <c r="D426" s="718"/>
      <c r="E426" s="24">
        <f t="shared" si="75"/>
        <v>0.06</v>
      </c>
      <c r="F426" s="718"/>
      <c r="G426" s="24">
        <f t="shared" si="76"/>
        <v>0.06</v>
      </c>
      <c r="H426" s="718"/>
      <c r="I426" s="24">
        <f t="shared" si="77"/>
        <v>0</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8"/>
      <c r="C427" s="24">
        <f t="shared" si="74"/>
        <v>1</v>
      </c>
      <c r="D427" s="718"/>
      <c r="E427" s="24">
        <f t="shared" si="75"/>
        <v>0.06</v>
      </c>
      <c r="F427" s="718"/>
      <c r="G427" s="24">
        <f t="shared" si="76"/>
        <v>0.06</v>
      </c>
      <c r="H427" s="718"/>
      <c r="I427" s="24">
        <f t="shared" si="77"/>
        <v>0</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8"/>
      <c r="C428" s="24">
        <f t="shared" si="74"/>
        <v>1</v>
      </c>
      <c r="D428" s="718"/>
      <c r="E428" s="24">
        <f t="shared" si="75"/>
        <v>0.06</v>
      </c>
      <c r="F428" s="718"/>
      <c r="G428" s="24">
        <f t="shared" si="76"/>
        <v>0.06</v>
      </c>
      <c r="H428" s="718"/>
      <c r="I428" s="24">
        <f t="shared" si="77"/>
        <v>0</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8"/>
      <c r="C429" s="24">
        <f t="shared" si="74"/>
        <v>1</v>
      </c>
      <c r="D429" s="718"/>
      <c r="E429" s="24">
        <f t="shared" si="75"/>
        <v>0.06</v>
      </c>
      <c r="F429" s="718"/>
      <c r="G429" s="24">
        <f t="shared" si="76"/>
        <v>0.06</v>
      </c>
      <c r="H429" s="718"/>
      <c r="I429" s="24">
        <f t="shared" si="77"/>
        <v>0</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8"/>
      <c r="C430" s="24">
        <f t="shared" si="74"/>
        <v>1</v>
      </c>
      <c r="D430" s="718"/>
      <c r="E430" s="24">
        <f t="shared" si="75"/>
        <v>0.06</v>
      </c>
      <c r="F430" s="718"/>
      <c r="G430" s="24">
        <f t="shared" si="76"/>
        <v>0.06</v>
      </c>
      <c r="H430" s="718"/>
      <c r="I430" s="24">
        <f t="shared" si="77"/>
        <v>0</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8"/>
      <c r="C431" s="24">
        <f t="shared" si="74"/>
        <v>1</v>
      </c>
      <c r="D431" s="718"/>
      <c r="E431" s="24">
        <f t="shared" si="75"/>
        <v>0.06</v>
      </c>
      <c r="F431" s="718"/>
      <c r="G431" s="24">
        <f t="shared" si="76"/>
        <v>0.06</v>
      </c>
      <c r="H431" s="718"/>
      <c r="I431" s="24">
        <f t="shared" si="77"/>
        <v>0</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8"/>
      <c r="C432" s="24">
        <f t="shared" si="74"/>
        <v>1</v>
      </c>
      <c r="D432" s="718"/>
      <c r="E432" s="24">
        <f t="shared" si="75"/>
        <v>0.06</v>
      </c>
      <c r="F432" s="718"/>
      <c r="G432" s="24">
        <f t="shared" si="76"/>
        <v>0.06</v>
      </c>
      <c r="H432" s="718"/>
      <c r="I432" s="24">
        <f t="shared" si="77"/>
        <v>0</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8"/>
      <c r="C433" s="24">
        <f t="shared" si="74"/>
        <v>1</v>
      </c>
      <c r="D433" s="718"/>
      <c r="E433" s="24">
        <f t="shared" si="75"/>
        <v>0.06</v>
      </c>
      <c r="F433" s="718"/>
      <c r="G433" s="24">
        <f t="shared" si="76"/>
        <v>0.06</v>
      </c>
      <c r="H433" s="718"/>
      <c r="I433" s="24">
        <f t="shared" si="77"/>
        <v>0</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8"/>
      <c r="C434" s="24">
        <f t="shared" si="74"/>
        <v>1</v>
      </c>
      <c r="D434" s="718"/>
      <c r="E434" s="24">
        <f t="shared" si="75"/>
        <v>0.06</v>
      </c>
      <c r="F434" s="718"/>
      <c r="G434" s="24">
        <f t="shared" si="76"/>
        <v>0.06</v>
      </c>
      <c r="H434" s="718"/>
      <c r="I434" s="24">
        <f t="shared" si="77"/>
        <v>0</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8"/>
      <c r="C435" s="24">
        <f t="shared" si="74"/>
        <v>1</v>
      </c>
      <c r="D435" s="718"/>
      <c r="E435" s="24">
        <f t="shared" si="75"/>
        <v>0.06</v>
      </c>
      <c r="F435" s="718"/>
      <c r="G435" s="24">
        <f t="shared" si="76"/>
        <v>0.06</v>
      </c>
      <c r="H435" s="718"/>
      <c r="I435" s="24">
        <f t="shared" si="77"/>
        <v>0</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8"/>
      <c r="C436" s="24">
        <f t="shared" si="74"/>
        <v>1</v>
      </c>
      <c r="D436" s="718"/>
      <c r="E436" s="24">
        <f t="shared" si="75"/>
        <v>0.06</v>
      </c>
      <c r="F436" s="718"/>
      <c r="G436" s="24">
        <f t="shared" si="76"/>
        <v>0.06</v>
      </c>
      <c r="H436" s="718"/>
      <c r="I436" s="24">
        <f t="shared" si="77"/>
        <v>0</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8"/>
      <c r="C437" s="24">
        <f t="shared" si="74"/>
        <v>1</v>
      </c>
      <c r="D437" s="718"/>
      <c r="E437" s="24">
        <f t="shared" si="75"/>
        <v>0.06</v>
      </c>
      <c r="F437" s="718"/>
      <c r="G437" s="24">
        <f t="shared" si="76"/>
        <v>0.06</v>
      </c>
      <c r="H437" s="718"/>
      <c r="I437" s="24">
        <f t="shared" si="77"/>
        <v>0</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8"/>
      <c r="C438" s="24">
        <f t="shared" si="74"/>
        <v>1</v>
      </c>
      <c r="D438" s="718"/>
      <c r="E438" s="24">
        <f t="shared" si="75"/>
        <v>0.06</v>
      </c>
      <c r="F438" s="718"/>
      <c r="G438" s="24">
        <f t="shared" si="76"/>
        <v>0.06</v>
      </c>
      <c r="H438" s="718"/>
      <c r="I438" s="24">
        <f t="shared" si="77"/>
        <v>0</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8"/>
      <c r="C439" s="24">
        <f t="shared" si="74"/>
        <v>1</v>
      </c>
      <c r="D439" s="718"/>
      <c r="E439" s="24">
        <f t="shared" si="75"/>
        <v>0.06</v>
      </c>
      <c r="F439" s="718"/>
      <c r="G439" s="24">
        <f t="shared" si="76"/>
        <v>0.06</v>
      </c>
      <c r="H439" s="718"/>
      <c r="I439" s="24">
        <f t="shared" si="77"/>
        <v>0</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8"/>
      <c r="C440" s="24">
        <f t="shared" si="74"/>
        <v>1</v>
      </c>
      <c r="D440" s="718"/>
      <c r="E440" s="24">
        <f t="shared" si="75"/>
        <v>0.06</v>
      </c>
      <c r="F440" s="718"/>
      <c r="G440" s="24">
        <f t="shared" si="76"/>
        <v>0.06</v>
      </c>
      <c r="H440" s="718"/>
      <c r="I440" s="24">
        <f t="shared" si="77"/>
        <v>0</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8"/>
      <c r="C441" s="24">
        <f t="shared" si="74"/>
        <v>1</v>
      </c>
      <c r="D441" s="718"/>
      <c r="E441" s="24">
        <f t="shared" si="75"/>
        <v>0.06</v>
      </c>
      <c r="F441" s="718"/>
      <c r="G441" s="24">
        <f t="shared" si="76"/>
        <v>0.06</v>
      </c>
      <c r="H441" s="718"/>
      <c r="I441" s="24">
        <f t="shared" si="77"/>
        <v>0</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8"/>
      <c r="C442" s="24">
        <f t="shared" si="74"/>
        <v>1</v>
      </c>
      <c r="D442" s="718"/>
      <c r="E442" s="24">
        <f t="shared" si="75"/>
        <v>0.06</v>
      </c>
      <c r="F442" s="718"/>
      <c r="G442" s="24">
        <f t="shared" si="76"/>
        <v>0.06</v>
      </c>
      <c r="H442" s="718"/>
      <c r="I442" s="24">
        <f t="shared" si="77"/>
        <v>0</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8"/>
      <c r="C443" s="24">
        <f t="shared" si="74"/>
        <v>1</v>
      </c>
      <c r="D443" s="718"/>
      <c r="E443" s="24">
        <f t="shared" si="75"/>
        <v>0.06</v>
      </c>
      <c r="F443" s="718"/>
      <c r="G443" s="24">
        <f t="shared" si="76"/>
        <v>0.06</v>
      </c>
      <c r="H443" s="718"/>
      <c r="I443" s="24">
        <f t="shared" si="77"/>
        <v>0</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8"/>
      <c r="C444" s="24">
        <f t="shared" si="74"/>
        <v>1</v>
      </c>
      <c r="D444" s="718"/>
      <c r="E444" s="24">
        <f t="shared" si="75"/>
        <v>0.06</v>
      </c>
      <c r="F444" s="718"/>
      <c r="G444" s="24">
        <f t="shared" si="76"/>
        <v>0.06</v>
      </c>
      <c r="H444" s="718"/>
      <c r="I444" s="24">
        <f t="shared" si="77"/>
        <v>0</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8"/>
      <c r="C445" s="24">
        <f t="shared" si="74"/>
        <v>1</v>
      </c>
      <c r="D445" s="718"/>
      <c r="E445" s="24">
        <f t="shared" si="75"/>
        <v>0.06</v>
      </c>
      <c r="F445" s="718"/>
      <c r="G445" s="24">
        <f t="shared" si="76"/>
        <v>0.06</v>
      </c>
      <c r="H445" s="718"/>
      <c r="I445" s="24">
        <f t="shared" si="77"/>
        <v>0</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8"/>
      <c r="C446" s="24">
        <f t="shared" si="74"/>
        <v>1</v>
      </c>
      <c r="D446" s="718"/>
      <c r="E446" s="24">
        <f t="shared" si="75"/>
        <v>0.06</v>
      </c>
      <c r="F446" s="718"/>
      <c r="G446" s="24">
        <f t="shared" si="76"/>
        <v>0.06</v>
      </c>
      <c r="H446" s="718"/>
      <c r="I446" s="24">
        <f t="shared" si="77"/>
        <v>0</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8"/>
      <c r="C447" s="24">
        <f t="shared" si="74"/>
        <v>1</v>
      </c>
      <c r="D447" s="718"/>
      <c r="E447" s="24">
        <f t="shared" si="75"/>
        <v>0.06</v>
      </c>
      <c r="F447" s="718"/>
      <c r="G447" s="24">
        <f t="shared" si="76"/>
        <v>0.06</v>
      </c>
      <c r="H447" s="718"/>
      <c r="I447" s="24">
        <f t="shared" si="77"/>
        <v>0</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8"/>
      <c r="C448" s="24">
        <f t="shared" si="74"/>
        <v>1</v>
      </c>
      <c r="D448" s="718"/>
      <c r="E448" s="24">
        <f t="shared" si="75"/>
        <v>0.06</v>
      </c>
      <c r="F448" s="718"/>
      <c r="G448" s="24">
        <f t="shared" si="76"/>
        <v>0.06</v>
      </c>
      <c r="H448" s="718"/>
      <c r="I448" s="24">
        <f t="shared" si="77"/>
        <v>0</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8"/>
      <c r="C449" s="24">
        <f t="shared" si="74"/>
        <v>1</v>
      </c>
      <c r="D449" s="718"/>
      <c r="E449" s="24">
        <f t="shared" si="75"/>
        <v>0.06</v>
      </c>
      <c r="F449" s="718"/>
      <c r="G449" s="24">
        <f t="shared" si="76"/>
        <v>0.06</v>
      </c>
      <c r="H449" s="718"/>
      <c r="I449" s="24">
        <f t="shared" si="77"/>
        <v>0</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8"/>
      <c r="C450" s="24">
        <f t="shared" si="74"/>
        <v>1</v>
      </c>
      <c r="D450" s="718"/>
      <c r="E450" s="24">
        <f t="shared" si="75"/>
        <v>0.06</v>
      </c>
      <c r="F450" s="718"/>
      <c r="G450" s="24">
        <f t="shared" si="76"/>
        <v>0.06</v>
      </c>
      <c r="H450" s="718"/>
      <c r="I450" s="24">
        <f t="shared" si="77"/>
        <v>0</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8"/>
      <c r="C451" s="24">
        <f t="shared" si="74"/>
        <v>1</v>
      </c>
      <c r="D451" s="718"/>
      <c r="E451" s="24">
        <f t="shared" si="75"/>
        <v>0.06</v>
      </c>
      <c r="F451" s="718"/>
      <c r="G451" s="24">
        <f t="shared" si="76"/>
        <v>0.06</v>
      </c>
      <c r="H451" s="718"/>
      <c r="I451" s="24">
        <f t="shared" si="77"/>
        <v>0</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8"/>
      <c r="C452" s="24">
        <f t="shared" si="74"/>
        <v>1</v>
      </c>
      <c r="D452" s="718"/>
      <c r="E452" s="24">
        <f t="shared" si="75"/>
        <v>0.06</v>
      </c>
      <c r="F452" s="718"/>
      <c r="G452" s="24">
        <f t="shared" si="76"/>
        <v>0.06</v>
      </c>
      <c r="H452" s="718"/>
      <c r="I452" s="24">
        <f t="shared" si="77"/>
        <v>0</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8"/>
      <c r="C453" s="24">
        <f t="shared" si="74"/>
        <v>1</v>
      </c>
      <c r="D453" s="718"/>
      <c r="E453" s="24">
        <f t="shared" si="75"/>
        <v>0.06</v>
      </c>
      <c r="F453" s="718"/>
      <c r="G453" s="24">
        <f t="shared" si="76"/>
        <v>0.06</v>
      </c>
      <c r="H453" s="718"/>
      <c r="I453" s="24">
        <f t="shared" si="77"/>
        <v>0</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8"/>
      <c r="C454" s="24">
        <f t="shared" si="74"/>
        <v>1</v>
      </c>
      <c r="D454" s="718"/>
      <c r="E454" s="24">
        <f t="shared" si="75"/>
        <v>0.06</v>
      </c>
      <c r="F454" s="718"/>
      <c r="G454" s="24">
        <f t="shared" si="76"/>
        <v>0.06</v>
      </c>
      <c r="H454" s="718"/>
      <c r="I454" s="24">
        <f t="shared" si="77"/>
        <v>0</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8"/>
      <c r="C455" s="24">
        <f t="shared" si="74"/>
        <v>1</v>
      </c>
      <c r="D455" s="718"/>
      <c r="E455" s="24">
        <f t="shared" si="75"/>
        <v>0.06</v>
      </c>
      <c r="F455" s="718"/>
      <c r="G455" s="24">
        <f t="shared" si="76"/>
        <v>0.06</v>
      </c>
      <c r="H455" s="718"/>
      <c r="I455" s="24">
        <f t="shared" si="77"/>
        <v>0</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8"/>
      <c r="C456" s="24">
        <f t="shared" si="74"/>
        <v>1</v>
      </c>
      <c r="D456" s="718"/>
      <c r="E456" s="24">
        <f t="shared" si="75"/>
        <v>0.06</v>
      </c>
      <c r="F456" s="718"/>
      <c r="G456" s="24">
        <f t="shared" si="76"/>
        <v>0.06</v>
      </c>
      <c r="H456" s="718"/>
      <c r="I456" s="24">
        <f t="shared" si="77"/>
        <v>0</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8"/>
      <c r="C457" s="24">
        <f t="shared" si="74"/>
        <v>1</v>
      </c>
      <c r="D457" s="718"/>
      <c r="E457" s="24">
        <f t="shared" si="75"/>
        <v>0.06</v>
      </c>
      <c r="F457" s="718"/>
      <c r="G457" s="24">
        <f t="shared" si="76"/>
        <v>0.06</v>
      </c>
      <c r="H457" s="718"/>
      <c r="I457" s="24">
        <f t="shared" si="77"/>
        <v>0</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8"/>
      <c r="C458" s="24">
        <f t="shared" si="74"/>
        <v>1</v>
      </c>
      <c r="D458" s="718"/>
      <c r="E458" s="24">
        <f t="shared" si="75"/>
        <v>0.06</v>
      </c>
      <c r="F458" s="718"/>
      <c r="G458" s="24">
        <f t="shared" si="76"/>
        <v>0.06</v>
      </c>
      <c r="H458" s="718"/>
      <c r="I458" s="24">
        <f t="shared" si="77"/>
        <v>0</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8"/>
      <c r="C459" s="24">
        <f t="shared" si="74"/>
        <v>1</v>
      </c>
      <c r="D459" s="718"/>
      <c r="E459" s="24">
        <f t="shared" si="75"/>
        <v>0.06</v>
      </c>
      <c r="F459" s="718"/>
      <c r="G459" s="24">
        <f t="shared" si="76"/>
        <v>0.06</v>
      </c>
      <c r="H459" s="718"/>
      <c r="I459" s="24">
        <f t="shared" si="77"/>
        <v>0</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8"/>
      <c r="C460" s="24">
        <f t="shared" si="74"/>
        <v>1</v>
      </c>
      <c r="D460" s="718"/>
      <c r="E460" s="24">
        <f t="shared" si="75"/>
        <v>0.06</v>
      </c>
      <c r="F460" s="718"/>
      <c r="G460" s="24">
        <f t="shared" si="76"/>
        <v>0.06</v>
      </c>
      <c r="H460" s="718"/>
      <c r="I460" s="24">
        <f t="shared" si="77"/>
        <v>0</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8"/>
      <c r="C461" s="24">
        <f t="shared" si="74"/>
        <v>1</v>
      </c>
      <c r="D461" s="718"/>
      <c r="E461" s="24">
        <f t="shared" si="75"/>
        <v>0.06</v>
      </c>
      <c r="F461" s="718"/>
      <c r="G461" s="24">
        <f t="shared" si="76"/>
        <v>0.06</v>
      </c>
      <c r="H461" s="718"/>
      <c r="I461" s="24">
        <f t="shared" si="77"/>
        <v>0</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8"/>
      <c r="C462" s="24">
        <f t="shared" si="74"/>
        <v>1</v>
      </c>
      <c r="D462" s="718"/>
      <c r="E462" s="24">
        <f t="shared" si="75"/>
        <v>0.06</v>
      </c>
      <c r="F462" s="718"/>
      <c r="G462" s="24">
        <f t="shared" si="76"/>
        <v>0.06</v>
      </c>
      <c r="H462" s="718"/>
      <c r="I462" s="24">
        <f t="shared" si="77"/>
        <v>0</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8"/>
      <c r="C463" s="24">
        <f t="shared" si="74"/>
        <v>1</v>
      </c>
      <c r="D463" s="718"/>
      <c r="E463" s="24">
        <f t="shared" si="75"/>
        <v>0.06</v>
      </c>
      <c r="F463" s="718"/>
      <c r="G463" s="24">
        <f t="shared" si="76"/>
        <v>0.06</v>
      </c>
      <c r="H463" s="718"/>
      <c r="I463" s="24">
        <f t="shared" si="77"/>
        <v>0</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8"/>
      <c r="C464" s="24">
        <f t="shared" si="74"/>
        <v>1</v>
      </c>
      <c r="D464" s="718"/>
      <c r="E464" s="24">
        <f t="shared" si="75"/>
        <v>0.06</v>
      </c>
      <c r="F464" s="718"/>
      <c r="G464" s="24">
        <f t="shared" si="76"/>
        <v>0.06</v>
      </c>
      <c r="H464" s="718"/>
      <c r="I464" s="24">
        <f t="shared" si="77"/>
        <v>0</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8"/>
      <c r="C465" s="24">
        <f t="shared" si="74"/>
        <v>1</v>
      </c>
      <c r="D465" s="718"/>
      <c r="E465" s="24">
        <f t="shared" si="75"/>
        <v>0.06</v>
      </c>
      <c r="F465" s="718"/>
      <c r="G465" s="24">
        <f t="shared" si="76"/>
        <v>0.06</v>
      </c>
      <c r="H465" s="718"/>
      <c r="I465" s="24">
        <f t="shared" si="77"/>
        <v>0</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8"/>
      <c r="C466" s="24">
        <f t="shared" si="74"/>
        <v>1</v>
      </c>
      <c r="D466" s="718"/>
      <c r="E466" s="24">
        <f t="shared" si="75"/>
        <v>0.06</v>
      </c>
      <c r="F466" s="718"/>
      <c r="G466" s="24">
        <f t="shared" si="76"/>
        <v>0.06</v>
      </c>
      <c r="H466" s="718"/>
      <c r="I466" s="24">
        <f t="shared" si="77"/>
        <v>0</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8"/>
      <c r="C467" s="24">
        <f t="shared" si="74"/>
        <v>1</v>
      </c>
      <c r="D467" s="718"/>
      <c r="E467" s="24">
        <f t="shared" si="75"/>
        <v>0.06</v>
      </c>
      <c r="F467" s="718"/>
      <c r="G467" s="24">
        <f t="shared" si="76"/>
        <v>0.06</v>
      </c>
      <c r="H467" s="718"/>
      <c r="I467" s="24">
        <f t="shared" si="77"/>
        <v>0</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8"/>
      <c r="C468" s="24">
        <f t="shared" si="74"/>
        <v>1</v>
      </c>
      <c r="D468" s="718"/>
      <c r="E468" s="24">
        <f t="shared" si="75"/>
        <v>0.06</v>
      </c>
      <c r="F468" s="718"/>
      <c r="G468" s="24">
        <f t="shared" si="76"/>
        <v>0.06</v>
      </c>
      <c r="H468" s="718"/>
      <c r="I468" s="24">
        <f t="shared" si="77"/>
        <v>0</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8"/>
      <c r="C469" s="24">
        <f t="shared" si="74"/>
        <v>1</v>
      </c>
      <c r="D469" s="718"/>
      <c r="E469" s="24">
        <f t="shared" si="75"/>
        <v>0.06</v>
      </c>
      <c r="F469" s="718"/>
      <c r="G469" s="24">
        <f t="shared" si="76"/>
        <v>0.06</v>
      </c>
      <c r="H469" s="718"/>
      <c r="I469" s="24">
        <f t="shared" si="77"/>
        <v>0</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8"/>
      <c r="C470" s="24">
        <f t="shared" si="74"/>
        <v>1</v>
      </c>
      <c r="D470" s="718"/>
      <c r="E470" s="24">
        <f t="shared" si="75"/>
        <v>0.06</v>
      </c>
      <c r="F470" s="718"/>
      <c r="G470" s="24">
        <f t="shared" si="76"/>
        <v>0.06</v>
      </c>
      <c r="H470" s="718"/>
      <c r="I470" s="24">
        <f t="shared" si="77"/>
        <v>0</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8"/>
      <c r="C471" s="24">
        <f t="shared" si="74"/>
        <v>1</v>
      </c>
      <c r="D471" s="718"/>
      <c r="E471" s="24">
        <f t="shared" si="75"/>
        <v>0.06</v>
      </c>
      <c r="F471" s="718"/>
      <c r="G471" s="24">
        <f t="shared" si="76"/>
        <v>0.06</v>
      </c>
      <c r="H471" s="718"/>
      <c r="I471" s="24">
        <f t="shared" si="77"/>
        <v>0</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8"/>
      <c r="C472" s="24">
        <f t="shared" si="74"/>
        <v>1</v>
      </c>
      <c r="D472" s="718"/>
      <c r="E472" s="24">
        <f t="shared" si="75"/>
        <v>0.06</v>
      </c>
      <c r="F472" s="718"/>
      <c r="G472" s="24">
        <f t="shared" si="76"/>
        <v>0.06</v>
      </c>
      <c r="H472" s="718"/>
      <c r="I472" s="24">
        <f t="shared" si="77"/>
        <v>0</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8"/>
      <c r="C473" s="24">
        <f t="shared" si="74"/>
        <v>1</v>
      </c>
      <c r="D473" s="718"/>
      <c r="E473" s="24">
        <f t="shared" si="75"/>
        <v>0.06</v>
      </c>
      <c r="F473" s="718"/>
      <c r="G473" s="24">
        <f t="shared" si="76"/>
        <v>0.06</v>
      </c>
      <c r="H473" s="718"/>
      <c r="I473" s="24">
        <f t="shared" si="77"/>
        <v>0</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0.06</v>
      </c>
      <c r="F474" s="718"/>
      <c r="G474" s="24">
        <f t="shared" ref="G474:G524" si="87">(SUMIF($7:$7,F474,$8:$8)-SUMIF($7:$7,$F$24,$8:$8)+100)/100</f>
        <v>0.06</v>
      </c>
      <c r="H474" s="718"/>
      <c r="I474" s="24">
        <f t="shared" ref="I474:I524" si="88">(SUMIF($9:$9,H474,$10:$10)-SUMIF($9:$9,$H$24,$10:$10)+100)/100</f>
        <v>0</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8"/>
      <c r="C475" s="24">
        <f t="shared" si="85"/>
        <v>1</v>
      </c>
      <c r="D475" s="718"/>
      <c r="E475" s="24">
        <f t="shared" si="86"/>
        <v>0.06</v>
      </c>
      <c r="F475" s="718"/>
      <c r="G475" s="24">
        <f t="shared" si="87"/>
        <v>0.06</v>
      </c>
      <c r="H475" s="718"/>
      <c r="I475" s="24">
        <f t="shared" si="88"/>
        <v>0</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8"/>
      <c r="C476" s="24">
        <f t="shared" si="85"/>
        <v>1</v>
      </c>
      <c r="D476" s="718"/>
      <c r="E476" s="24">
        <f t="shared" si="86"/>
        <v>0.06</v>
      </c>
      <c r="F476" s="718"/>
      <c r="G476" s="24">
        <f t="shared" si="87"/>
        <v>0.06</v>
      </c>
      <c r="H476" s="718"/>
      <c r="I476" s="24">
        <f t="shared" si="88"/>
        <v>0</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8"/>
      <c r="C477" s="24">
        <f t="shared" si="85"/>
        <v>1</v>
      </c>
      <c r="D477" s="718"/>
      <c r="E477" s="24">
        <f t="shared" si="86"/>
        <v>0.06</v>
      </c>
      <c r="F477" s="718"/>
      <c r="G477" s="24">
        <f t="shared" si="87"/>
        <v>0.06</v>
      </c>
      <c r="H477" s="718"/>
      <c r="I477" s="24">
        <f t="shared" si="88"/>
        <v>0</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8"/>
      <c r="C478" s="24">
        <f t="shared" si="85"/>
        <v>1</v>
      </c>
      <c r="D478" s="718"/>
      <c r="E478" s="24">
        <f t="shared" si="86"/>
        <v>0.06</v>
      </c>
      <c r="F478" s="718"/>
      <c r="G478" s="24">
        <f t="shared" si="87"/>
        <v>0.06</v>
      </c>
      <c r="H478" s="718"/>
      <c r="I478" s="24">
        <f t="shared" si="88"/>
        <v>0</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8"/>
      <c r="C479" s="24">
        <f t="shared" si="85"/>
        <v>1</v>
      </c>
      <c r="D479" s="718"/>
      <c r="E479" s="24">
        <f t="shared" si="86"/>
        <v>0.06</v>
      </c>
      <c r="F479" s="718"/>
      <c r="G479" s="24">
        <f t="shared" si="87"/>
        <v>0.06</v>
      </c>
      <c r="H479" s="718"/>
      <c r="I479" s="24">
        <f t="shared" si="88"/>
        <v>0</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8"/>
      <c r="C480" s="24">
        <f t="shared" si="85"/>
        <v>1</v>
      </c>
      <c r="D480" s="718"/>
      <c r="E480" s="24">
        <f t="shared" si="86"/>
        <v>0.06</v>
      </c>
      <c r="F480" s="718"/>
      <c r="G480" s="24">
        <f t="shared" si="87"/>
        <v>0.06</v>
      </c>
      <c r="H480" s="718"/>
      <c r="I480" s="24">
        <f t="shared" si="88"/>
        <v>0</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8"/>
      <c r="C481" s="24">
        <f t="shared" si="85"/>
        <v>1</v>
      </c>
      <c r="D481" s="718"/>
      <c r="E481" s="24">
        <f t="shared" si="86"/>
        <v>0.06</v>
      </c>
      <c r="F481" s="718"/>
      <c r="G481" s="24">
        <f t="shared" si="87"/>
        <v>0.06</v>
      </c>
      <c r="H481" s="718"/>
      <c r="I481" s="24">
        <f t="shared" si="88"/>
        <v>0</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8"/>
      <c r="C482" s="24">
        <f t="shared" si="85"/>
        <v>1</v>
      </c>
      <c r="D482" s="718"/>
      <c r="E482" s="24">
        <f t="shared" si="86"/>
        <v>0.06</v>
      </c>
      <c r="F482" s="718"/>
      <c r="G482" s="24">
        <f t="shared" si="87"/>
        <v>0.06</v>
      </c>
      <c r="H482" s="718"/>
      <c r="I482" s="24">
        <f t="shared" si="88"/>
        <v>0</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8"/>
      <c r="C483" s="24">
        <f t="shared" si="85"/>
        <v>1</v>
      </c>
      <c r="D483" s="718"/>
      <c r="E483" s="24">
        <f t="shared" si="86"/>
        <v>0.06</v>
      </c>
      <c r="F483" s="718"/>
      <c r="G483" s="24">
        <f t="shared" si="87"/>
        <v>0.06</v>
      </c>
      <c r="H483" s="718"/>
      <c r="I483" s="24">
        <f t="shared" si="88"/>
        <v>0</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8"/>
      <c r="C484" s="24">
        <f t="shared" si="85"/>
        <v>1</v>
      </c>
      <c r="D484" s="718"/>
      <c r="E484" s="24">
        <f t="shared" si="86"/>
        <v>0.06</v>
      </c>
      <c r="F484" s="718"/>
      <c r="G484" s="24">
        <f t="shared" si="87"/>
        <v>0.06</v>
      </c>
      <c r="H484" s="718"/>
      <c r="I484" s="24">
        <f t="shared" si="88"/>
        <v>0</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8"/>
      <c r="C485" s="24">
        <f t="shared" si="85"/>
        <v>1</v>
      </c>
      <c r="D485" s="718"/>
      <c r="E485" s="24">
        <f t="shared" si="86"/>
        <v>0.06</v>
      </c>
      <c r="F485" s="718"/>
      <c r="G485" s="24">
        <f t="shared" si="87"/>
        <v>0.06</v>
      </c>
      <c r="H485" s="718"/>
      <c r="I485" s="24">
        <f t="shared" si="88"/>
        <v>0</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8"/>
      <c r="C486" s="24">
        <f t="shared" si="85"/>
        <v>1</v>
      </c>
      <c r="D486" s="718"/>
      <c r="E486" s="24">
        <f t="shared" si="86"/>
        <v>0.06</v>
      </c>
      <c r="F486" s="718"/>
      <c r="G486" s="24">
        <f t="shared" si="87"/>
        <v>0.06</v>
      </c>
      <c r="H486" s="718"/>
      <c r="I486" s="24">
        <f t="shared" si="88"/>
        <v>0</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8"/>
      <c r="C487" s="24">
        <f t="shared" si="85"/>
        <v>1</v>
      </c>
      <c r="D487" s="718"/>
      <c r="E487" s="24">
        <f t="shared" si="86"/>
        <v>0.06</v>
      </c>
      <c r="F487" s="718"/>
      <c r="G487" s="24">
        <f t="shared" si="87"/>
        <v>0.06</v>
      </c>
      <c r="H487" s="718"/>
      <c r="I487" s="24">
        <f t="shared" si="88"/>
        <v>0</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8"/>
      <c r="C488" s="24">
        <f t="shared" si="85"/>
        <v>1</v>
      </c>
      <c r="D488" s="718"/>
      <c r="E488" s="24">
        <f t="shared" si="86"/>
        <v>0.06</v>
      </c>
      <c r="F488" s="718"/>
      <c r="G488" s="24">
        <f t="shared" si="87"/>
        <v>0.06</v>
      </c>
      <c r="H488" s="718"/>
      <c r="I488" s="24">
        <f t="shared" si="88"/>
        <v>0</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8"/>
      <c r="C489" s="24">
        <f t="shared" si="85"/>
        <v>1</v>
      </c>
      <c r="D489" s="718"/>
      <c r="E489" s="24">
        <f t="shared" si="86"/>
        <v>0.06</v>
      </c>
      <c r="F489" s="718"/>
      <c r="G489" s="24">
        <f t="shared" si="87"/>
        <v>0.06</v>
      </c>
      <c r="H489" s="718"/>
      <c r="I489" s="24">
        <f t="shared" si="88"/>
        <v>0</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8"/>
      <c r="C490" s="24">
        <f t="shared" si="85"/>
        <v>1</v>
      </c>
      <c r="D490" s="718"/>
      <c r="E490" s="24">
        <f t="shared" si="86"/>
        <v>0.06</v>
      </c>
      <c r="F490" s="718"/>
      <c r="G490" s="24">
        <f t="shared" si="87"/>
        <v>0.06</v>
      </c>
      <c r="H490" s="718"/>
      <c r="I490" s="24">
        <f t="shared" si="88"/>
        <v>0</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8"/>
      <c r="C491" s="24">
        <f t="shared" si="85"/>
        <v>1</v>
      </c>
      <c r="D491" s="718"/>
      <c r="E491" s="24">
        <f t="shared" si="86"/>
        <v>0.06</v>
      </c>
      <c r="F491" s="718"/>
      <c r="G491" s="24">
        <f t="shared" si="87"/>
        <v>0.06</v>
      </c>
      <c r="H491" s="718"/>
      <c r="I491" s="24">
        <f t="shared" si="88"/>
        <v>0</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8"/>
      <c r="C492" s="24">
        <f t="shared" si="85"/>
        <v>1</v>
      </c>
      <c r="D492" s="718"/>
      <c r="E492" s="24">
        <f t="shared" si="86"/>
        <v>0.06</v>
      </c>
      <c r="F492" s="718"/>
      <c r="G492" s="24">
        <f t="shared" si="87"/>
        <v>0.06</v>
      </c>
      <c r="H492" s="718"/>
      <c r="I492" s="24">
        <f t="shared" si="88"/>
        <v>0</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8"/>
      <c r="C493" s="24">
        <f t="shared" si="85"/>
        <v>1</v>
      </c>
      <c r="D493" s="718"/>
      <c r="E493" s="24">
        <f t="shared" si="86"/>
        <v>0.06</v>
      </c>
      <c r="F493" s="718"/>
      <c r="G493" s="24">
        <f t="shared" si="87"/>
        <v>0.06</v>
      </c>
      <c r="H493" s="718"/>
      <c r="I493" s="24">
        <f t="shared" si="88"/>
        <v>0</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8"/>
      <c r="C494" s="24">
        <f t="shared" si="85"/>
        <v>1</v>
      </c>
      <c r="D494" s="718"/>
      <c r="E494" s="24">
        <f t="shared" si="86"/>
        <v>0.06</v>
      </c>
      <c r="F494" s="718"/>
      <c r="G494" s="24">
        <f t="shared" si="87"/>
        <v>0.06</v>
      </c>
      <c r="H494" s="718"/>
      <c r="I494" s="24">
        <f t="shared" si="88"/>
        <v>0</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8"/>
      <c r="C495" s="24">
        <f t="shared" si="85"/>
        <v>1</v>
      </c>
      <c r="D495" s="718"/>
      <c r="E495" s="24">
        <f t="shared" si="86"/>
        <v>0.06</v>
      </c>
      <c r="F495" s="718"/>
      <c r="G495" s="24">
        <f t="shared" si="87"/>
        <v>0.06</v>
      </c>
      <c r="H495" s="718"/>
      <c r="I495" s="24">
        <f t="shared" si="88"/>
        <v>0</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8"/>
      <c r="C496" s="24">
        <f t="shared" si="85"/>
        <v>1</v>
      </c>
      <c r="D496" s="718"/>
      <c r="E496" s="24">
        <f t="shared" si="86"/>
        <v>0.06</v>
      </c>
      <c r="F496" s="718"/>
      <c r="G496" s="24">
        <f t="shared" si="87"/>
        <v>0.06</v>
      </c>
      <c r="H496" s="718"/>
      <c r="I496" s="24">
        <f t="shared" si="88"/>
        <v>0</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8"/>
      <c r="C497" s="24">
        <f t="shared" si="85"/>
        <v>1</v>
      </c>
      <c r="D497" s="718"/>
      <c r="E497" s="24">
        <f t="shared" si="86"/>
        <v>0.06</v>
      </c>
      <c r="F497" s="718"/>
      <c r="G497" s="24">
        <f t="shared" si="87"/>
        <v>0.06</v>
      </c>
      <c r="H497" s="718"/>
      <c r="I497" s="24">
        <f t="shared" si="88"/>
        <v>0</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8"/>
      <c r="C498" s="24">
        <f t="shared" si="85"/>
        <v>1</v>
      </c>
      <c r="D498" s="718"/>
      <c r="E498" s="24">
        <f t="shared" si="86"/>
        <v>0.06</v>
      </c>
      <c r="F498" s="718"/>
      <c r="G498" s="24">
        <f t="shared" si="87"/>
        <v>0.06</v>
      </c>
      <c r="H498" s="718"/>
      <c r="I498" s="24">
        <f t="shared" si="88"/>
        <v>0</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8"/>
      <c r="C499" s="24">
        <f t="shared" si="85"/>
        <v>1</v>
      </c>
      <c r="D499" s="718"/>
      <c r="E499" s="24">
        <f t="shared" si="86"/>
        <v>0.06</v>
      </c>
      <c r="F499" s="718"/>
      <c r="G499" s="24">
        <f t="shared" si="87"/>
        <v>0.06</v>
      </c>
      <c r="H499" s="718"/>
      <c r="I499" s="24">
        <f t="shared" si="88"/>
        <v>0</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8"/>
      <c r="C500" s="24">
        <f t="shared" si="85"/>
        <v>1</v>
      </c>
      <c r="D500" s="718"/>
      <c r="E500" s="24">
        <f t="shared" si="86"/>
        <v>0.06</v>
      </c>
      <c r="F500" s="718"/>
      <c r="G500" s="24">
        <f t="shared" si="87"/>
        <v>0.06</v>
      </c>
      <c r="H500" s="718"/>
      <c r="I500" s="24">
        <f t="shared" si="88"/>
        <v>0</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8"/>
      <c r="C501" s="24">
        <f t="shared" si="85"/>
        <v>1</v>
      </c>
      <c r="D501" s="718"/>
      <c r="E501" s="24">
        <f t="shared" si="86"/>
        <v>0.06</v>
      </c>
      <c r="F501" s="718"/>
      <c r="G501" s="24">
        <f t="shared" si="87"/>
        <v>0.06</v>
      </c>
      <c r="H501" s="718"/>
      <c r="I501" s="24">
        <f t="shared" si="88"/>
        <v>0</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8"/>
      <c r="C502" s="24">
        <f t="shared" si="85"/>
        <v>1</v>
      </c>
      <c r="D502" s="718"/>
      <c r="E502" s="24">
        <f t="shared" si="86"/>
        <v>0.06</v>
      </c>
      <c r="F502" s="718"/>
      <c r="G502" s="24">
        <f t="shared" si="87"/>
        <v>0.06</v>
      </c>
      <c r="H502" s="718"/>
      <c r="I502" s="24">
        <f t="shared" si="88"/>
        <v>0</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8"/>
      <c r="C503" s="24">
        <f t="shared" si="85"/>
        <v>1</v>
      </c>
      <c r="D503" s="718"/>
      <c r="E503" s="24">
        <f t="shared" si="86"/>
        <v>0.06</v>
      </c>
      <c r="F503" s="718"/>
      <c r="G503" s="24">
        <f t="shared" si="87"/>
        <v>0.06</v>
      </c>
      <c r="H503" s="718"/>
      <c r="I503" s="24">
        <f t="shared" si="88"/>
        <v>0</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8"/>
      <c r="C504" s="24">
        <f t="shared" si="85"/>
        <v>1</v>
      </c>
      <c r="D504" s="718"/>
      <c r="E504" s="24">
        <f t="shared" si="86"/>
        <v>0.06</v>
      </c>
      <c r="F504" s="718"/>
      <c r="G504" s="24">
        <f t="shared" si="87"/>
        <v>0.06</v>
      </c>
      <c r="H504" s="718"/>
      <c r="I504" s="24">
        <f t="shared" si="88"/>
        <v>0</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8"/>
      <c r="C505" s="24">
        <f t="shared" si="85"/>
        <v>1</v>
      </c>
      <c r="D505" s="718"/>
      <c r="E505" s="24">
        <f t="shared" si="86"/>
        <v>0.06</v>
      </c>
      <c r="F505" s="718"/>
      <c r="G505" s="24">
        <f t="shared" si="87"/>
        <v>0.06</v>
      </c>
      <c r="H505" s="718"/>
      <c r="I505" s="24">
        <f t="shared" si="88"/>
        <v>0</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8"/>
      <c r="C506" s="24">
        <f t="shared" si="85"/>
        <v>1</v>
      </c>
      <c r="D506" s="718"/>
      <c r="E506" s="24">
        <f t="shared" si="86"/>
        <v>0.06</v>
      </c>
      <c r="F506" s="718"/>
      <c r="G506" s="24">
        <f t="shared" si="87"/>
        <v>0.06</v>
      </c>
      <c r="H506" s="718"/>
      <c r="I506" s="24">
        <f t="shared" si="88"/>
        <v>0</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8"/>
      <c r="C507" s="24">
        <f t="shared" si="85"/>
        <v>1</v>
      </c>
      <c r="D507" s="718"/>
      <c r="E507" s="24">
        <f t="shared" si="86"/>
        <v>0.06</v>
      </c>
      <c r="F507" s="718"/>
      <c r="G507" s="24">
        <f t="shared" si="87"/>
        <v>0.06</v>
      </c>
      <c r="H507" s="718"/>
      <c r="I507" s="24">
        <f t="shared" si="88"/>
        <v>0</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8"/>
      <c r="C508" s="24">
        <f t="shared" si="85"/>
        <v>1</v>
      </c>
      <c r="D508" s="718"/>
      <c r="E508" s="24">
        <f t="shared" si="86"/>
        <v>0.06</v>
      </c>
      <c r="F508" s="718"/>
      <c r="G508" s="24">
        <f t="shared" si="87"/>
        <v>0.06</v>
      </c>
      <c r="H508" s="718"/>
      <c r="I508" s="24">
        <f t="shared" si="88"/>
        <v>0</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8"/>
      <c r="C509" s="24">
        <f t="shared" si="85"/>
        <v>1</v>
      </c>
      <c r="D509" s="718"/>
      <c r="E509" s="24">
        <f t="shared" si="86"/>
        <v>0.06</v>
      </c>
      <c r="F509" s="718"/>
      <c r="G509" s="24">
        <f t="shared" si="87"/>
        <v>0.06</v>
      </c>
      <c r="H509" s="718"/>
      <c r="I509" s="24">
        <f t="shared" si="88"/>
        <v>0</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8"/>
      <c r="C510" s="24">
        <f t="shared" si="85"/>
        <v>1</v>
      </c>
      <c r="D510" s="718"/>
      <c r="E510" s="24">
        <f t="shared" si="86"/>
        <v>0.06</v>
      </c>
      <c r="F510" s="718"/>
      <c r="G510" s="24">
        <f t="shared" si="87"/>
        <v>0.06</v>
      </c>
      <c r="H510" s="718"/>
      <c r="I510" s="24">
        <f t="shared" si="88"/>
        <v>0</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8"/>
      <c r="C511" s="24">
        <f t="shared" si="85"/>
        <v>1</v>
      </c>
      <c r="D511" s="718"/>
      <c r="E511" s="24">
        <f t="shared" si="86"/>
        <v>0.06</v>
      </c>
      <c r="F511" s="718"/>
      <c r="G511" s="24">
        <f t="shared" si="87"/>
        <v>0.06</v>
      </c>
      <c r="H511" s="718"/>
      <c r="I511" s="24">
        <f t="shared" si="88"/>
        <v>0</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8"/>
      <c r="C512" s="24">
        <f t="shared" si="85"/>
        <v>1</v>
      </c>
      <c r="D512" s="718"/>
      <c r="E512" s="24">
        <f t="shared" si="86"/>
        <v>0.06</v>
      </c>
      <c r="F512" s="718"/>
      <c r="G512" s="24">
        <f t="shared" si="87"/>
        <v>0.06</v>
      </c>
      <c r="H512" s="718"/>
      <c r="I512" s="24">
        <f t="shared" si="88"/>
        <v>0</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8"/>
      <c r="C513" s="24">
        <f t="shared" si="85"/>
        <v>1</v>
      </c>
      <c r="D513" s="718"/>
      <c r="E513" s="24">
        <f t="shared" si="86"/>
        <v>0.06</v>
      </c>
      <c r="F513" s="718"/>
      <c r="G513" s="24">
        <f t="shared" si="87"/>
        <v>0.06</v>
      </c>
      <c r="H513" s="718"/>
      <c r="I513" s="24">
        <f t="shared" si="88"/>
        <v>0</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8"/>
      <c r="C514" s="24">
        <f t="shared" si="85"/>
        <v>1</v>
      </c>
      <c r="D514" s="718"/>
      <c r="E514" s="24">
        <f t="shared" si="86"/>
        <v>0.06</v>
      </c>
      <c r="F514" s="718"/>
      <c r="G514" s="24">
        <f t="shared" si="87"/>
        <v>0.06</v>
      </c>
      <c r="H514" s="718"/>
      <c r="I514" s="24">
        <f t="shared" si="88"/>
        <v>0</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8"/>
      <c r="C515" s="24">
        <f t="shared" si="85"/>
        <v>1</v>
      </c>
      <c r="D515" s="718"/>
      <c r="E515" s="24">
        <f t="shared" si="86"/>
        <v>0.06</v>
      </c>
      <c r="F515" s="718"/>
      <c r="G515" s="24">
        <f t="shared" si="87"/>
        <v>0.06</v>
      </c>
      <c r="H515" s="718"/>
      <c r="I515" s="24">
        <f t="shared" si="88"/>
        <v>0</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8"/>
      <c r="C516" s="24">
        <f t="shared" si="85"/>
        <v>1</v>
      </c>
      <c r="D516" s="718"/>
      <c r="E516" s="24">
        <f t="shared" si="86"/>
        <v>0.06</v>
      </c>
      <c r="F516" s="718"/>
      <c r="G516" s="24">
        <f t="shared" si="87"/>
        <v>0.06</v>
      </c>
      <c r="H516" s="718"/>
      <c r="I516" s="24">
        <f t="shared" si="88"/>
        <v>0</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8"/>
      <c r="C517" s="24">
        <f t="shared" si="85"/>
        <v>1</v>
      </c>
      <c r="D517" s="718"/>
      <c r="E517" s="24">
        <f t="shared" si="86"/>
        <v>0.06</v>
      </c>
      <c r="F517" s="718"/>
      <c r="G517" s="24">
        <f t="shared" si="87"/>
        <v>0.06</v>
      </c>
      <c r="H517" s="718"/>
      <c r="I517" s="24">
        <f t="shared" si="88"/>
        <v>0</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8"/>
      <c r="C518" s="24">
        <f t="shared" si="85"/>
        <v>1</v>
      </c>
      <c r="D518" s="718"/>
      <c r="E518" s="24">
        <f t="shared" si="86"/>
        <v>0.06</v>
      </c>
      <c r="F518" s="718"/>
      <c r="G518" s="24">
        <f t="shared" si="87"/>
        <v>0.06</v>
      </c>
      <c r="H518" s="718"/>
      <c r="I518" s="24">
        <f t="shared" si="88"/>
        <v>0</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8"/>
      <c r="C519" s="24">
        <f t="shared" si="85"/>
        <v>1</v>
      </c>
      <c r="D519" s="718"/>
      <c r="E519" s="24">
        <f t="shared" si="86"/>
        <v>0.06</v>
      </c>
      <c r="F519" s="718"/>
      <c r="G519" s="24">
        <f t="shared" si="87"/>
        <v>0.06</v>
      </c>
      <c r="H519" s="718"/>
      <c r="I519" s="24">
        <f t="shared" si="88"/>
        <v>0</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8"/>
      <c r="C520" s="24">
        <f t="shared" si="85"/>
        <v>1</v>
      </c>
      <c r="D520" s="718"/>
      <c r="E520" s="24">
        <f t="shared" si="86"/>
        <v>0.06</v>
      </c>
      <c r="F520" s="718"/>
      <c r="G520" s="24">
        <f t="shared" si="87"/>
        <v>0.06</v>
      </c>
      <c r="H520" s="718"/>
      <c r="I520" s="24">
        <f t="shared" si="88"/>
        <v>0</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8"/>
      <c r="C521" s="24">
        <f t="shared" si="85"/>
        <v>1</v>
      </c>
      <c r="D521" s="718"/>
      <c r="E521" s="24">
        <f t="shared" si="86"/>
        <v>0.06</v>
      </c>
      <c r="F521" s="718"/>
      <c r="G521" s="24">
        <f t="shared" si="87"/>
        <v>0.06</v>
      </c>
      <c r="H521" s="718"/>
      <c r="I521" s="24">
        <f t="shared" si="88"/>
        <v>0</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8"/>
      <c r="C522" s="24">
        <f t="shared" si="85"/>
        <v>1</v>
      </c>
      <c r="D522" s="718"/>
      <c r="E522" s="24">
        <f t="shared" si="86"/>
        <v>0.06</v>
      </c>
      <c r="F522" s="718"/>
      <c r="G522" s="24">
        <f t="shared" si="87"/>
        <v>0.06</v>
      </c>
      <c r="H522" s="718"/>
      <c r="I522" s="24">
        <f t="shared" si="88"/>
        <v>0</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8"/>
      <c r="C523" s="24">
        <f t="shared" si="85"/>
        <v>1</v>
      </c>
      <c r="D523" s="718"/>
      <c r="E523" s="24">
        <f t="shared" si="86"/>
        <v>0.06</v>
      </c>
      <c r="F523" s="718"/>
      <c r="G523" s="24">
        <f t="shared" si="87"/>
        <v>0.06</v>
      </c>
      <c r="H523" s="718"/>
      <c r="I523" s="24">
        <f t="shared" si="88"/>
        <v>0</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8"/>
      <c r="C524" s="24">
        <f t="shared" si="85"/>
        <v>1</v>
      </c>
      <c r="D524" s="718"/>
      <c r="E524" s="24">
        <f t="shared" si="86"/>
        <v>0.06</v>
      </c>
      <c r="F524" s="718"/>
      <c r="G524" s="24">
        <f t="shared" si="87"/>
        <v>0.06</v>
      </c>
      <c r="H524" s="718"/>
      <c r="I524" s="24">
        <f t="shared" si="88"/>
        <v>0</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B2" sqref="B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3266</v>
      </c>
      <c r="D1" s="1814" t="s">
        <v>70</v>
      </c>
      <c r="E1" s="1815" t="s">
        <v>1385</v>
      </c>
      <c r="F1" s="1277">
        <f ca="1">J53</f>
        <v>34.85</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f ca="1">C40+J29+L46</f>
        <v>24578</v>
      </c>
      <c r="C2" s="1839" t="s">
        <v>1515</v>
      </c>
      <c r="D2" s="1839"/>
      <c r="E2" s="1840"/>
      <c r="F2" s="1841"/>
      <c r="G2" s="1842"/>
      <c r="H2" s="1834"/>
      <c r="I2" s="1834"/>
      <c r="J2" s="1834"/>
      <c r="K2" s="1835"/>
      <c r="L2" s="1834"/>
      <c r="M2" s="1834"/>
    </row>
    <row r="3" spans="1:37" ht="18" customHeight="1" thickBot="1">
      <c r="A3" s="1843" t="s">
        <v>1516</v>
      </c>
      <c r="B3" s="1844">
        <f ca="1">IF(ISERROR(B2*10000/F43),0,ROUND(B2*10000/F43,0))</f>
        <v>14183</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f ca="1">C6+C10+C12</f>
        <v>1520</v>
      </c>
      <c r="D5" s="1816" t="s">
        <v>1400</v>
      </c>
      <c r="E5" s="1287"/>
      <c r="F5" s="1288"/>
      <c r="G5" s="1845"/>
      <c r="H5" s="343">
        <v>1</v>
      </c>
      <c r="I5" s="344" t="s">
        <v>1399</v>
      </c>
      <c r="J5" s="1286">
        <f ca="1">J6+J10+J12</f>
        <v>2371</v>
      </c>
      <c r="K5" s="1816" t="s">
        <v>1400</v>
      </c>
      <c r="L5" s="1287"/>
      <c r="M5" s="1288"/>
    </row>
    <row r="6" spans="1:37" ht="18" customHeight="1">
      <c r="A6" s="1285" t="s">
        <v>1035</v>
      </c>
      <c r="B6" s="3368" t="s">
        <v>1401</v>
      </c>
      <c r="C6" s="1290">
        <f ca="1">ROUND(F6*F8*F7*(1-F9)/10000,0)</f>
        <v>1518</v>
      </c>
      <c r="D6" s="163" t="s">
        <v>3023</v>
      </c>
      <c r="E6" s="346" t="s">
        <v>1403</v>
      </c>
      <c r="F6" s="347">
        <f ca="1">INDIRECT("'数据-取费表'!u"&amp;$G$1)</f>
        <v>2.4</v>
      </c>
      <c r="G6" s="1845"/>
      <c r="H6" s="1285" t="s">
        <v>1035</v>
      </c>
      <c r="I6" s="3368" t="s">
        <v>1401</v>
      </c>
      <c r="J6" s="345">
        <f ca="1">ROUND(M6*M8*M7*(1-M9)/10000,0)</f>
        <v>2368</v>
      </c>
      <c r="K6" s="163" t="s">
        <v>3022</v>
      </c>
      <c r="L6" s="346" t="s">
        <v>1403</v>
      </c>
      <c r="M6" s="347">
        <f ca="1">INDIRECT("'数据-取费表'!z"&amp;$G$1)</f>
        <v>3.94</v>
      </c>
    </row>
    <row r="7" spans="1:37" ht="18" customHeight="1">
      <c r="A7" s="1289"/>
      <c r="B7" s="3369"/>
      <c r="C7" s="1291"/>
      <c r="D7" s="351"/>
      <c r="E7" s="1292" t="s">
        <v>1404</v>
      </c>
      <c r="F7" s="347">
        <f ca="1">IF(INDIRECT("'数据-取费表'!ah"&amp;$G$1)="",INDIRECT("'数据-取费表'!k"&amp;$G$1),INDIRECT("'数据-取费表'!ah"&amp;$G$1))</f>
        <v>17329.439999999999</v>
      </c>
      <c r="G7" s="1845"/>
      <c r="H7" s="348"/>
      <c r="I7" s="3369"/>
      <c r="J7" s="350"/>
      <c r="K7" s="351"/>
      <c r="L7" s="346" t="s">
        <v>1404</v>
      </c>
      <c r="M7" s="347">
        <f ca="1">F7</f>
        <v>17329.439999999999</v>
      </c>
    </row>
    <row r="8" spans="1:37" ht="18" customHeight="1">
      <c r="A8" s="348"/>
      <c r="B8" s="3369"/>
      <c r="C8" s="350"/>
      <c r="D8" s="351"/>
      <c r="E8" s="346" t="s">
        <v>1405</v>
      </c>
      <c r="F8" s="347">
        <f ca="1">INDIRECT("'数据-取费表'!ai"&amp;$G$1)</f>
        <v>365</v>
      </c>
      <c r="G8" s="1845"/>
      <c r="H8" s="348"/>
      <c r="I8" s="3369"/>
      <c r="J8" s="350"/>
      <c r="K8" s="351"/>
      <c r="L8" s="346" t="s">
        <v>1405</v>
      </c>
      <c r="M8" s="347">
        <f ca="1">INDIRECT("'数据-取费表'!ai"&amp;$G$1)</f>
        <v>365</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0.05</v>
      </c>
    </row>
    <row r="10" spans="1:37" ht="18" customHeight="1">
      <c r="A10" s="1285" t="s">
        <v>1039</v>
      </c>
      <c r="B10" s="1817" t="s">
        <v>1407</v>
      </c>
      <c r="C10" s="360">
        <f ca="1">ROUND(IF(F10="押一",F6*F8*F7/12*F11,IF(F10="押二",F6*F8*F7/12*2*F11,IF(F10="押三",F6*F8*F7/12*3*F11,C11*F11)))/10000,0)</f>
        <v>2</v>
      </c>
      <c r="D10" s="1818" t="s">
        <v>3024</v>
      </c>
      <c r="E10" s="357" t="s">
        <v>1409</v>
      </c>
      <c r="F10" s="1360" t="s">
        <v>3065</v>
      </c>
      <c r="G10" s="1845"/>
      <c r="H10" s="1285" t="s">
        <v>1039</v>
      </c>
      <c r="I10" s="1817" t="s">
        <v>1407</v>
      </c>
      <c r="J10" s="345">
        <f ca="1">ROUND(IF(M10="押一",M6*M8*M7/12*M11,IF(M10="押二",M6*M8*M7/12*2*M11,IF(M10="押三",M6*M8*M7/12*3*M11,J11*M11)))/10000,0)</f>
        <v>3</v>
      </c>
      <c r="K10" s="1818" t="s">
        <v>3025</v>
      </c>
      <c r="L10" s="357" t="s">
        <v>1409</v>
      </c>
      <c r="M10" s="1360" t="s">
        <v>3065</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8213</v>
      </c>
      <c r="D13" s="1325" t="s">
        <v>1414</v>
      </c>
      <c r="E13" s="1325" t="s">
        <v>1415</v>
      </c>
      <c r="F13" s="1326">
        <f ca="1">INDIRECT("'数据-取费表'!y"&amp;$G$1)</f>
        <v>0.95</v>
      </c>
      <c r="G13" s="1845"/>
      <c r="H13" s="1323">
        <v>2</v>
      </c>
      <c r="I13" s="1324" t="s">
        <v>1413</v>
      </c>
      <c r="J13" s="1284">
        <f ca="1">ROUND(J14*J15,0)</f>
        <v>6397</v>
      </c>
      <c r="K13" s="1331" t="s">
        <v>1414</v>
      </c>
      <c r="L13" s="1846"/>
      <c r="M13" s="1847"/>
    </row>
    <row r="14" spans="1:37" ht="18" customHeight="1">
      <c r="A14" s="1195" t="s">
        <v>1034</v>
      </c>
      <c r="B14" s="346" t="s">
        <v>1416</v>
      </c>
      <c r="C14" s="362">
        <f ca="1">INDIRECT("'数据-取费表'!m"&amp;$G$1)+INDIRECT("'数据-取费表'!t"&amp;$G$1)</f>
        <v>6065</v>
      </c>
      <c r="D14" s="1794" t="s">
        <v>1417</v>
      </c>
      <c r="E14" s="1788"/>
      <c r="F14" s="363"/>
      <c r="G14" s="1845"/>
      <c r="H14" s="1195" t="s">
        <v>1035</v>
      </c>
      <c r="I14" s="346" t="s">
        <v>1418</v>
      </c>
      <c r="J14" s="24">
        <f ca="1">C29</f>
        <v>8645</v>
      </c>
      <c r="K14" s="15"/>
      <c r="L14" s="975"/>
      <c r="M14" s="976"/>
    </row>
    <row r="15" spans="1:37" s="1852" customFormat="1" ht="18" customHeight="1" thickBot="1">
      <c r="A15" s="1195" t="s">
        <v>1036</v>
      </c>
      <c r="B15" s="346" t="s">
        <v>1419</v>
      </c>
      <c r="C15" s="24">
        <f ca="1">ROUND(C14*F15,0)</f>
        <v>182</v>
      </c>
      <c r="D15" s="364" t="s">
        <v>1420</v>
      </c>
      <c r="E15" s="364" t="s">
        <v>1421</v>
      </c>
      <c r="F15" s="365">
        <f>'数据-取费表'!B33</f>
        <v>0.03</v>
      </c>
      <c r="G15" s="1848"/>
      <c r="H15" s="1333" t="s">
        <v>1039</v>
      </c>
      <c r="I15" s="1334" t="s">
        <v>1415</v>
      </c>
      <c r="J15" s="1343">
        <f ca="1">INDIRECT("'数据-取费表'!ad"&amp;$G$1)</f>
        <v>0.74</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ROUND(INDIRECT("'数据-取费表'!m"&amp;$G$1)*F16,0)</f>
        <v>0</v>
      </c>
      <c r="D16" s="346" t="s">
        <v>1420</v>
      </c>
      <c r="E16" s="346" t="s">
        <v>1421</v>
      </c>
      <c r="F16" s="366">
        <f ca="1">IF(INDIRECT("'数据-取费表'!c"&amp;$G$1)="住宅",'数据-取费表'!B34,0)</f>
        <v>0</v>
      </c>
      <c r="G16" s="1845"/>
      <c r="H16" s="1323" t="s">
        <v>1030</v>
      </c>
      <c r="I16" s="1324" t="s">
        <v>1423</v>
      </c>
      <c r="J16" s="354">
        <f ca="1">ROUND(J17+J22+J23+J24,0)</f>
        <v>360</v>
      </c>
      <c r="K16" s="1331" t="s">
        <v>1424</v>
      </c>
      <c r="L16" s="1332"/>
      <c r="M16" s="1288"/>
    </row>
    <row r="17" spans="1:37" s="1852" customFormat="1" ht="18" customHeight="1">
      <c r="A17" s="1195" t="s">
        <v>1388</v>
      </c>
      <c r="B17" s="346" t="s">
        <v>1425</v>
      </c>
      <c r="C17" s="24">
        <f ca="1">ROUND(F17*(F43+INDIRECT("'数据-取费表'!S"&amp;$G$1))/10000,0)</f>
        <v>347</v>
      </c>
      <c r="D17" s="346" t="s">
        <v>1426</v>
      </c>
      <c r="E17" s="346" t="s">
        <v>1427</v>
      </c>
      <c r="F17" s="26">
        <f>'数据-取费表'!B35</f>
        <v>200</v>
      </c>
      <c r="G17" s="1848"/>
      <c r="H17" s="1195" t="s">
        <v>1035</v>
      </c>
      <c r="I17" s="346" t="s">
        <v>1428</v>
      </c>
      <c r="J17" s="24">
        <f ca="1">ROUND(IF(项目基本情况!B11="自然人",J5*M17,J18+J19+J20),1)</f>
        <v>196.8</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91</v>
      </c>
      <c r="D18" s="346" t="s">
        <v>1420</v>
      </c>
      <c r="E18" s="346" t="s">
        <v>1421</v>
      </c>
      <c r="F18" s="366">
        <f>'数据-取费表'!B36</f>
        <v>1.4999999999999999E-2</v>
      </c>
      <c r="G18" s="1848"/>
      <c r="H18" s="1195" t="s">
        <v>1034</v>
      </c>
      <c r="I18" s="346" t="s">
        <v>1432</v>
      </c>
      <c r="J18" s="24">
        <f ca="1">ROUND(J5*M18/(1+'数据-取费表'!C42),2)</f>
        <v>124.2</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6685</v>
      </c>
      <c r="D19" s="139" t="s">
        <v>1435</v>
      </c>
      <c r="E19" s="1812"/>
      <c r="F19" s="26"/>
      <c r="G19" s="1845"/>
      <c r="H19" s="1195" t="s">
        <v>1036</v>
      </c>
      <c r="I19" s="346" t="s">
        <v>1436</v>
      </c>
      <c r="J19" s="24">
        <f ca="1">IF(K19="按租金收入计税",ROUND(J5*M19,2),ROUND(C29*M19*0.7,2))</f>
        <v>72.62</v>
      </c>
      <c r="K19" s="1822" t="s">
        <v>1437</v>
      </c>
      <c r="L19" s="346" t="s">
        <v>1421</v>
      </c>
      <c r="M19" s="366">
        <f>IF(K19="按租金收入计税",'数据-取费表'!B51,'数据-取费表'!B50)</f>
        <v>1.2E-2</v>
      </c>
    </row>
    <row r="20" spans="1:37" s="1852" customFormat="1" ht="18" customHeight="1">
      <c r="A20" s="1195" t="s">
        <v>1039</v>
      </c>
      <c r="B20" s="346" t="s">
        <v>1438</v>
      </c>
      <c r="C20" s="24">
        <f ca="1">ROUND(C19*F20,0)</f>
        <v>134</v>
      </c>
      <c r="D20" s="368" t="s">
        <v>1439</v>
      </c>
      <c r="E20" s="346" t="s">
        <v>1421</v>
      </c>
      <c r="F20" s="366">
        <f>'数据-取费表'!B37</f>
        <v>0.02</v>
      </c>
      <c r="G20" s="1848"/>
      <c r="H20" s="1195" t="s">
        <v>1387</v>
      </c>
      <c r="I20" s="163" t="s">
        <v>1440</v>
      </c>
      <c r="J20" s="25">
        <f ca="1">ROUND(M20*M21/10000,2)</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ROUND(J14*M22,1)</f>
        <v>129.69999999999999</v>
      </c>
      <c r="K22" s="1792" t="s">
        <v>1449</v>
      </c>
      <c r="L22" s="346" t="s">
        <v>1421</v>
      </c>
      <c r="M22" s="373">
        <f ca="1">INDIRECT("'数据-取费表'!Ak"&amp;$G$1)</f>
        <v>1.4999999999999999E-2</v>
      </c>
    </row>
    <row r="23" spans="1:37" s="1852" customFormat="1" ht="18" customHeight="1">
      <c r="A23" s="1195" t="s">
        <v>1034</v>
      </c>
      <c r="B23" s="346" t="s">
        <v>1450</v>
      </c>
      <c r="C23" s="24">
        <f ca="1">IF('数据-取费表'!B22&lt;=1,ROUND(C19*F24*F23/2,0)+ROUND(C20*F24*F23/2,0),ROUND(C19*(POWER((1+F24),F23/2)-1),0)+ROUND(C20*(POWER((1+F24),F23/2)-1),0))</f>
        <v>148</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ROUND(J13*M23,1)</f>
        <v>9.6</v>
      </c>
      <c r="K23" s="1792" t="s">
        <v>1453</v>
      </c>
      <c r="L23" s="346" t="s">
        <v>1454</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ROUND(J5*M24,1)</f>
        <v>23.7</v>
      </c>
      <c r="K24" s="1336" t="s">
        <v>1458</v>
      </c>
      <c r="L24" s="1334" t="s">
        <v>1454</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1812"/>
      <c r="F25" s="26"/>
      <c r="G25" s="1845"/>
      <c r="H25" s="1323" t="s">
        <v>1031</v>
      </c>
      <c r="I25" s="1338" t="s">
        <v>1462</v>
      </c>
      <c r="J25" s="354">
        <f ca="1">J5-J16</f>
        <v>2011</v>
      </c>
      <c r="K25" s="1339" t="s">
        <v>1463</v>
      </c>
      <c r="L25" s="1340"/>
      <c r="M25" s="1341"/>
    </row>
    <row r="26" spans="1:37">
      <c r="A26" s="1195" t="s">
        <v>1034</v>
      </c>
      <c r="B26" s="346" t="s">
        <v>1464</v>
      </c>
      <c r="C26" s="24">
        <f ca="1">ROUND((C19+C20)*F26,0)</f>
        <v>1023</v>
      </c>
      <c r="D26" s="368" t="s">
        <v>1465</v>
      </c>
      <c r="E26" s="357" t="s">
        <v>1466</v>
      </c>
      <c r="F26" s="356">
        <f ca="1">INDIRECT("'数据-取费表'!q"&amp;$G$1)</f>
        <v>0.15</v>
      </c>
      <c r="G26" s="1845"/>
      <c r="H26" s="343" t="s">
        <v>1032</v>
      </c>
      <c r="I26" s="344" t="s">
        <v>1467</v>
      </c>
      <c r="J26" s="345">
        <f ca="1">IF(J5&lt;&gt;0,ROUND(J25*(1-((1+M28)/(1+M26))^M27)/(M26-M28),0),0)</f>
        <v>28301</v>
      </c>
      <c r="K26" s="369" t="s">
        <v>1468</v>
      </c>
      <c r="L26" s="346" t="s">
        <v>1469</v>
      </c>
      <c r="M26" s="356">
        <f ca="1">INDIRECT("'数据-取费表'!I"&amp;$G$1)</f>
        <v>5.5E-2</v>
      </c>
    </row>
    <row r="27" spans="1:37" ht="18" customHeight="1">
      <c r="A27" s="1195" t="s">
        <v>1036</v>
      </c>
      <c r="B27" s="346" t="s">
        <v>1470</v>
      </c>
      <c r="C27" s="24">
        <f ca="1">ROUND(F21*F26,4)</f>
        <v>3.0000000000000001E-3</v>
      </c>
      <c r="D27" s="368" t="s">
        <v>1471</v>
      </c>
      <c r="E27" s="364"/>
      <c r="F27" s="365"/>
      <c r="G27" s="1845"/>
      <c r="H27" s="348"/>
      <c r="I27" s="349"/>
      <c r="J27" s="350"/>
      <c r="K27" s="377" t="s">
        <v>1472</v>
      </c>
      <c r="L27" s="346" t="s">
        <v>1473</v>
      </c>
      <c r="M27" s="378">
        <f ca="1">INDIRECT("'数据-取费表'!ag"&amp;$G$1)</f>
        <v>18.080000000000002</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8645</v>
      </c>
      <c r="D29" s="1336"/>
      <c r="E29" s="1334"/>
      <c r="F29" s="1337"/>
      <c r="G29" s="1848"/>
      <c r="H29" s="379" t="s">
        <v>1033</v>
      </c>
      <c r="I29" s="380" t="s">
        <v>1478</v>
      </c>
      <c r="J29" s="381">
        <f ca="1">ROUND(J26/(1+F40)^F41,0)</f>
        <v>11531</v>
      </c>
      <c r="K29" s="382" t="s">
        <v>1479</v>
      </c>
      <c r="L29" s="383"/>
      <c r="M29" s="384">
        <f ca="1">INDIRECT("'数据-取费表'!k"&amp;$G$1)</f>
        <v>17329.439999999999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309</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ROUND(IF(项目基本情况!B11="自然人",C5*F31,C32+C33+C34),1)</f>
        <v>152.19999999999999</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IF(项目基本情况!B11="自然人","——",ROUND(C5*F32/(1+'数据-取费表'!C42),2))</f>
        <v>79.62</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IF(项目基本情况!B11="自然人","——",IF(D33="按租金收入计税",ROUND(C5*F33,2),IF(D33="按房产原值计税",ROUND(C29*F33*0.7,2),INDIRECT("'数据-取费表'!Aj"&amp;$G$1))))</f>
        <v>72.62</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IF(项目基本情况!B11="自然人","——",ROUND(F34*F35/10000,2))</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ROUND(C29*F36,1)</f>
        <v>129.69999999999999</v>
      </c>
      <c r="D36" s="1792" t="s">
        <v>1481</v>
      </c>
      <c r="E36" s="346" t="s">
        <v>1421</v>
      </c>
      <c r="F36" s="373">
        <f ca="1">INDIRECT("'数据-取费表'!Ak"&amp;$G$1)</f>
        <v>1.4999999999999999E-2</v>
      </c>
      <c r="G36" s="1845"/>
      <c r="H36" s="1853"/>
      <c r="I36" s="1854"/>
      <c r="J36" s="1855"/>
      <c r="K36" s="749"/>
      <c r="L36" s="1853"/>
      <c r="M36" s="1853"/>
    </row>
    <row r="37" spans="1:18" ht="18" customHeight="1">
      <c r="A37" s="1195" t="s">
        <v>1075</v>
      </c>
      <c r="B37" s="346" t="s">
        <v>1452</v>
      </c>
      <c r="C37" s="24">
        <f ca="1">ROUND(C13*F37,1)</f>
        <v>12.3</v>
      </c>
      <c r="D37" s="1792" t="s">
        <v>1453</v>
      </c>
      <c r="E37" s="346" t="s">
        <v>1454</v>
      </c>
      <c r="F37" s="375">
        <f ca="1">INDIRECT("'数据-取费表'!Al"&amp;$G$1)</f>
        <v>1.5E-3</v>
      </c>
      <c r="G37" s="1845"/>
      <c r="H37" s="1853"/>
      <c r="I37" s="1854"/>
      <c r="J37" s="1855"/>
      <c r="K37" s="749"/>
      <c r="L37" s="1853"/>
      <c r="M37" s="1853"/>
    </row>
    <row r="38" spans="1:18" ht="18" customHeight="1" thickBot="1">
      <c r="A38" s="1333" t="s">
        <v>1391</v>
      </c>
      <c r="B38" s="1334" t="s">
        <v>1438</v>
      </c>
      <c r="C38" s="1335">
        <f ca="1">ROUND(C5*F38,1)</f>
        <v>15.2</v>
      </c>
      <c r="D38" s="1336" t="s">
        <v>1458</v>
      </c>
      <c r="E38" s="1334" t="s">
        <v>1454</v>
      </c>
      <c r="F38" s="1330">
        <f ca="1">INDIRECT("'数据-取费表'!Am"&amp;$G$1)</f>
        <v>0.01</v>
      </c>
      <c r="G38" s="1845"/>
      <c r="H38" s="1853"/>
      <c r="I38" s="1854"/>
      <c r="J38" s="1855"/>
      <c r="K38" s="1859"/>
      <c r="L38" s="1853"/>
      <c r="M38" s="1853"/>
    </row>
    <row r="39" spans="1:18" ht="24.6" customHeight="1" thickTop="1">
      <c r="A39" s="1323" t="s">
        <v>1031</v>
      </c>
      <c r="B39" s="1338" t="s">
        <v>1482</v>
      </c>
      <c r="C39" s="354">
        <f ca="1">C5-C30</f>
        <v>1211</v>
      </c>
      <c r="D39" s="1339" t="s">
        <v>1483</v>
      </c>
      <c r="E39" s="1340"/>
      <c r="F39" s="1341"/>
      <c r="G39" s="1845"/>
      <c r="H39" s="1853"/>
      <c r="I39" s="1854"/>
      <c r="J39" s="1855"/>
      <c r="K39" s="1859"/>
      <c r="L39" s="1853"/>
      <c r="M39" s="1853"/>
    </row>
    <row r="40" spans="1:18" ht="18" customHeight="1">
      <c r="A40" s="343" t="s">
        <v>1032</v>
      </c>
      <c r="B40" s="344" t="s">
        <v>1484</v>
      </c>
      <c r="C40" s="345">
        <f ca="1">ROUND(C39*(1-((1+F42)/(1+F40))^F41)/(F40-F42),0)</f>
        <v>13047</v>
      </c>
      <c r="D40" s="369" t="s">
        <v>1468</v>
      </c>
      <c r="E40" s="346" t="s">
        <v>1469</v>
      </c>
      <c r="F40" s="356">
        <f ca="1">INDIRECT("'数据-取费表'!I"&amp;$G$1)</f>
        <v>5.5E-2</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16.77</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f ca="1">ROUND(C40*10000/F43,0)</f>
        <v>7529</v>
      </c>
      <c r="D43" s="382" t="s">
        <v>1487</v>
      </c>
      <c r="E43" s="383" t="s">
        <v>1488</v>
      </c>
      <c r="F43" s="384">
        <f ca="1">INDIRECT("'数据-取费表'!k"&amp;$G$1)</f>
        <v>17329.439999999999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f ca="1">C68-C40</f>
        <v>-15363</v>
      </c>
      <c r="D46" s="1866" t="str">
        <f>C2</f>
        <v>万元</v>
      </c>
      <c r="E46" s="1860"/>
      <c r="F46" s="1860"/>
      <c r="I46" s="1867" t="s">
        <v>1520</v>
      </c>
      <c r="J46" s="1868"/>
      <c r="K46" s="1869"/>
      <c r="L46" s="1870" t="str">
        <f ca="1">IF(M47="住宅",0,IF(L48&gt;J51,L60,J60))</f>
        <v>0</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f ca="1">INDIRECT("'数据-取费表'!d"&amp;$G$1)</f>
        <v>40</v>
      </c>
      <c r="M47" s="1832" t="str">
        <f>IF(ISNUMBER(FIND("住宅",C1)),"住宅","非住宅")</f>
        <v>非住宅</v>
      </c>
      <c r="O47" s="1878" t="s">
        <v>1040</v>
      </c>
      <c r="P47" s="1879" t="s">
        <v>1527</v>
      </c>
      <c r="Q47" s="1880">
        <f ca="1">C40+J29</f>
        <v>24578</v>
      </c>
      <c r="R47" s="1880" t="s">
        <v>1528</v>
      </c>
    </row>
    <row r="48" spans="1:18" s="1836" customFormat="1" ht="28.5" thickBot="1">
      <c r="A48" s="1354" t="s">
        <v>1135</v>
      </c>
      <c r="B48" s="344" t="s">
        <v>1399</v>
      </c>
      <c r="C48" s="1811">
        <f ca="1">C49+C53+C55</f>
        <v>0</v>
      </c>
      <c r="D48" s="1356"/>
      <c r="E48" s="1357"/>
      <c r="F48" s="1175"/>
      <c r="G48" s="790"/>
      <c r="H48" s="791"/>
      <c r="I48" s="1881" t="s">
        <v>1529</v>
      </c>
      <c r="J48" s="1882" t="s">
        <v>3067</v>
      </c>
      <c r="K48" s="1883" t="s">
        <v>1530</v>
      </c>
      <c r="L48" s="1884">
        <f ca="1">INDIRECT("'数据-取费表'!f"&amp;$G$1)</f>
        <v>34.85</v>
      </c>
      <c r="O48" s="1878" t="s">
        <v>1041</v>
      </c>
      <c r="P48" s="1879" t="s">
        <v>1531</v>
      </c>
      <c r="Q48" s="1880" t="str">
        <f ca="1">J60</f>
        <v>0</v>
      </c>
      <c r="R48" s="1880" t="s">
        <v>1532</v>
      </c>
    </row>
    <row r="49" spans="1:18" s="1836" customFormat="1" ht="13.5" thickBot="1">
      <c r="A49" s="1188" t="s">
        <v>1136</v>
      </c>
      <c r="B49" s="1823" t="s">
        <v>1489</v>
      </c>
      <c r="C49" s="1358">
        <f ca="1">ROUND(F49*F51*F50*(1-F52)/10000,0)</f>
        <v>0</v>
      </c>
      <c r="D49" s="1270" t="s">
        <v>3026</v>
      </c>
      <c r="E49" s="1824" t="s">
        <v>1490</v>
      </c>
      <c r="F49" s="1275"/>
      <c r="G49" s="1885"/>
      <c r="H49" s="791"/>
      <c r="I49" s="1881" t="s">
        <v>1533</v>
      </c>
      <c r="J49" s="1886">
        <v>2008</v>
      </c>
      <c r="K49" s="1883" t="s">
        <v>1534</v>
      </c>
      <c r="L49" s="1887"/>
      <c r="O49" s="1888" t="s">
        <v>1042</v>
      </c>
      <c r="P49" s="1879" t="s">
        <v>1535</v>
      </c>
      <c r="Q49" s="1880">
        <f ca="1">C29</f>
        <v>8645</v>
      </c>
      <c r="R49" s="1880" t="s">
        <v>1528</v>
      </c>
    </row>
    <row r="50" spans="1:18" s="1836" customFormat="1" ht="13.5" thickBot="1">
      <c r="A50" s="1189"/>
      <c r="B50" s="1192"/>
      <c r="C50" s="1362"/>
      <c r="D50" s="1166"/>
      <c r="E50" s="1271" t="s">
        <v>1404</v>
      </c>
      <c r="F50" s="1272">
        <f ca="1">F7</f>
        <v>17329.439999999999</v>
      </c>
      <c r="H50" s="791"/>
      <c r="I50" s="1881" t="s">
        <v>1536</v>
      </c>
      <c r="J50" s="1889">
        <f>SUMPRODUCT((I63:I65=J47)*(J62:L62=J48)*(J63:L65))</f>
        <v>60</v>
      </c>
      <c r="K50" s="1883" t="s">
        <v>1537</v>
      </c>
      <c r="L50" s="1887"/>
      <c r="M50" s="1890"/>
      <c r="O50" s="1888" t="s">
        <v>1043</v>
      </c>
      <c r="P50" s="1879" t="s">
        <v>1538</v>
      </c>
      <c r="Q50" s="1891" t="e">
        <f ca="1">J58</f>
        <v>#VALUE!</v>
      </c>
      <c r="R50" s="1880"/>
    </row>
    <row r="51" spans="1:18" s="1836" customFormat="1" ht="13.5" thickBot="1">
      <c r="A51" s="1190"/>
      <c r="B51" s="1192"/>
      <c r="C51" s="1193"/>
      <c r="D51" s="1166"/>
      <c r="E51" s="1194" t="s">
        <v>1405</v>
      </c>
      <c r="F51" s="347">
        <f ca="1">F8</f>
        <v>365</v>
      </c>
      <c r="I51" s="1892" t="s">
        <v>1539</v>
      </c>
      <c r="J51" s="1893">
        <f>IF(J49="",J50,J49+J50-YEAR('数据-取费表'!B2))</f>
        <v>50</v>
      </c>
      <c r="K51" s="1894" t="s">
        <v>1540</v>
      </c>
      <c r="L51" s="1895">
        <f ca="1">ROUND(-PV(INDIRECT("'数据-取费表'!h"&amp;$G$1),L48,(C39-C13*C76),0),0)</f>
        <v>8939</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f ca="1">J53</f>
        <v>34.85</v>
      </c>
      <c r="R52" s="1880" t="s">
        <v>1545</v>
      </c>
    </row>
    <row r="53" spans="1:18" s="1836" customFormat="1" ht="24.75" thickBot="1">
      <c r="A53" s="1399" t="s">
        <v>1137</v>
      </c>
      <c r="B53" s="1825" t="s">
        <v>1407</v>
      </c>
      <c r="C53" s="360">
        <f ca="1">ROUND(IF(F53="押一",F49*F51*F50/12*F11,IF(F53="押二",F49*F51*F50/12*2*F11,IF(F53="押三",F49*F51*F50/12*3*F11,C54*F11)))/10000,0)</f>
        <v>0</v>
      </c>
      <c r="D53" s="1818" t="s">
        <v>3024</v>
      </c>
      <c r="E53" s="357" t="s">
        <v>1409</v>
      </c>
      <c r="F53" s="1360"/>
      <c r="I53" s="1899" t="s">
        <v>1546</v>
      </c>
      <c r="J53" s="1900">
        <f ca="1">IF(M47="住宅",J51,IF(D1="——",MIN(J51,L48),IF(D1="在建（套用方法）",MIN(J51,L48-'数据-取费表'!B24),IF(D1="土地（套用方法）",MIN(J51,L48-'数据-取费表'!B20)))))</f>
        <v>34.85</v>
      </c>
      <c r="K53" s="3366" t="s">
        <v>1547</v>
      </c>
      <c r="L53" s="3367"/>
      <c r="O53" s="1878" t="s">
        <v>1046</v>
      </c>
      <c r="P53" s="1879" t="s">
        <v>1548</v>
      </c>
      <c r="Q53" s="1880">
        <f ca="1">Q47+Q48</f>
        <v>24578</v>
      </c>
      <c r="R53" s="1880" t="s">
        <v>1047</v>
      </c>
    </row>
    <row r="54" spans="1:18" s="1836" customFormat="1" ht="13.5" thickBot="1">
      <c r="A54" s="1400"/>
      <c r="B54" s="1819" t="s">
        <v>1386</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#VALUE!</v>
      </c>
      <c r="K55" s="1906" t="s">
        <v>1551</v>
      </c>
      <c r="L55" s="1907" t="s">
        <v>1552</v>
      </c>
      <c r="O55" s="1871" t="s">
        <v>1521</v>
      </c>
      <c r="P55" s="1872" t="s">
        <v>1522</v>
      </c>
      <c r="Q55" s="1873" t="s">
        <v>1523</v>
      </c>
      <c r="R55" s="1873" t="s">
        <v>1524</v>
      </c>
    </row>
    <row r="56" spans="1:18" s="1836" customFormat="1" ht="25.5" thickTop="1" thickBot="1">
      <c r="A56" s="1170">
        <v>2</v>
      </c>
      <c r="B56" s="1171" t="s">
        <v>1413</v>
      </c>
      <c r="C56" s="275">
        <f ca="1">C13</f>
        <v>8213</v>
      </c>
      <c r="D56" s="1908"/>
      <c r="E56" s="1909"/>
      <c r="F56" s="1901"/>
      <c r="I56" s="1910" t="s">
        <v>1553</v>
      </c>
      <c r="J56" s="1911" t="s">
        <v>3040</v>
      </c>
      <c r="K56" s="1881" t="s">
        <v>1554</v>
      </c>
      <c r="L56" s="1884" t="str">
        <f ca="1">IF(L48&lt;J51,"——",L48-J53)</f>
        <v>——</v>
      </c>
      <c r="O56" s="1878" t="s">
        <v>1040</v>
      </c>
      <c r="P56" s="1879" t="s">
        <v>1527</v>
      </c>
      <c r="Q56" s="1880">
        <f ca="1">C40+J29</f>
        <v>24578</v>
      </c>
      <c r="R56" s="1880" t="s">
        <v>1528</v>
      </c>
    </row>
    <row r="57" spans="1:18" s="1836" customFormat="1" ht="24.75" thickBot="1">
      <c r="A57" s="1912"/>
      <c r="B57" s="1163" t="s">
        <v>1477</v>
      </c>
      <c r="C57" s="281">
        <f ca="1">C29</f>
        <v>8645</v>
      </c>
      <c r="D57" s="1913"/>
      <c r="E57" s="1914"/>
      <c r="F57" s="1915"/>
      <c r="I57" s="1916" t="s">
        <v>1555</v>
      </c>
      <c r="J57" s="1917" t="str">
        <f ca="1">IF(OR(M47="住宅",J51&lt;L48,J56="是"),"——",J51-L48)</f>
        <v>——</v>
      </c>
      <c r="K57" s="1881" t="s">
        <v>1556</v>
      </c>
      <c r="L57" s="1884" t="str">
        <f ca="1">IF(L48&lt;J51,"——",IF(L55="比较法",L49,IF(L55="基准地价",L50,L51)))</f>
        <v>——</v>
      </c>
      <c r="O57" s="1878" t="s">
        <v>1041</v>
      </c>
      <c r="P57" s="1879" t="s">
        <v>1557</v>
      </c>
      <c r="Q57" s="1880">
        <f ca="1">L60</f>
        <v>0</v>
      </c>
      <c r="R57" s="1880" t="s">
        <v>1558</v>
      </c>
    </row>
    <row r="58" spans="1:18" s="1836" customFormat="1" ht="24.75" thickBot="1">
      <c r="A58" s="359" t="s">
        <v>1030</v>
      </c>
      <c r="B58" s="1171" t="s">
        <v>1423</v>
      </c>
      <c r="C58" s="360">
        <f ca="1">ROUND(C59+C64+C65+C66,0)</f>
        <v>215</v>
      </c>
      <c r="D58" s="1173" t="s">
        <v>1424</v>
      </c>
      <c r="E58" s="1174"/>
      <c r="F58" s="1175"/>
      <c r="I58" s="1916" t="s">
        <v>1559</v>
      </c>
      <c r="J58" s="1918" t="e">
        <f ca="1">IF(J55&lt;0.4,0.4,J55)</f>
        <v>#VALUE!</v>
      </c>
      <c r="K58" s="1894" t="s">
        <v>1560</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ROUND(IF(项目基本情况!B11="自然人",C48*F59,C60+C61+C62),1)</f>
        <v>72.599999999999994</v>
      </c>
      <c r="D59" s="1176" t="s">
        <v>1429</v>
      </c>
      <c r="E59" s="1177" t="s">
        <v>1430</v>
      </c>
      <c r="F59" s="367" t="str">
        <f ca="1">IF(项目基本情况!B11="企业","",IF(INDIRECT("'数据-取费表'!c"&amp;$G$1)="住宅",5%,IF(F49*F50*F51/12/(1+'数据-取费表'!C42)&gt;20000,12%,7%)))</f>
        <v/>
      </c>
      <c r="I59" s="1916" t="s">
        <v>1562</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IF(项目基本情况!B11="自然人","——",ROUND(C48*F60/(1+'数据-取费表'!C42),2))</f>
        <v>0</v>
      </c>
      <c r="D60" s="1177" t="s">
        <v>1433</v>
      </c>
      <c r="E60" s="1163" t="s">
        <v>1421</v>
      </c>
      <c r="F60" s="376">
        <f t="shared" ref="F60:F66" si="0">F32</f>
        <v>5.5000000000000007E-2</v>
      </c>
      <c r="I60" s="1919" t="s">
        <v>1564</v>
      </c>
      <c r="J60" s="1920" t="str">
        <f ca="1">IF(OR(M47="住宅",J51&lt;L48,J56="是"),"0",ROUND(J59/(1+J52)^J53,0))</f>
        <v>0</v>
      </c>
      <c r="K60" s="1921" t="s">
        <v>1565</v>
      </c>
      <c r="L60" s="1920">
        <f ca="1">IF(OR(M47="住宅",L48&lt;J51),0,ROUND(L57*(L58/L59-1),0))</f>
        <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IF(项目基本情况!B11="自然人","——",IF(D61="按租金收入计税",ROUND(C48*F61,2),IF(D61="按房产原值计税",ROUND(C57*F61*0.7,2),INDIRECT("'数据-取费表'!Aj"&amp;$G$1))))</f>
        <v>72.62</v>
      </c>
      <c r="D61" s="1822" t="s">
        <v>1437</v>
      </c>
      <c r="E61" s="1163" t="s">
        <v>1493</v>
      </c>
      <c r="F61" s="366">
        <f t="shared" si="0"/>
        <v>1.2E-2</v>
      </c>
      <c r="I61" s="1922"/>
      <c r="J61" s="1922"/>
      <c r="K61" s="1922"/>
      <c r="L61" s="1922"/>
      <c r="O61" s="1888" t="s">
        <v>1045</v>
      </c>
      <c r="P61" s="1879" t="str">
        <f>K59</f>
        <v>建筑物剩余耐用年限下的土地年期修正系数Kn</v>
      </c>
      <c r="Q61" s="1880" t="e">
        <f ca="1">L59</f>
        <v>#DIV/0!</v>
      </c>
      <c r="R61" s="1880" t="s">
        <v>1568</v>
      </c>
    </row>
    <row r="62" spans="1:18" s="1836" customFormat="1" ht="13.5" thickBot="1">
      <c r="A62" s="1195" t="s">
        <v>1494</v>
      </c>
      <c r="B62" s="1162" t="s">
        <v>1495</v>
      </c>
      <c r="C62" s="25">
        <f ca="1">IF(项目基本情况!B11="自然人","——",ROUND(F62*F63/10000,2))</f>
        <v>0</v>
      </c>
      <c r="D62" s="1178" t="s">
        <v>1496</v>
      </c>
      <c r="E62" s="1163" t="s">
        <v>1497</v>
      </c>
      <c r="F62" s="370">
        <f t="shared" si="0"/>
        <v>1.5</v>
      </c>
      <c r="I62" s="1923" t="s">
        <v>1569</v>
      </c>
      <c r="J62" s="1924" t="s">
        <v>1570</v>
      </c>
      <c r="K62" s="1924" t="s">
        <v>1571</v>
      </c>
      <c r="L62" s="1924" t="s">
        <v>1572</v>
      </c>
      <c r="M62" s="1925" t="s">
        <v>1573</v>
      </c>
      <c r="O62" s="1878" t="s">
        <v>1046</v>
      </c>
      <c r="P62" s="1879" t="s">
        <v>1574</v>
      </c>
      <c r="Q62" s="1880">
        <f ca="1">Q56+Q57</f>
        <v>24578</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ROUND(C57*F64,1)</f>
        <v>129.69999999999999</v>
      </c>
      <c r="D64" s="1177" t="s">
        <v>1501</v>
      </c>
      <c r="E64" s="1163" t="s">
        <v>1493</v>
      </c>
      <c r="F64" s="373">
        <f t="shared" ca="1" si="0"/>
        <v>1.4999999999999999E-2</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ROUND(C56*F65,1)</f>
        <v>12.3</v>
      </c>
      <c r="D65" s="1177" t="s">
        <v>1453</v>
      </c>
      <c r="E65" s="1163" t="s">
        <v>1454</v>
      </c>
      <c r="F65" s="375">
        <f t="shared" ca="1" si="0"/>
        <v>1.5E-3</v>
      </c>
      <c r="I65" s="1923" t="s">
        <v>1578</v>
      </c>
      <c r="J65" s="1924">
        <v>40</v>
      </c>
      <c r="K65" s="1924">
        <v>30</v>
      </c>
      <c r="L65" s="1924">
        <v>50</v>
      </c>
      <c r="M65" s="1926">
        <v>0.02</v>
      </c>
      <c r="O65" s="1878" t="s">
        <v>1040</v>
      </c>
      <c r="P65" s="1879" t="s">
        <v>1579</v>
      </c>
      <c r="Q65" s="1880">
        <f ca="1">C40+J29</f>
        <v>24578</v>
      </c>
      <c r="R65" s="1880" t="s">
        <v>1528</v>
      </c>
    </row>
    <row r="66" spans="1:18" s="1836" customFormat="1" ht="16.5" thickBot="1">
      <c r="A66" s="1195" t="s">
        <v>1503</v>
      </c>
      <c r="B66" s="1163" t="s">
        <v>1438</v>
      </c>
      <c r="C66" s="24">
        <f ca="1">ROUND(C48*F66,1)</f>
        <v>0</v>
      </c>
      <c r="D66" s="1177" t="s">
        <v>1504</v>
      </c>
      <c r="E66" s="1163" t="s">
        <v>1421</v>
      </c>
      <c r="F66" s="356">
        <f t="shared" ca="1" si="0"/>
        <v>0.01</v>
      </c>
      <c r="O66" s="1878" t="s">
        <v>1041</v>
      </c>
      <c r="P66" s="1879" t="s">
        <v>1557</v>
      </c>
      <c r="Q66" s="1880">
        <f ca="1">L60</f>
        <v>0</v>
      </c>
      <c r="R66" s="1880" t="s">
        <v>1580</v>
      </c>
    </row>
    <row r="67" spans="1:18" s="1836" customFormat="1" ht="16.5" thickBot="1">
      <c r="A67" s="1170" t="s">
        <v>1031</v>
      </c>
      <c r="B67" s="1180" t="s">
        <v>1462</v>
      </c>
      <c r="C67" s="360">
        <f ca="1">C48-C58</f>
        <v>-215</v>
      </c>
      <c r="D67" s="1176" t="s">
        <v>1463</v>
      </c>
      <c r="E67" s="1181"/>
      <c r="F67" s="1182"/>
      <c r="O67" s="1888" t="s">
        <v>1042</v>
      </c>
      <c r="P67" s="1879" t="s">
        <v>1561</v>
      </c>
      <c r="Q67" s="1927">
        <f ca="1">L51</f>
        <v>8939</v>
      </c>
      <c r="R67" s="1880" t="s">
        <v>1581</v>
      </c>
    </row>
    <row r="68" spans="1:18" s="1836" customFormat="1" ht="16.5" thickBot="1">
      <c r="A68" s="1160" t="s">
        <v>1032</v>
      </c>
      <c r="B68" s="1161" t="s">
        <v>1484</v>
      </c>
      <c r="C68" s="345">
        <f ca="1">ROUND(C67*(1-((1+F70)/(1+F68))^F69)/(F68-F70),0)</f>
        <v>-2316</v>
      </c>
      <c r="D68" s="1178" t="s">
        <v>1468</v>
      </c>
      <c r="E68" s="1163" t="s">
        <v>1469</v>
      </c>
      <c r="F68" s="356">
        <f ca="1">F40</f>
        <v>5.5E-2</v>
      </c>
      <c r="O68" s="1888" t="s">
        <v>1043</v>
      </c>
      <c r="P68" s="1928" t="s">
        <v>1582</v>
      </c>
      <c r="Q68" s="1880">
        <f ca="1">ROUND(Q69-Q70*Q71,0)</f>
        <v>513</v>
      </c>
      <c r="R68" s="1880" t="s">
        <v>1051</v>
      </c>
    </row>
    <row r="69" spans="1:18" s="1836" customFormat="1" ht="13.5" thickBot="1">
      <c r="A69" s="1164"/>
      <c r="B69" s="1165"/>
      <c r="C69" s="350"/>
      <c r="D69" s="1183" t="s">
        <v>1472</v>
      </c>
      <c r="E69" s="1163" t="s">
        <v>1473</v>
      </c>
      <c r="F69" s="378">
        <f ca="1">F41</f>
        <v>16.77</v>
      </c>
      <c r="O69" s="1888" t="s">
        <v>1048</v>
      </c>
      <c r="P69" s="1928" t="s">
        <v>1583</v>
      </c>
      <c r="Q69" s="1880">
        <f ca="1">C39</f>
        <v>1211</v>
      </c>
      <c r="R69" s="1880" t="s">
        <v>1528</v>
      </c>
    </row>
    <row r="70" spans="1:18" s="1836" customFormat="1" ht="13.5" thickBot="1">
      <c r="A70" s="1167"/>
      <c r="B70" s="1168"/>
      <c r="C70" s="354"/>
      <c r="D70" s="1179"/>
      <c r="E70" s="1163" t="s">
        <v>1476</v>
      </c>
      <c r="F70" s="1269">
        <f ca="1">F42</f>
        <v>0</v>
      </c>
      <c r="O70" s="1888" t="s">
        <v>1049</v>
      </c>
      <c r="P70" s="1928" t="s">
        <v>1584</v>
      </c>
      <c r="Q70" s="1880">
        <f ca="1">C13</f>
        <v>8213</v>
      </c>
      <c r="R70" s="1880" t="s">
        <v>1528</v>
      </c>
    </row>
    <row r="71" spans="1:18" s="1836" customFormat="1" ht="13.5" thickBot="1">
      <c r="A71" s="1184" t="s">
        <v>1033</v>
      </c>
      <c r="B71" s="1185" t="s">
        <v>1486</v>
      </c>
      <c r="C71" s="381">
        <f ca="1">ROUND(C68*10000/F71,0)</f>
        <v>-1336</v>
      </c>
      <c r="D71" s="1186" t="s">
        <v>1487</v>
      </c>
      <c r="E71" s="1187" t="s">
        <v>1488</v>
      </c>
      <c r="F71" s="384">
        <f ca="1">F43</f>
        <v>17329.439999999999</v>
      </c>
      <c r="O71" s="1888" t="s">
        <v>1050</v>
      </c>
      <c r="P71" s="1928" t="s">
        <v>1585</v>
      </c>
      <c r="Q71" s="1891">
        <f ca="1">C76</f>
        <v>8.5000000000000006E-2</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#DIV/0!</v>
      </c>
      <c r="R74" s="1880" t="s">
        <v>1568</v>
      </c>
    </row>
    <row r="75" spans="1:18" ht="13.5" thickBot="1">
      <c r="A75" s="1836"/>
      <c r="B75" s="385" t="s">
        <v>1505</v>
      </c>
      <c r="C75" s="386">
        <f ca="1">ROUND(C13*C76,0)</f>
        <v>698</v>
      </c>
      <c r="D75" s="1836"/>
      <c r="E75" s="1836"/>
      <c r="F75" s="1836"/>
      <c r="K75" s="1862"/>
      <c r="L75" s="1836"/>
      <c r="O75" s="1878" t="s">
        <v>1046</v>
      </c>
      <c r="P75" s="1879" t="s">
        <v>1548</v>
      </c>
      <c r="Q75" s="1880">
        <f ca="1">Q65+Q66</f>
        <v>24578</v>
      </c>
      <c r="R75" s="1880" t="s">
        <v>1047</v>
      </c>
    </row>
    <row r="76" spans="1:18">
      <c r="B76" s="387" t="s">
        <v>1506</v>
      </c>
      <c r="C76" s="388">
        <f ca="1">INDIRECT("'数据-取费表'!j"&amp;$G$1)</f>
        <v>8.5000000000000006E-2</v>
      </c>
      <c r="I76" s="1836"/>
      <c r="J76" s="1836"/>
      <c r="K76" s="1862"/>
      <c r="L76" s="1836"/>
    </row>
    <row r="77" spans="1:18">
      <c r="B77" s="389" t="s">
        <v>1507</v>
      </c>
      <c r="C77" s="390"/>
      <c r="I77" s="1836"/>
      <c r="J77" s="1836"/>
      <c r="K77" s="1862"/>
      <c r="L77" s="1836"/>
    </row>
    <row r="78" spans="1:18">
      <c r="B78" s="313" t="s">
        <v>1508</v>
      </c>
      <c r="C78" s="391"/>
    </row>
    <row r="79" spans="1:18">
      <c r="B79" s="385" t="s">
        <v>1509</v>
      </c>
      <c r="C79" s="317">
        <f ca="1">1-C80</f>
        <v>0.42400000000000004</v>
      </c>
    </row>
    <row r="80" spans="1:18">
      <c r="B80" s="385" t="s">
        <v>1510</v>
      </c>
      <c r="C80" s="317">
        <f ca="1">ROUND(C75/C39,3)</f>
        <v>0.57599999999999996</v>
      </c>
    </row>
    <row r="81" spans="2:3">
      <c r="B81" s="313" t="s">
        <v>1511</v>
      </c>
      <c r="C81" s="281"/>
    </row>
    <row r="82" spans="2:3">
      <c r="B82" s="316" t="s">
        <v>1512</v>
      </c>
      <c r="C82" s="318">
        <f ca="1">1-C83</f>
        <v>0.371</v>
      </c>
    </row>
    <row r="83" spans="2:3">
      <c r="B83" s="316" t="s">
        <v>1513</v>
      </c>
      <c r="C83" s="317">
        <f ca="1">ROUND(C13/C40,3)</f>
        <v>0.629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c r="D1" s="1814"/>
      <c r="E1" s="1815" t="s">
        <v>1385</v>
      </c>
      <c r="F1" s="1277" t="b">
        <f>J53</f>
        <v>0</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1589</v>
      </c>
      <c r="B2" s="1838" t="e">
        <f ca="1">ROUND(D2/10000,0)</f>
        <v>#DIV/0!</v>
      </c>
      <c r="C2" s="1839" t="s">
        <v>1590</v>
      </c>
      <c r="D2" s="1932" t="e">
        <f ca="1">C40+J29+L46</f>
        <v>#DIV/0!</v>
      </c>
      <c r="E2" s="1840" t="s">
        <v>1591</v>
      </c>
      <c r="F2" s="1841"/>
      <c r="G2" s="1842"/>
      <c r="H2" s="1834"/>
      <c r="I2" s="1834"/>
      <c r="J2" s="1834"/>
      <c r="K2" s="1835"/>
      <c r="L2" s="1834"/>
      <c r="M2" s="1834"/>
    </row>
    <row r="3" spans="1:37" ht="18" customHeight="1" thickBot="1">
      <c r="A3" s="1843" t="s">
        <v>1592</v>
      </c>
      <c r="B3" s="1844">
        <f ca="1">IF(ISERROR(D2/F43),0,ROUND(D2/F43,0))</f>
        <v>0</v>
      </c>
      <c r="C3" s="1839" t="s">
        <v>1593</v>
      </c>
      <c r="D3" s="1839"/>
      <c r="E3" s="1840"/>
      <c r="F3" s="1841"/>
      <c r="G3" s="1842"/>
      <c r="H3" s="742" t="s">
        <v>1587</v>
      </c>
      <c r="I3" s="1834"/>
      <c r="J3" s="1834"/>
      <c r="K3" s="1835"/>
      <c r="L3" s="1834"/>
      <c r="M3" s="1834"/>
    </row>
    <row r="4" spans="1:37" ht="18" customHeight="1">
      <c r="A4" s="339" t="s">
        <v>1594</v>
      </c>
      <c r="B4" s="340" t="s">
        <v>1595</v>
      </c>
      <c r="C4" s="340" t="s">
        <v>1596</v>
      </c>
      <c r="D4" s="340" t="s">
        <v>1597</v>
      </c>
      <c r="E4" s="341" t="s">
        <v>1598</v>
      </c>
      <c r="F4" s="342"/>
      <c r="G4" s="1845"/>
      <c r="H4" s="339" t="s">
        <v>1594</v>
      </c>
      <c r="I4" s="340" t="s">
        <v>1595</v>
      </c>
      <c r="J4" s="340" t="s">
        <v>1596</v>
      </c>
      <c r="K4" s="340" t="s">
        <v>1597</v>
      </c>
      <c r="L4" s="341" t="s">
        <v>1598</v>
      </c>
      <c r="M4" s="342"/>
    </row>
    <row r="5" spans="1:37" ht="18" customHeight="1">
      <c r="A5" s="343">
        <v>1</v>
      </c>
      <c r="B5" s="344" t="s">
        <v>1599</v>
      </c>
      <c r="C5" s="1286">
        <f ca="1">C6+C10+C12</f>
        <v>0</v>
      </c>
      <c r="D5" s="1816" t="s">
        <v>1600</v>
      </c>
      <c r="E5" s="1287"/>
      <c r="F5" s="1288"/>
      <c r="G5" s="1845"/>
      <c r="H5" s="343">
        <v>1</v>
      </c>
      <c r="I5" s="344" t="s">
        <v>1599</v>
      </c>
      <c r="J5" s="1286">
        <f ca="1">J6+J10+J12</f>
        <v>0</v>
      </c>
      <c r="K5" s="1816" t="s">
        <v>1600</v>
      </c>
      <c r="L5" s="1287"/>
      <c r="M5" s="1288"/>
    </row>
    <row r="6" spans="1:37" ht="18" customHeight="1">
      <c r="A6" s="1285" t="s">
        <v>1035</v>
      </c>
      <c r="B6" s="3368" t="s">
        <v>1401</v>
      </c>
      <c r="C6" s="1290">
        <f ca="1">ROUND(F6*F8*F7*(1-F9),0)</f>
        <v>0</v>
      </c>
      <c r="D6" s="163" t="s">
        <v>3018</v>
      </c>
      <c r="E6" s="346" t="s">
        <v>1403</v>
      </c>
      <c r="F6" s="347">
        <f ca="1">INDIRECT("'数据-取费表'!u"&amp;$G$1)</f>
        <v>0</v>
      </c>
      <c r="G6" s="1845"/>
      <c r="H6" s="1285" t="s">
        <v>1035</v>
      </c>
      <c r="I6" s="3368" t="s">
        <v>1401</v>
      </c>
      <c r="J6" s="345">
        <f ca="1">ROUND(M6*M8*M7*(1-M9),0)</f>
        <v>0</v>
      </c>
      <c r="K6" s="1828" t="s">
        <v>3021</v>
      </c>
      <c r="L6" s="346" t="s">
        <v>1403</v>
      </c>
      <c r="M6" s="347">
        <f ca="1">INDIRECT("'数据-取费表'!z"&amp;$G$1)</f>
        <v>0</v>
      </c>
    </row>
    <row r="7" spans="1:37" ht="18" customHeight="1">
      <c r="A7" s="1289"/>
      <c r="B7" s="3369"/>
      <c r="C7" s="1291"/>
      <c r="D7" s="351"/>
      <c r="E7" s="1292" t="s">
        <v>1404</v>
      </c>
      <c r="F7" s="347">
        <f ca="1">IF(INDIRECT("'数据-取费表'!ah"&amp;$G$1)="",INDIRECT("'数据-取费表'!k"&amp;$G$1),INDIRECT("'数据-取费表'!ah"&amp;$G$1))</f>
        <v>0</v>
      </c>
      <c r="G7" s="1845"/>
      <c r="H7" s="348"/>
      <c r="I7" s="3369"/>
      <c r="J7" s="350"/>
      <c r="K7" s="351"/>
      <c r="L7" s="346" t="s">
        <v>1404</v>
      </c>
      <c r="M7" s="347">
        <f ca="1">F7</f>
        <v>0</v>
      </c>
    </row>
    <row r="8" spans="1:37" ht="18" customHeight="1">
      <c r="A8" s="348"/>
      <c r="B8" s="3369"/>
      <c r="C8" s="350"/>
      <c r="D8" s="351"/>
      <c r="E8" s="346" t="s">
        <v>1405</v>
      </c>
      <c r="F8" s="347">
        <f ca="1">INDIRECT("'数据-取费表'!ai"&amp;$G$1)</f>
        <v>0</v>
      </c>
      <c r="G8" s="1845"/>
      <c r="H8" s="348"/>
      <c r="I8" s="3369"/>
      <c r="J8" s="350"/>
      <c r="K8" s="351"/>
      <c r="L8" s="346" t="s">
        <v>1405</v>
      </c>
      <c r="M8" s="347">
        <f ca="1">INDIRECT("'数据-取费表'!ai"&amp;$G$1)</f>
        <v>0</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v>
      </c>
    </row>
    <row r="10" spans="1:37" ht="18" customHeight="1">
      <c r="A10" s="1285" t="s">
        <v>1039</v>
      </c>
      <c r="B10" s="1817" t="s">
        <v>1407</v>
      </c>
      <c r="C10" s="360">
        <f ca="1">ROUND(IF(F10="押一",F6*F8*F7/12*F11,IF(F10="押二",F6*F8*F7/12*2*F11,IF(F10="押三",F6*F8*F7/12*3*F11,C11*F11))),0)</f>
        <v>0</v>
      </c>
      <c r="D10" s="1818" t="s">
        <v>3019</v>
      </c>
      <c r="E10" s="357" t="s">
        <v>1409</v>
      </c>
      <c r="F10" s="1360"/>
      <c r="G10" s="1845"/>
      <c r="H10" s="1285" t="s">
        <v>1039</v>
      </c>
      <c r="I10" s="1817" t="s">
        <v>1407</v>
      </c>
      <c r="J10" s="345">
        <f ca="1">ROUND(IF(M10="押一",M6*M8*M7/12*M11,IF(M10="押二",M6*M8*M7/12*2*M11,IF(M10="押三",M6*M8*M7/12*3*M11,J11*M11))),0)</f>
        <v>0</v>
      </c>
      <c r="K10" s="1829" t="s">
        <v>3020</v>
      </c>
      <c r="L10" s="357" t="s">
        <v>1409</v>
      </c>
      <c r="M10" s="1360"/>
    </row>
    <row r="11" spans="1:37" ht="18" customHeight="1">
      <c r="A11" s="352"/>
      <c r="B11" s="1819" t="s">
        <v>1601</v>
      </c>
      <c r="C11" s="1172"/>
      <c r="D11" s="351"/>
      <c r="E11" s="357" t="s">
        <v>1411</v>
      </c>
      <c r="F11" s="358">
        <f ca="1">'数据-取费表'!B39</f>
        <v>1.4999999999999999E-2</v>
      </c>
      <c r="G11" s="1845"/>
      <c r="H11" s="1293"/>
      <c r="I11" s="1819" t="s">
        <v>1602</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0</v>
      </c>
      <c r="D13" s="1325" t="s">
        <v>1414</v>
      </c>
      <c r="E13" s="1325" t="s">
        <v>1415</v>
      </c>
      <c r="F13" s="1326">
        <f ca="1">INDIRECT("'数据-取费表'!y"&amp;$G$1)</f>
        <v>0</v>
      </c>
      <c r="G13" s="1845"/>
      <c r="H13" s="1323">
        <v>2</v>
      </c>
      <c r="I13" s="1324" t="s">
        <v>1413</v>
      </c>
      <c r="J13" s="1284">
        <f ca="1">ROUND(J14*J15,0)</f>
        <v>0</v>
      </c>
      <c r="K13" s="1331" t="s">
        <v>1414</v>
      </c>
      <c r="L13" s="1846"/>
      <c r="M13" s="1847"/>
    </row>
    <row r="14" spans="1:37" ht="18" customHeight="1">
      <c r="A14" s="1195" t="s">
        <v>1034</v>
      </c>
      <c r="B14" s="346" t="s">
        <v>1416</v>
      </c>
      <c r="C14" s="362">
        <f ca="1">ROUND(INDIRECT("'数据-取费表'!l"&amp;$G$1)*F43+'数据-取费表'!L14*INDIRECT("'数据-取费表'!S"&amp;$G$1),0)</f>
        <v>0</v>
      </c>
      <c r="D14" s="1794" t="s">
        <v>1417</v>
      </c>
      <c r="E14" s="1788"/>
      <c r="F14" s="363"/>
      <c r="G14" s="1845"/>
      <c r="H14" s="1195" t="s">
        <v>1035</v>
      </c>
      <c r="I14" s="346" t="s">
        <v>1418</v>
      </c>
      <c r="J14" s="24">
        <f ca="1">C29</f>
        <v>0</v>
      </c>
      <c r="K14" s="15"/>
      <c r="L14" s="975"/>
      <c r="M14" s="976"/>
    </row>
    <row r="15" spans="1:37" s="1852" customFormat="1" ht="18" customHeight="1" thickBot="1">
      <c r="A15" s="1195" t="s">
        <v>1036</v>
      </c>
      <c r="B15" s="346" t="s">
        <v>1419</v>
      </c>
      <c r="C15" s="24">
        <f ca="1">ROUND(C14*F15,0)</f>
        <v>0</v>
      </c>
      <c r="D15" s="364" t="s">
        <v>1420</v>
      </c>
      <c r="E15" s="364" t="s">
        <v>1421</v>
      </c>
      <c r="F15" s="365">
        <f>'数据-取费表'!B33</f>
        <v>0.03</v>
      </c>
      <c r="G15" s="1848"/>
      <c r="H15" s="1333" t="s">
        <v>1039</v>
      </c>
      <c r="I15" s="1334" t="s">
        <v>1415</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ROUND(INDIRECT("'数据-取费表'!l"&amp;$G$1)*F43*F16,0)</f>
        <v>0</v>
      </c>
      <c r="D16" s="346" t="s">
        <v>1420</v>
      </c>
      <c r="E16" s="346" t="s">
        <v>1421</v>
      </c>
      <c r="F16" s="366">
        <f ca="1">IF(INDIRECT("'数据-取费表'!c"&amp;$G$1)="住宅",'数据-取费表'!B34,0)</f>
        <v>0</v>
      </c>
      <c r="G16" s="1845"/>
      <c r="H16" s="1323" t="s">
        <v>1030</v>
      </c>
      <c r="I16" s="1324" t="s">
        <v>1423</v>
      </c>
      <c r="J16" s="354">
        <f ca="1">ROUND(J17+J22+J23+J24,0)</f>
        <v>0</v>
      </c>
      <c r="K16" s="1331" t="s">
        <v>1424</v>
      </c>
      <c r="L16" s="1332"/>
      <c r="M16" s="1288"/>
    </row>
    <row r="17" spans="1:37" s="1852" customFormat="1" ht="18" customHeight="1">
      <c r="A17" s="1195" t="s">
        <v>1388</v>
      </c>
      <c r="B17" s="346" t="s">
        <v>1425</v>
      </c>
      <c r="C17" s="24">
        <f ca="1">ROUND(F17*(F43+INDIRECT("'数据-取费表'!S"&amp;$G$1)),0)</f>
        <v>0</v>
      </c>
      <c r="D17" s="346" t="s">
        <v>1426</v>
      </c>
      <c r="E17" s="346" t="s">
        <v>1427</v>
      </c>
      <c r="F17" s="26">
        <f>'数据-取费表'!B35</f>
        <v>200</v>
      </c>
      <c r="G17" s="1848"/>
      <c r="H17" s="1195" t="s">
        <v>1035</v>
      </c>
      <c r="I17" s="346" t="s">
        <v>1428</v>
      </c>
      <c r="J17" s="24">
        <f ca="1">ROUND(IF(项目基本情况!B11="自然人",J5*M17,J18+J19+J20),0)</f>
        <v>0</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0</v>
      </c>
      <c r="D18" s="346" t="s">
        <v>1420</v>
      </c>
      <c r="E18" s="346" t="s">
        <v>1421</v>
      </c>
      <c r="F18" s="366">
        <f>'数据-取费表'!B36</f>
        <v>1.4999999999999999E-2</v>
      </c>
      <c r="G18" s="1848"/>
      <c r="H18" s="1195" t="s">
        <v>1034</v>
      </c>
      <c r="I18" s="346" t="s">
        <v>1432</v>
      </c>
      <c r="J18" s="24">
        <f ca="1">ROUND(J5*M18/(1+'数据-取费表'!C42),0)</f>
        <v>0</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0</v>
      </c>
      <c r="D19" s="139" t="s">
        <v>1435</v>
      </c>
      <c r="E19" s="1812"/>
      <c r="F19" s="26"/>
      <c r="G19" s="1845"/>
      <c r="H19" s="1195" t="s">
        <v>1036</v>
      </c>
      <c r="I19" s="346" t="s">
        <v>1436</v>
      </c>
      <c r="J19" s="24">
        <f ca="1">IF(K19="按租金收入计税",ROUND(J5*M19,0),ROUND(C29*M19*0.7,0))</f>
        <v>0</v>
      </c>
      <c r="K19" s="1822" t="s">
        <v>1437</v>
      </c>
      <c r="L19" s="346" t="s">
        <v>1421</v>
      </c>
      <c r="M19" s="366">
        <f>IF(K19="按租金收入计税",'数据-取费表'!B51,'数据-取费表'!B50)</f>
        <v>1.2E-2</v>
      </c>
    </row>
    <row r="20" spans="1:37" s="1852" customFormat="1" ht="18" customHeight="1">
      <c r="A20" s="1195" t="s">
        <v>1039</v>
      </c>
      <c r="B20" s="346" t="s">
        <v>1438</v>
      </c>
      <c r="C20" s="24">
        <f ca="1">ROUND(C19*F20,0)</f>
        <v>0</v>
      </c>
      <c r="D20" s="368" t="s">
        <v>1439</v>
      </c>
      <c r="E20" s="346" t="s">
        <v>1421</v>
      </c>
      <c r="F20" s="366">
        <f>'数据-取费表'!B37</f>
        <v>0.02</v>
      </c>
      <c r="G20" s="1848"/>
      <c r="H20" s="1195" t="s">
        <v>1387</v>
      </c>
      <c r="I20" s="163" t="s">
        <v>1440</v>
      </c>
      <c r="J20" s="25">
        <f ca="1">ROUND(M20*M21,0)</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ROUND(J14*M22,0)</f>
        <v>0</v>
      </c>
      <c r="K22" s="1792" t="s">
        <v>1449</v>
      </c>
      <c r="L22" s="346" t="s">
        <v>1421</v>
      </c>
      <c r="M22" s="373">
        <f ca="1">INDIRECT("'数据-取费表'!Ak"&amp;$G$1)</f>
        <v>0</v>
      </c>
    </row>
    <row r="23" spans="1:37" s="1852" customFormat="1" ht="18" customHeight="1">
      <c r="A23" s="1195"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ROUND(J13*M23,0)</f>
        <v>0</v>
      </c>
      <c r="K23" s="1792" t="s">
        <v>1453</v>
      </c>
      <c r="L23" s="346" t="s">
        <v>1454</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ROUND(J5*M24,0)</f>
        <v>0</v>
      </c>
      <c r="K24" s="1336" t="s">
        <v>1458</v>
      </c>
      <c r="L24" s="1334" t="s">
        <v>1454</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1459</v>
      </c>
      <c r="B25" s="346" t="s">
        <v>1460</v>
      </c>
      <c r="C25" s="24"/>
      <c r="D25" s="139" t="s">
        <v>1461</v>
      </c>
      <c r="E25" s="1812"/>
      <c r="F25" s="26"/>
      <c r="G25" s="1845"/>
      <c r="H25" s="1323" t="s">
        <v>1031</v>
      </c>
      <c r="I25" s="1338" t="s">
        <v>1462</v>
      </c>
      <c r="J25" s="354">
        <f ca="1">J5-J16</f>
        <v>0</v>
      </c>
      <c r="K25" s="1339" t="s">
        <v>1463</v>
      </c>
      <c r="L25" s="1340"/>
      <c r="M25" s="1341"/>
    </row>
    <row r="26" spans="1:37" ht="18" customHeight="1">
      <c r="A26" s="1195" t="s">
        <v>1034</v>
      </c>
      <c r="B26" s="346" t="s">
        <v>1464</v>
      </c>
      <c r="C26" s="24">
        <f ca="1">ROUND((C19+C20)*F26,0)</f>
        <v>0</v>
      </c>
      <c r="D26" s="368" t="s">
        <v>1465</v>
      </c>
      <c r="E26" s="357" t="s">
        <v>1466</v>
      </c>
      <c r="F26" s="356">
        <f ca="1">INDIRECT("'数据-取费表'!q"&amp;$G$1)</f>
        <v>0</v>
      </c>
      <c r="G26" s="1845"/>
      <c r="H26" s="343" t="s">
        <v>1032</v>
      </c>
      <c r="I26" s="344" t="s">
        <v>1467</v>
      </c>
      <c r="J26" s="345">
        <f ca="1">IF(J5&lt;&gt;0,ROUND(J25*(1-((1+M28)/(1+M26))^M27)/(M26-M28),0),0)</f>
        <v>0</v>
      </c>
      <c r="K26" s="369" t="s">
        <v>1468</v>
      </c>
      <c r="L26" s="346" t="s">
        <v>1469</v>
      </c>
      <c r="M26" s="356">
        <f ca="1">INDIRECT("'数据-取费表'!I"&amp;$G$1)</f>
        <v>0</v>
      </c>
    </row>
    <row r="27" spans="1:37" ht="18" customHeight="1">
      <c r="A27" s="1195" t="s">
        <v>1036</v>
      </c>
      <c r="B27" s="346" t="s">
        <v>1470</v>
      </c>
      <c r="C27" s="24">
        <f ca="1">ROUND(F21*F26,4)</f>
        <v>0</v>
      </c>
      <c r="D27" s="368" t="s">
        <v>1471</v>
      </c>
      <c r="E27" s="364"/>
      <c r="F27" s="365"/>
      <c r="G27" s="1845"/>
      <c r="H27" s="348"/>
      <c r="I27" s="349"/>
      <c r="J27" s="350"/>
      <c r="K27" s="377" t="s">
        <v>1472</v>
      </c>
      <c r="L27" s="346" t="s">
        <v>1473</v>
      </c>
      <c r="M27" s="378">
        <f ca="1">INDIRECT("'数据-取费表'!ag"&amp;$G$1)</f>
        <v>0</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0</v>
      </c>
      <c r="D29" s="1336"/>
      <c r="E29" s="1334"/>
      <c r="F29" s="1337"/>
      <c r="G29" s="1848"/>
      <c r="H29" s="379" t="s">
        <v>1033</v>
      </c>
      <c r="I29" s="380" t="s">
        <v>1478</v>
      </c>
      <c r="J29" s="381">
        <f ca="1">ROUND(J26/(1+F40)^F41,0)</f>
        <v>0</v>
      </c>
      <c r="K29" s="382" t="s">
        <v>1479</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ROUND(IF(项目基本情况!B11="自然人",C5*F31,C32+C33+C34),0)</f>
        <v>0</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IF(项目基本情况!B11="自然人","——",ROUND(C5*F32/(1+'数据-取费表'!C42),0))</f>
        <v>0</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IF(项目基本情况!B11="自然人","——",IF(D33="按租金收入计税",ROUND(C5*F33,0),IF(D33="按房产原值计税",ROUND(C29*F33*0.7,0),INDIRECT("'数据-取费表'!Aj"&amp;$G$1))))</f>
        <v>0</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ROUND(C29*F36,0)</f>
        <v>0</v>
      </c>
      <c r="D36" s="1792" t="s">
        <v>1481</v>
      </c>
      <c r="E36" s="346" t="s">
        <v>1421</v>
      </c>
      <c r="F36" s="373">
        <f ca="1">INDIRECT("'数据-取费表'!Ak"&amp;$G$1)</f>
        <v>0</v>
      </c>
      <c r="G36" s="1845"/>
      <c r="H36" s="1853"/>
      <c r="I36" s="1854"/>
      <c r="J36" s="1855"/>
      <c r="K36" s="749"/>
      <c r="L36" s="1853"/>
      <c r="M36" s="1853"/>
    </row>
    <row r="37" spans="1:18" ht="18" customHeight="1">
      <c r="A37" s="1195" t="s">
        <v>1075</v>
      </c>
      <c r="B37" s="346" t="s">
        <v>1452</v>
      </c>
      <c r="C37" s="24">
        <f ca="1">ROUND(C13*F37,0)</f>
        <v>0</v>
      </c>
      <c r="D37" s="1792" t="s">
        <v>1453</v>
      </c>
      <c r="E37" s="346" t="s">
        <v>1454</v>
      </c>
      <c r="F37" s="375">
        <f ca="1">INDIRECT("'数据-取费表'!Al"&amp;$G$1)</f>
        <v>0</v>
      </c>
      <c r="G37" s="1845"/>
      <c r="H37" s="1853"/>
      <c r="I37" s="1854"/>
      <c r="J37" s="1855"/>
      <c r="K37" s="749"/>
      <c r="L37" s="1853"/>
      <c r="M37" s="1853"/>
    </row>
    <row r="38" spans="1:18" ht="18" customHeight="1" thickBot="1">
      <c r="A38" s="1333" t="s">
        <v>1391</v>
      </c>
      <c r="B38" s="1334" t="s">
        <v>1438</v>
      </c>
      <c r="C38" s="1335">
        <f ca="1">ROUND(C5*F38,1)</f>
        <v>0</v>
      </c>
      <c r="D38" s="1336" t="s">
        <v>1458</v>
      </c>
      <c r="E38" s="1334" t="s">
        <v>1454</v>
      </c>
      <c r="F38" s="1330">
        <f ca="1">INDIRECT("'数据-取费表'!Am"&amp;$G$1)</f>
        <v>0</v>
      </c>
      <c r="G38" s="1845"/>
      <c r="H38" s="1853"/>
      <c r="I38" s="1854"/>
      <c r="J38" s="1855"/>
      <c r="K38" s="1859"/>
      <c r="L38" s="1853"/>
      <c r="M38" s="1853"/>
    </row>
    <row r="39" spans="1:18" ht="24.6" customHeight="1" thickTop="1">
      <c r="A39" s="1323" t="s">
        <v>1031</v>
      </c>
      <c r="B39" s="1338" t="s">
        <v>1482</v>
      </c>
      <c r="C39" s="354">
        <f ca="1">C5-C30</f>
        <v>0</v>
      </c>
      <c r="D39" s="1339" t="s">
        <v>1483</v>
      </c>
      <c r="E39" s="1340"/>
      <c r="F39" s="1341"/>
      <c r="G39" s="1845"/>
      <c r="H39" s="1853"/>
      <c r="I39" s="1854"/>
      <c r="J39" s="1855"/>
      <c r="K39" s="1859"/>
      <c r="L39" s="1853"/>
      <c r="M39" s="1853"/>
    </row>
    <row r="40" spans="1:18" ht="18" customHeight="1">
      <c r="A40" s="343" t="s">
        <v>1032</v>
      </c>
      <c r="B40" s="344" t="s">
        <v>1484</v>
      </c>
      <c r="C40" s="345" t="e">
        <f ca="1">ROUND(C39*(1-((1+F42)/(1+F40))^F41)/(F40-F42),0)</f>
        <v>#DIV/0!</v>
      </c>
      <c r="D40" s="369" t="s">
        <v>1468</v>
      </c>
      <c r="E40" s="346" t="s">
        <v>1469</v>
      </c>
      <c r="F40" s="356">
        <f ca="1">INDIRECT("'数据-取费表'!I"&amp;$G$1)</f>
        <v>0</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1603</v>
      </c>
      <c r="E45" s="1860"/>
      <c r="F45" s="1860"/>
      <c r="O45" s="1863" t="s">
        <v>1518</v>
      </c>
      <c r="P45" s="1833"/>
      <c r="Q45" s="1833"/>
      <c r="R45" s="1833"/>
    </row>
    <row r="46" spans="1:18" s="1836" customFormat="1" ht="13.5" thickBot="1">
      <c r="A46" s="1864" t="s">
        <v>1519</v>
      </c>
      <c r="C46" s="1865" t="e">
        <f ca="1">ROUND(C45/10000,0)</f>
        <v>#DIV/0!</v>
      </c>
      <c r="D46" s="1866" t="str">
        <f>C2</f>
        <v>万元</v>
      </c>
      <c r="I46" s="1867" t="s">
        <v>1520</v>
      </c>
      <c r="J46" s="1868"/>
      <c r="K46" s="1869"/>
      <c r="L46" s="1870" t="e">
        <f ca="1">IF(M47="住宅",0,IF(L48&gt;J51,L60,J60))</f>
        <v>#DIV/0!</v>
      </c>
      <c r="O46" s="1871" t="s">
        <v>1521</v>
      </c>
      <c r="P46" s="1872" t="s">
        <v>1522</v>
      </c>
      <c r="Q46" s="1873" t="s">
        <v>1523</v>
      </c>
      <c r="R46" s="1873" t="s">
        <v>1524</v>
      </c>
    </row>
    <row r="47" spans="1:18" s="1836" customFormat="1" ht="13.5" thickBot="1">
      <c r="A47" s="1159" t="s">
        <v>1394</v>
      </c>
      <c r="B47" s="1191" t="s">
        <v>1395</v>
      </c>
      <c r="C47" s="1191" t="s">
        <v>1396</v>
      </c>
      <c r="D47" s="1191" t="s">
        <v>1397</v>
      </c>
      <c r="E47" s="1273" t="s">
        <v>1398</v>
      </c>
      <c r="F47" s="1274"/>
      <c r="G47" s="790"/>
      <c r="I47" s="1874" t="s">
        <v>1525</v>
      </c>
      <c r="J47" s="1875"/>
      <c r="K47" s="1876" t="s">
        <v>1526</v>
      </c>
      <c r="L47" s="1877">
        <f ca="1">INDIRECT("'数据-取费表'!d"&amp;$G$1)</f>
        <v>0</v>
      </c>
      <c r="M47" s="1832" t="str">
        <f>IF(ISNUMBER(FIND("住宅",C1)),"住宅","非住宅")</f>
        <v>非住宅</v>
      </c>
      <c r="O47" s="1878" t="s">
        <v>1040</v>
      </c>
      <c r="P47" s="1879" t="s">
        <v>1527</v>
      </c>
      <c r="Q47" s="1880" t="e">
        <f ca="1">C40+J29</f>
        <v>#DIV/0!</v>
      </c>
      <c r="R47" s="1880" t="s">
        <v>1528</v>
      </c>
    </row>
    <row r="48" spans="1:18" s="1836" customFormat="1" ht="28.5" thickBot="1">
      <c r="A48" s="1354" t="s">
        <v>1135</v>
      </c>
      <c r="B48" s="344" t="s">
        <v>1399</v>
      </c>
      <c r="C48" s="1811">
        <f ca="1">C49+C53+C55</f>
        <v>0</v>
      </c>
      <c r="D48" s="1356"/>
      <c r="E48" s="1357"/>
      <c r="F48" s="1175"/>
      <c r="G48" s="790"/>
      <c r="H48" s="791"/>
      <c r="I48" s="1881" t="s">
        <v>1529</v>
      </c>
      <c r="J48" s="1882"/>
      <c r="K48" s="1883" t="s">
        <v>1530</v>
      </c>
      <c r="L48" s="1884">
        <f ca="1">INDIRECT("'数据-取费表'!f"&amp;$G$1)</f>
        <v>0</v>
      </c>
      <c r="O48" s="1878" t="s">
        <v>1041</v>
      </c>
      <c r="P48" s="1879" t="s">
        <v>1531</v>
      </c>
      <c r="Q48" s="1880" t="e">
        <f ca="1">J60</f>
        <v>#DIV/0!</v>
      </c>
      <c r="R48" s="1880" t="s">
        <v>1532</v>
      </c>
    </row>
    <row r="49" spans="1:18" s="1836" customFormat="1" ht="13.5" thickBot="1">
      <c r="A49" s="1188" t="s">
        <v>1136</v>
      </c>
      <c r="B49" s="1823" t="s">
        <v>1489</v>
      </c>
      <c r="C49" s="1358">
        <f ca="1">ROUND(F49*F51*F50*(1-F52),0)</f>
        <v>0</v>
      </c>
      <c r="D49" s="1270" t="s">
        <v>1402</v>
      </c>
      <c r="E49" s="1824" t="s">
        <v>1490</v>
      </c>
      <c r="F49" s="1275"/>
      <c r="G49" s="1885"/>
      <c r="H49" s="791"/>
      <c r="I49" s="1881" t="s">
        <v>1533</v>
      </c>
      <c r="J49" s="1886"/>
      <c r="K49" s="1883" t="s">
        <v>1534</v>
      </c>
      <c r="L49" s="1887"/>
      <c r="O49" s="1888" t="s">
        <v>1042</v>
      </c>
      <c r="P49" s="1879" t="s">
        <v>1535</v>
      </c>
      <c r="Q49" s="1880">
        <f ca="1">C29</f>
        <v>0</v>
      </c>
      <c r="R49" s="1880" t="s">
        <v>1528</v>
      </c>
    </row>
    <row r="50" spans="1:18" s="1836" customFormat="1" ht="13.5" thickBot="1">
      <c r="A50" s="1189"/>
      <c r="B50" s="1192"/>
      <c r="C50" s="1193"/>
      <c r="D50" s="1166"/>
      <c r="E50" s="1271" t="s">
        <v>1404</v>
      </c>
      <c r="F50" s="1272">
        <f ca="1">F7</f>
        <v>0</v>
      </c>
      <c r="H50" s="791"/>
      <c r="I50" s="1881" t="s">
        <v>1536</v>
      </c>
      <c r="J50" s="1889">
        <f>SUMPRODUCT((I63:I65=J47)*(J62:L62=J48)*(J63:L65))</f>
        <v>0</v>
      </c>
      <c r="K50" s="1883" t="s">
        <v>1537</v>
      </c>
      <c r="L50" s="1887"/>
      <c r="M50" s="1890"/>
      <c r="O50" s="1888" t="s">
        <v>1043</v>
      </c>
      <c r="P50" s="1879" t="s">
        <v>1538</v>
      </c>
      <c r="Q50" s="1891" t="e">
        <f ca="1">J58</f>
        <v>#DIV/0!</v>
      </c>
      <c r="R50" s="1880"/>
    </row>
    <row r="51" spans="1:18" s="1836" customFormat="1" ht="13.5" thickBot="1">
      <c r="A51" s="1190"/>
      <c r="B51" s="1192"/>
      <c r="C51" s="1193"/>
      <c r="D51" s="1166"/>
      <c r="E51" s="1194" t="s">
        <v>1405</v>
      </c>
      <c r="F51" s="347">
        <f ca="1">F8</f>
        <v>0</v>
      </c>
      <c r="I51" s="1892" t="s">
        <v>1539</v>
      </c>
      <c r="J51" s="1893">
        <f>IF(J49="",J50,J49+J50-YEAR('数据-取费表'!B2))</f>
        <v>0</v>
      </c>
      <c r="K51" s="1894" t="s">
        <v>1540</v>
      </c>
      <c r="L51" s="1895">
        <f ca="1">ROUND(-PV(INDIRECT("'数据-取费表'!h"&amp;$G$1),L48,(C39-C13*C76),0),0)</f>
        <v>0</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b">
        <f>J53</f>
        <v>0</v>
      </c>
      <c r="R52" s="1880" t="s">
        <v>1545</v>
      </c>
    </row>
    <row r="53" spans="1:18" s="1836" customFormat="1" ht="30.75" customHeight="1" thickBot="1">
      <c r="A53" s="1355" t="s">
        <v>1137</v>
      </c>
      <c r="B53" s="368" t="s">
        <v>1407</v>
      </c>
      <c r="C53" s="360">
        <f ca="1">ROUND(IF(F53="押一",F49*F51*F50/12*F11,IF(F53="押二",F49*F51*F50/12*2*F11,IF(F53="押三",F49*F51*F50/12*3*F11,C54*F11))),0)</f>
        <v>0</v>
      </c>
      <c r="D53" s="1818" t="s">
        <v>1408</v>
      </c>
      <c r="E53" s="357" t="s">
        <v>1409</v>
      </c>
      <c r="F53" s="1360"/>
      <c r="I53" s="1899" t="s">
        <v>1546</v>
      </c>
      <c r="J53" s="1900" t="b">
        <f>IF(M47="住宅",J51,IF(D1="——",MIN(J51,L48),IF(D1="在建（套用方法）",MIN(J51,L48-'数据-取费表'!B24),IF(D1="土地（套用方法）",MIN(J51,L48-'数据-取费表'!B20)))))</f>
        <v>0</v>
      </c>
      <c r="K53" s="3366" t="s">
        <v>1547</v>
      </c>
      <c r="L53" s="3367"/>
      <c r="O53" s="1878" t="s">
        <v>1046</v>
      </c>
      <c r="P53" s="1879" t="s">
        <v>1548</v>
      </c>
      <c r="Q53" s="1880" t="e">
        <f ca="1">Q47+Q48</f>
        <v>#DIV/0!</v>
      </c>
      <c r="R53" s="1880" t="s">
        <v>1047</v>
      </c>
    </row>
    <row r="54" spans="1:18" s="1836" customFormat="1" ht="13.5" thickBot="1">
      <c r="A54" s="1188"/>
      <c r="B54" s="1935" t="s">
        <v>1602</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#DIV/0!</v>
      </c>
      <c r="K55" s="1906" t="s">
        <v>1551</v>
      </c>
      <c r="L55" s="1907"/>
      <c r="O55" s="1871" t="s">
        <v>1521</v>
      </c>
      <c r="P55" s="1872" t="s">
        <v>1522</v>
      </c>
      <c r="Q55" s="1873" t="s">
        <v>1523</v>
      </c>
      <c r="R55" s="1873" t="s">
        <v>1524</v>
      </c>
    </row>
    <row r="56" spans="1:18" s="1836" customFormat="1" ht="36" customHeight="1" thickTop="1" thickBot="1">
      <c r="A56" s="1170">
        <v>2</v>
      </c>
      <c r="B56" s="1171" t="s">
        <v>1413</v>
      </c>
      <c r="C56" s="275">
        <f ca="1">C13</f>
        <v>0</v>
      </c>
      <c r="D56" s="1908"/>
      <c r="E56" s="1909"/>
      <c r="F56" s="1901"/>
      <c r="I56" s="1910" t="s">
        <v>1553</v>
      </c>
      <c r="J56" s="1911"/>
      <c r="K56" s="1881" t="s">
        <v>1554</v>
      </c>
      <c r="L56" s="1884">
        <f ca="1">IF(L48&lt;J51,"——",L48-J51)</f>
        <v>0</v>
      </c>
      <c r="O56" s="1878" t="s">
        <v>1040</v>
      </c>
      <c r="P56" s="1879" t="s">
        <v>1527</v>
      </c>
      <c r="Q56" s="1880" t="e">
        <f ca="1">C40+J29</f>
        <v>#DIV/0!</v>
      </c>
      <c r="R56" s="1880" t="s">
        <v>1528</v>
      </c>
    </row>
    <row r="57" spans="1:18" s="1836" customFormat="1" ht="24.75" thickBot="1">
      <c r="A57" s="1912"/>
      <c r="B57" s="1163" t="s">
        <v>1477</v>
      </c>
      <c r="C57" s="281">
        <f ca="1">C29</f>
        <v>0</v>
      </c>
      <c r="D57" s="1913"/>
      <c r="E57" s="1914"/>
      <c r="F57" s="1915"/>
      <c r="I57" s="1916" t="s">
        <v>1555</v>
      </c>
      <c r="J57" s="1917">
        <f ca="1">IF(OR(M47="住宅",J51&lt;L48,J56="是"),"——",J51-L48)</f>
        <v>0</v>
      </c>
      <c r="K57" s="1881" t="s">
        <v>1604</v>
      </c>
      <c r="L57" s="1884">
        <f ca="1">IF(L48&lt;J51,"——",IF(L55="比较法",L49,IF(L55="基准地价",L50,L51)))</f>
        <v>0</v>
      </c>
      <c r="O57" s="1878" t="s">
        <v>1041</v>
      </c>
      <c r="P57" s="1879" t="s">
        <v>1605</v>
      </c>
      <c r="Q57" s="1880" t="e">
        <f ca="1">L60</f>
        <v>#DIV/0!</v>
      </c>
      <c r="R57" s="1880" t="s">
        <v>1606</v>
      </c>
    </row>
    <row r="58" spans="1:18" s="1836" customFormat="1" ht="24.75" thickBot="1">
      <c r="A58" s="359" t="s">
        <v>1030</v>
      </c>
      <c r="B58" s="1171" t="s">
        <v>1423</v>
      </c>
      <c r="C58" s="360">
        <f ca="1">ROUND(C59+C64+C65+C66,0)</f>
        <v>0</v>
      </c>
      <c r="D58" s="1173" t="s">
        <v>1424</v>
      </c>
      <c r="E58" s="1174"/>
      <c r="F58" s="1175"/>
      <c r="I58" s="1916" t="s">
        <v>1559</v>
      </c>
      <c r="J58" s="1918" t="e">
        <f ca="1">IF(J55&lt;0.4,0.4,J55)</f>
        <v>#DIV/0!</v>
      </c>
      <c r="K58" s="1894" t="s">
        <v>1607</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ROUND(IF(项目基本情况!B11="自然人",C48*F59,C60+C61+C62),0)</f>
        <v>0</v>
      </c>
      <c r="D59" s="1176" t="s">
        <v>1429</v>
      </c>
      <c r="E59" s="1177" t="s">
        <v>1430</v>
      </c>
      <c r="F59" s="367" t="str">
        <f ca="1">IF(项目基本情况!B11="企业","",IF(INDIRECT("'数据-取费表'!c"&amp;$G$1)="住宅",5%,IF(F49*F50*F51/12/(1+'数据-取费表'!C42)&gt;20000,12%,7%)))</f>
        <v/>
      </c>
      <c r="I59" s="1916" t="s">
        <v>1562</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IF(项目基本情况!B11="自然人","——",ROUND(C48*F60/(1+'数据-取费表'!C42),0))</f>
        <v>0</v>
      </c>
      <c r="D60" s="1177" t="s">
        <v>1433</v>
      </c>
      <c r="E60" s="1163" t="s">
        <v>1421</v>
      </c>
      <c r="F60" s="376">
        <f t="shared" ref="F60:F66" si="0">F32</f>
        <v>5.5000000000000007E-2</v>
      </c>
      <c r="I60" s="1919" t="s">
        <v>1564</v>
      </c>
      <c r="J60" s="1920" t="e">
        <f ca="1">IF(OR(M47="住宅",J51&lt;L48,J56="是"),"0",ROUND(J59/(1+J52)^J53,0))</f>
        <v>#DIV/0!</v>
      </c>
      <c r="K60" s="1921" t="s">
        <v>1565</v>
      </c>
      <c r="L60" s="1920" t="e">
        <f ca="1">IF(OR(M47="住宅",L48&lt;J51),0,ROUND(L57*(L58/L59-1),0))</f>
        <v>#DIV/0!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IF(项目基本情况!B11="自然人","——",IF(D61="按租金收入计税",ROUND(C48*F61,0),IF(D61="按房产原值计税",ROUND(C57*F61*0.7,0),INDIRECT("'数据-取费表'!Aj"&amp;$G$1))))</f>
        <v>0</v>
      </c>
      <c r="D61" s="1822" t="s">
        <v>1437</v>
      </c>
      <c r="E61" s="1163" t="s">
        <v>1493</v>
      </c>
      <c r="F61" s="366">
        <f t="shared" si="0"/>
        <v>1.2E-2</v>
      </c>
      <c r="I61" s="1922"/>
      <c r="J61" s="1922"/>
      <c r="K61" s="1922"/>
      <c r="L61" s="1922"/>
      <c r="O61" s="1888" t="s">
        <v>1045</v>
      </c>
      <c r="P61" s="1879" t="str">
        <f>K59</f>
        <v>建设期及建筑物耐用年限下的土地年期修正系数Kn</v>
      </c>
      <c r="Q61" s="1880" t="e">
        <f ca="1">L59</f>
        <v>#DIV/0!</v>
      </c>
      <c r="R61" s="1880" t="s">
        <v>1568</v>
      </c>
    </row>
    <row r="62" spans="1:18" s="1836" customFormat="1" ht="13.5" thickBot="1">
      <c r="A62" s="1195" t="s">
        <v>1494</v>
      </c>
      <c r="B62" s="1162" t="s">
        <v>1495</v>
      </c>
      <c r="C62" s="25">
        <f ca="1">IF(项目基本情况!B11="自然人","——",ROUND(F62*F63,0))</f>
        <v>0</v>
      </c>
      <c r="D62" s="1178" t="s">
        <v>1496</v>
      </c>
      <c r="E62" s="1163" t="s">
        <v>1497</v>
      </c>
      <c r="F62" s="370">
        <f t="shared" si="0"/>
        <v>1.5</v>
      </c>
      <c r="I62" s="1923" t="s">
        <v>1569</v>
      </c>
      <c r="J62" s="1924" t="s">
        <v>1570</v>
      </c>
      <c r="K62" s="1924" t="s">
        <v>1571</v>
      </c>
      <c r="L62" s="1924" t="s">
        <v>1572</v>
      </c>
      <c r="M62" s="1925" t="s">
        <v>1573</v>
      </c>
      <c r="O62" s="1878" t="s">
        <v>1046</v>
      </c>
      <c r="P62" s="1879" t="s">
        <v>1574</v>
      </c>
      <c r="Q62" s="1880" t="e">
        <f ca="1">Q56+Q57</f>
        <v>#DIV/0!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ROUND(C57*F64,0)</f>
        <v>0</v>
      </c>
      <c r="D64" s="1177" t="s">
        <v>1501</v>
      </c>
      <c r="E64" s="1163" t="s">
        <v>1493</v>
      </c>
      <c r="F64" s="373">
        <f t="shared" ca="1" si="0"/>
        <v>0</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ROUND(C56*F65,0)</f>
        <v>0</v>
      </c>
      <c r="D65" s="1177" t="s">
        <v>1453</v>
      </c>
      <c r="E65" s="1163" t="s">
        <v>1454</v>
      </c>
      <c r="F65" s="375">
        <f t="shared" ca="1" si="0"/>
        <v>0</v>
      </c>
      <c r="I65" s="1923" t="s">
        <v>1578</v>
      </c>
      <c r="J65" s="1924">
        <v>40</v>
      </c>
      <c r="K65" s="1924">
        <v>30</v>
      </c>
      <c r="L65" s="1924">
        <v>50</v>
      </c>
      <c r="M65" s="1926">
        <v>0.02</v>
      </c>
      <c r="O65" s="1878" t="s">
        <v>1040</v>
      </c>
      <c r="P65" s="1879" t="s">
        <v>1579</v>
      </c>
      <c r="Q65" s="1880" t="e">
        <f ca="1">C40+J29</f>
        <v>#DIV/0!</v>
      </c>
      <c r="R65" s="1880" t="s">
        <v>1528</v>
      </c>
    </row>
    <row r="66" spans="1:18" s="1836" customFormat="1" ht="16.5" thickBot="1">
      <c r="A66" s="1195" t="s">
        <v>1503</v>
      </c>
      <c r="B66" s="1163" t="s">
        <v>1438</v>
      </c>
      <c r="C66" s="24">
        <f ca="1">ROUND(C48*F66,0)</f>
        <v>0</v>
      </c>
      <c r="D66" s="1177" t="s">
        <v>1504</v>
      </c>
      <c r="E66" s="1163" t="s">
        <v>1421</v>
      </c>
      <c r="F66" s="356">
        <f t="shared" ca="1" si="0"/>
        <v>0</v>
      </c>
      <c r="O66" s="1878" t="s">
        <v>1041</v>
      </c>
      <c r="P66" s="1879" t="s">
        <v>1557</v>
      </c>
      <c r="Q66" s="1880" t="e">
        <f ca="1">L60</f>
        <v>#DIV/0!</v>
      </c>
      <c r="R66" s="1880" t="s">
        <v>1580</v>
      </c>
    </row>
    <row r="67" spans="1:18" s="1836" customFormat="1" ht="16.5" thickBot="1">
      <c r="A67" s="1170" t="s">
        <v>1031</v>
      </c>
      <c r="B67" s="1180" t="s">
        <v>1462</v>
      </c>
      <c r="C67" s="360">
        <f ca="1">C48-C58</f>
        <v>0</v>
      </c>
      <c r="D67" s="1176" t="s">
        <v>1463</v>
      </c>
      <c r="E67" s="1181"/>
      <c r="F67" s="1182"/>
      <c r="O67" s="1888" t="s">
        <v>1042</v>
      </c>
      <c r="P67" s="1879" t="s">
        <v>1561</v>
      </c>
      <c r="Q67" s="1927">
        <f ca="1">L51</f>
        <v>0</v>
      </c>
      <c r="R67" s="1880" t="s">
        <v>1581</v>
      </c>
    </row>
    <row r="68" spans="1:18" s="1836" customFormat="1" ht="16.5" thickBot="1">
      <c r="A68" s="1160" t="s">
        <v>1032</v>
      </c>
      <c r="B68" s="1161" t="s">
        <v>1484</v>
      </c>
      <c r="C68" s="345" t="e">
        <f ca="1">ROUND(C67*(1-((1+F70)/(1+F68))^F69)/(F68-F70),0)</f>
        <v>#DIV/0!</v>
      </c>
      <c r="D68" s="1178" t="s">
        <v>1468</v>
      </c>
      <c r="E68" s="1163" t="s">
        <v>1469</v>
      </c>
      <c r="F68" s="356">
        <f ca="1">F40</f>
        <v>0</v>
      </c>
      <c r="O68" s="1888" t="s">
        <v>1043</v>
      </c>
      <c r="P68" s="1928" t="s">
        <v>1582</v>
      </c>
      <c r="Q68" s="1880">
        <f ca="1">ROUND(Q69-Q70*Q71,0)</f>
        <v>0</v>
      </c>
      <c r="R68" s="1880" t="s">
        <v>1051</v>
      </c>
    </row>
    <row r="69" spans="1:18" s="1836" customFormat="1" ht="13.5" thickBot="1">
      <c r="A69" s="1164"/>
      <c r="B69" s="1165"/>
      <c r="C69" s="350"/>
      <c r="D69" s="1183" t="s">
        <v>1472</v>
      </c>
      <c r="E69" s="1163" t="s">
        <v>1473</v>
      </c>
      <c r="F69" s="378">
        <f ca="1">F41</f>
        <v>0</v>
      </c>
      <c r="O69" s="1888" t="s">
        <v>1048</v>
      </c>
      <c r="P69" s="1928" t="s">
        <v>1583</v>
      </c>
      <c r="Q69" s="1880">
        <f ca="1">C39</f>
        <v>0</v>
      </c>
      <c r="R69" s="1880" t="s">
        <v>1528</v>
      </c>
    </row>
    <row r="70" spans="1:18" s="1836" customFormat="1" ht="13.5" thickBot="1">
      <c r="A70" s="1167"/>
      <c r="B70" s="1168"/>
      <c r="C70" s="354"/>
      <c r="D70" s="1179"/>
      <c r="E70" s="1163" t="s">
        <v>1476</v>
      </c>
      <c r="F70" s="1269">
        <f ca="1">F42</f>
        <v>0</v>
      </c>
      <c r="O70" s="1888" t="s">
        <v>1049</v>
      </c>
      <c r="P70" s="1928" t="s">
        <v>1584</v>
      </c>
      <c r="Q70" s="1880">
        <f ca="1">C13</f>
        <v>0</v>
      </c>
      <c r="R70" s="1880" t="s">
        <v>1528</v>
      </c>
    </row>
    <row r="71" spans="1:18" s="1836" customFormat="1" ht="13.5" thickBot="1">
      <c r="A71" s="1184" t="s">
        <v>1033</v>
      </c>
      <c r="B71" s="1185" t="s">
        <v>1486</v>
      </c>
      <c r="C71" s="381" t="e">
        <f ca="1">ROUND(C68/F71,0)</f>
        <v>#DIV/0!</v>
      </c>
      <c r="D71" s="1186" t="s">
        <v>1487</v>
      </c>
      <c r="E71" s="1187" t="s">
        <v>1488</v>
      </c>
      <c r="F71" s="384">
        <f ca="1">F43</f>
        <v>0</v>
      </c>
      <c r="O71" s="1888" t="s">
        <v>1050</v>
      </c>
      <c r="P71" s="1928" t="s">
        <v>1585</v>
      </c>
      <c r="Q71" s="1891">
        <f ca="1">C76</f>
        <v>0</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建设期及建筑物耐用年限下的土地年期修正系数Kn</v>
      </c>
      <c r="Q74" s="1880" t="e">
        <f ca="1">L59</f>
        <v>#DIV/0!</v>
      </c>
      <c r="R74" s="1880" t="s">
        <v>1568</v>
      </c>
    </row>
    <row r="75" spans="1:18" ht="13.5" thickBot="1">
      <c r="A75" s="1836"/>
      <c r="B75" s="385" t="s">
        <v>1505</v>
      </c>
      <c r="C75" s="386">
        <f ca="1">ROUND(C13*C76,0)</f>
        <v>0</v>
      </c>
      <c r="D75" s="1836"/>
      <c r="E75" s="1836"/>
      <c r="F75" s="1836"/>
      <c r="K75" s="1862"/>
      <c r="L75" s="1836"/>
      <c r="O75" s="1878" t="s">
        <v>1046</v>
      </c>
      <c r="P75" s="1879" t="s">
        <v>1548</v>
      </c>
      <c r="Q75" s="1880" t="e">
        <f ca="1">Q65+Q66</f>
        <v>#DIV/0!</v>
      </c>
      <c r="R75" s="1880" t="s">
        <v>1047</v>
      </c>
    </row>
    <row r="76" spans="1:18">
      <c r="B76" s="387" t="s">
        <v>1506</v>
      </c>
      <c r="C76" s="388">
        <f ca="1">INDIRECT("'数据-取费表'!j"&amp;$G$1)</f>
        <v>0</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3068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t="e">
        <f ca="1">ROUND(IF(F10="押一",F6*F8*F7/12*F11,IF(F10="押二",F6*F8*F7/12*2*F11,IF(F10="押三",F6*F8*F7/12*3*F11,C11*F11)))/10000,0)</f>
        <v>#N/A</v>
      </c>
      <c r="D10" s="1818" t="s">
        <v>3019</v>
      </c>
      <c r="E10" s="357" t="s">
        <v>1409</v>
      </c>
      <c r="F10" s="1360" t="s">
        <v>3065</v>
      </c>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1610</v>
      </c>
    </row>
    <row r="2" spans="1:1">
      <c r="A2" s="1940"/>
    </row>
    <row r="3" spans="1:1" ht="18">
      <c r="A3" s="1941" t="str">
        <f>项目基本情况!B5&amp;"："</f>
        <v>北京华和房地产开发有限公司：</v>
      </c>
    </row>
    <row r="4" spans="1:1" ht="36">
      <c r="A4" s="1942" t="str">
        <f>"受贵公司委托，我公司对"&amp;项目基本情况!S1&amp;"进行了预评估。"</f>
        <v>受贵公司委托，我公司对北京市通州区砖厂南里40、41、207号楼商业用房房地产抵押价值进行了预评估。</v>
      </c>
    </row>
    <row r="5" spans="1:1" ht="18.75">
      <c r="A5" s="1943" t="s">
        <v>1611</v>
      </c>
    </row>
    <row r="6" spans="1:1" ht="18.75">
      <c r="A6" s="1944" t="s">
        <v>1612</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估价对象为北京市通州区砖厂南里40、41、207号楼商业用房房地产，为所有。根据《国有土地使用证》[***]，估价对象（分摊）出让国有建设用地使用权面积为0平方米，建筑面积为17329.44平方米。</v>
      </c>
    </row>
    <row r="8" spans="1:1" ht="57.75">
      <c r="A8" s="1945" t="s">
        <v>1613</v>
      </c>
    </row>
    <row r="9" spans="1:1" ht="18.75">
      <c r="A9" s="1944" t="s">
        <v>1614</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1" spans="1:1" ht="76.5">
      <c r="A11" s="1945" t="s">
        <v>1615</v>
      </c>
    </row>
    <row r="12" spans="1:1" ht="18.75">
      <c r="A12" s="1943" t="s">
        <v>1616</v>
      </c>
    </row>
    <row r="13" spans="1:1" ht="38.25" customHeight="1">
      <c r="A13" s="194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7" t="s">
        <v>1617</v>
      </c>
    </row>
    <row r="15" spans="1:1" ht="18">
      <c r="A15" s="1948" t="str">
        <f>TEXT(项目基本情况!D3,"yyyy年m月d日;;")&amp;IF(项目基本情况!D3=项目基本情况!B3,"（评估专业人员实地查勘之日）","")</f>
        <v>2018年3月26日（评估专业人员实地查勘之日）</v>
      </c>
    </row>
    <row r="16" spans="1:1" ht="18.75">
      <c r="A16" s="1947" t="s">
        <v>1618</v>
      </c>
    </row>
    <row r="17" spans="1:1" ht="75">
      <c r="A17" s="1942" t="s">
        <v>1619</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1608</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1609</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0" t="s">
        <v>2518</v>
      </c>
      <c r="B1" s="2551"/>
      <c r="C1" s="2551"/>
      <c r="D1" s="2551"/>
      <c r="E1" s="2552"/>
    </row>
    <row r="2" spans="1:6" ht="15.75">
      <c r="A2" s="2553" t="s">
        <v>2319</v>
      </c>
      <c r="B2" s="2554">
        <f ca="1">SUMIF(B6:B13,"&lt;&gt;#ref!",B6:B13)</f>
        <v>24578</v>
      </c>
      <c r="C2" s="2555" t="s">
        <v>2511</v>
      </c>
      <c r="D2" s="2556" t="s">
        <v>2512</v>
      </c>
      <c r="E2" s="2557">
        <f>SUM(E6:E13)</f>
        <v>17329.439999999999</v>
      </c>
    </row>
    <row r="3" spans="1:6" ht="15.75">
      <c r="A3" s="2553" t="s">
        <v>1393</v>
      </c>
      <c r="B3" s="2554">
        <f ca="1">ROUND(B2*10000/E2,0)</f>
        <v>14183</v>
      </c>
      <c r="C3" s="2555" t="s">
        <v>2519</v>
      </c>
      <c r="D3" s="2558"/>
      <c r="E3" s="2559"/>
    </row>
    <row r="4" spans="1:6" ht="15.75">
      <c r="A4" s="2560"/>
      <c r="B4" s="2558"/>
      <c r="C4" s="2558"/>
      <c r="D4" s="2558"/>
      <c r="E4" s="2559"/>
    </row>
    <row r="5" spans="1:6" ht="15">
      <c r="A5" s="2561" t="s">
        <v>2513</v>
      </c>
      <c r="B5" s="3371" t="s">
        <v>2514</v>
      </c>
      <c r="C5" s="3371"/>
      <c r="D5" s="2562"/>
      <c r="E5" s="2563" t="s">
        <v>2515</v>
      </c>
      <c r="F5" s="2564" t="s">
        <v>2516</v>
      </c>
    </row>
    <row r="6" spans="1:6">
      <c r="A6" s="2565" t="str">
        <f>'数据-取费表'!AN6</f>
        <v>收益法租</v>
      </c>
      <c r="B6" s="2564">
        <f ca="1">IF(F6="是",'数据-取费表'!AO6,0)</f>
        <v>24578</v>
      </c>
      <c r="C6" s="2555" t="s">
        <v>2511</v>
      </c>
      <c r="D6" s="2558"/>
      <c r="E6" s="2566">
        <f>IF(OR(A6=0,F6="否"),0,'数据-取费表'!K6+'数据-取费表'!S6)</f>
        <v>17329.439999999999</v>
      </c>
      <c r="F6" s="2567" t="s">
        <v>2517</v>
      </c>
    </row>
    <row r="7" spans="1:6">
      <c r="A7" s="2565">
        <f>'数据-取费表'!AN7</f>
        <v>0</v>
      </c>
      <c r="B7" s="2564">
        <v>0</v>
      </c>
      <c r="C7" s="2555" t="s">
        <v>2511</v>
      </c>
      <c r="D7" s="2558"/>
      <c r="E7" s="2566">
        <v>0</v>
      </c>
      <c r="F7" s="2567" t="s">
        <v>2517</v>
      </c>
    </row>
    <row r="8" spans="1:6">
      <c r="A8" s="2565">
        <f>'数据-取费表'!AN8</f>
        <v>0</v>
      </c>
      <c r="B8" s="2564" t="e">
        <f ca="1">IF(F8="是",'数据-取费表'!AO8,0)</f>
        <v>#REF!</v>
      </c>
      <c r="C8" s="2555" t="s">
        <v>2511</v>
      </c>
      <c r="D8" s="2558"/>
      <c r="E8" s="2566">
        <f>IF(OR(A8=0,F8="否"),0,'数据-取费表'!K8+'数据-取费表'!S8)</f>
        <v>0</v>
      </c>
      <c r="F8" s="2567" t="s">
        <v>2517</v>
      </c>
    </row>
    <row r="9" spans="1:6">
      <c r="A9" s="2565">
        <f>'数据-取费表'!AN9</f>
        <v>0</v>
      </c>
      <c r="B9" s="2564" t="e">
        <f ca="1">IF(F9="是",'数据-取费表'!AO9,0)</f>
        <v>#REF!</v>
      </c>
      <c r="C9" s="2555" t="s">
        <v>2511</v>
      </c>
      <c r="D9" s="2558"/>
      <c r="E9" s="2566">
        <f>IF(OR(A9=0,F9="否"),0,'数据-取费表'!K9+'数据-取费表'!S9)</f>
        <v>0</v>
      </c>
      <c r="F9" s="2567" t="s">
        <v>2517</v>
      </c>
    </row>
    <row r="10" spans="1:6">
      <c r="A10" s="2565">
        <f>'数据-取费表'!AN10</f>
        <v>0</v>
      </c>
      <c r="B10" s="2564" t="e">
        <f ca="1">IF(F10="是",'数据-取费表'!AO10,0)</f>
        <v>#REF!</v>
      </c>
      <c r="C10" s="2555" t="s">
        <v>2511</v>
      </c>
      <c r="D10" s="2558"/>
      <c r="E10" s="2566">
        <f>IF(OR(A10=0,F10="否"),0,'数据-取费表'!K10+'数据-取费表'!S10)</f>
        <v>0</v>
      </c>
      <c r="F10" s="2567" t="s">
        <v>2517</v>
      </c>
    </row>
    <row r="11" spans="1:6">
      <c r="A11" s="2565">
        <f>'数据-取费表'!AN11</f>
        <v>0</v>
      </c>
      <c r="B11" s="2564" t="e">
        <f ca="1">IF(F11="是",'数据-取费表'!AO11,0)</f>
        <v>#REF!</v>
      </c>
      <c r="C11" s="2555" t="s">
        <v>2511</v>
      </c>
      <c r="D11" s="2558"/>
      <c r="E11" s="2566">
        <f>IF(OR(A11=0,F11="否"),0,'数据-取费表'!K11+'数据-取费表'!S11)</f>
        <v>0</v>
      </c>
      <c r="F11" s="2567" t="s">
        <v>2517</v>
      </c>
    </row>
    <row r="12" spans="1:6">
      <c r="A12" s="2565">
        <f>'数据-取费表'!AN12</f>
        <v>0</v>
      </c>
      <c r="B12" s="2564" t="e">
        <f ca="1">IF(F12="是",'数据-取费表'!AO12,0)</f>
        <v>#REF!</v>
      </c>
      <c r="C12" s="2555" t="s">
        <v>2511</v>
      </c>
      <c r="D12" s="2558"/>
      <c r="E12" s="2566">
        <f>IF(OR(A12=0,F12="否"),0,'数据-取费表'!K12+'数据-取费表'!S12)</f>
        <v>0</v>
      </c>
      <c r="F12" s="2567" t="s">
        <v>2517</v>
      </c>
    </row>
    <row r="13" spans="1:6" ht="15" thickBot="1">
      <c r="A13" s="2568">
        <f>'数据-取费表'!AN13</f>
        <v>0</v>
      </c>
      <c r="B13" s="2564" t="e">
        <f ca="1">IF(F13="是",'数据-取费表'!AO13,0)</f>
        <v>#REF!</v>
      </c>
      <c r="C13" s="2569" t="s">
        <v>2511</v>
      </c>
      <c r="D13" s="2570"/>
      <c r="E13" s="2566">
        <f>IF(OR(A13=0,F13="否"),0,'数据-取费表'!K13+'数据-取费表'!S13)</f>
        <v>0</v>
      </c>
      <c r="F13" s="2567"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8" t="s">
        <v>1076</v>
      </c>
      <c r="B1" s="3389"/>
      <c r="C1" s="3390"/>
      <c r="D1" s="3391">
        <f>SUM(I10,I15,I20,I21,I23)</f>
        <v>0</v>
      </c>
      <c r="E1" s="3391"/>
      <c r="F1" s="3391"/>
      <c r="G1" s="3391"/>
      <c r="H1" s="3391"/>
      <c r="I1" s="3392"/>
    </row>
    <row r="2" spans="1:9">
      <c r="A2" s="3378" t="s">
        <v>1077</v>
      </c>
      <c r="B2" s="3379" t="s">
        <v>1078</v>
      </c>
      <c r="C2" s="3379"/>
      <c r="D2" s="1295" t="s">
        <v>1079</v>
      </c>
      <c r="E2" s="1295" t="s">
        <v>1080</v>
      </c>
      <c r="F2" s="1295" t="s">
        <v>1081</v>
      </c>
      <c r="G2" s="1295" t="s">
        <v>1082</v>
      </c>
      <c r="H2" s="1295" t="s">
        <v>1083</v>
      </c>
      <c r="I2" s="1296" t="s">
        <v>1084</v>
      </c>
    </row>
    <row r="3" spans="1:9">
      <c r="A3" s="3378"/>
      <c r="B3" s="3379" t="s">
        <v>1085</v>
      </c>
      <c r="C3" s="3379"/>
      <c r="D3" s="1297"/>
      <c r="E3" s="1295"/>
      <c r="F3" s="1298"/>
      <c r="G3" s="1298"/>
      <c r="H3" s="1299"/>
      <c r="I3" s="1300">
        <f>ROUND(D3*E3*F3*G3*H3/10000,0)</f>
        <v>0</v>
      </c>
    </row>
    <row r="4" spans="1:9">
      <c r="A4" s="3378"/>
      <c r="B4" s="3379" t="s">
        <v>1086</v>
      </c>
      <c r="C4" s="3379"/>
      <c r="D4" s="1297"/>
      <c r="E4" s="1295"/>
      <c r="F4" s="1298"/>
      <c r="G4" s="1298"/>
      <c r="H4" s="1299"/>
      <c r="I4" s="1300">
        <f t="shared" ref="I4:I9" si="0">ROUND(D4*E4*F4*G4*H4/10000,0)</f>
        <v>0</v>
      </c>
    </row>
    <row r="5" spans="1:9">
      <c r="A5" s="3378"/>
      <c r="B5" s="3379" t="s">
        <v>1087</v>
      </c>
      <c r="C5" s="3379"/>
      <c r="D5" s="1297"/>
      <c r="E5" s="1295"/>
      <c r="F5" s="1298"/>
      <c r="G5" s="1298"/>
      <c r="H5" s="1299"/>
      <c r="I5" s="1300">
        <f t="shared" si="0"/>
        <v>0</v>
      </c>
    </row>
    <row r="6" spans="1:9">
      <c r="A6" s="3378"/>
      <c r="B6" s="3379" t="s">
        <v>1088</v>
      </c>
      <c r="C6" s="3379"/>
      <c r="D6" s="1297"/>
      <c r="E6" s="1295"/>
      <c r="F6" s="1298"/>
      <c r="G6" s="1298"/>
      <c r="H6" s="1299"/>
      <c r="I6" s="1300">
        <f t="shared" si="0"/>
        <v>0</v>
      </c>
    </row>
    <row r="7" spans="1:9">
      <c r="A7" s="3378"/>
      <c r="B7" s="3379" t="s">
        <v>1089</v>
      </c>
      <c r="C7" s="3379"/>
      <c r="D7" s="1297"/>
      <c r="E7" s="1295"/>
      <c r="F7" s="1298"/>
      <c r="G7" s="1298"/>
      <c r="H7" s="1299"/>
      <c r="I7" s="1300">
        <f t="shared" si="0"/>
        <v>0</v>
      </c>
    </row>
    <row r="8" spans="1:9">
      <c r="A8" s="3378"/>
      <c r="B8" s="3379" t="s">
        <v>1090</v>
      </c>
      <c r="C8" s="3379"/>
      <c r="D8" s="1297"/>
      <c r="E8" s="1295"/>
      <c r="F8" s="1298"/>
      <c r="G8" s="1298"/>
      <c r="H8" s="1299"/>
      <c r="I8" s="1300">
        <f t="shared" si="0"/>
        <v>0</v>
      </c>
    </row>
    <row r="9" spans="1:9">
      <c r="A9" s="3378"/>
      <c r="B9" s="3379" t="s">
        <v>1091</v>
      </c>
      <c r="C9" s="3379"/>
      <c r="D9" s="1297"/>
      <c r="E9" s="1295"/>
      <c r="F9" s="1298"/>
      <c r="G9" s="1298"/>
      <c r="H9" s="1299"/>
      <c r="I9" s="1300">
        <f t="shared" si="0"/>
        <v>0</v>
      </c>
    </row>
    <row r="10" spans="1:9">
      <c r="A10" s="3378"/>
      <c r="B10" s="3380" t="s">
        <v>1092</v>
      </c>
      <c r="C10" s="3380"/>
      <c r="D10" s="1301"/>
      <c r="E10" s="1301" t="e">
        <f>ROUND(D1*10000/D10/H9,0)</f>
        <v>#DIV/0!</v>
      </c>
      <c r="F10" s="1302"/>
      <c r="G10" s="1302"/>
      <c r="H10" s="1303"/>
      <c r="I10" s="1304">
        <f>SUM(I3:I9)</f>
        <v>0</v>
      </c>
    </row>
    <row r="11" spans="1:9" ht="14.25">
      <c r="A11" s="3378" t="s">
        <v>1093</v>
      </c>
      <c r="B11" s="3379" t="s">
        <v>1094</v>
      </c>
      <c r="C11" s="3379"/>
      <c r="D11" s="1297" t="s">
        <v>1095</v>
      </c>
      <c r="E11" s="1297" t="s">
        <v>1096</v>
      </c>
      <c r="F11" s="1298" t="s">
        <v>1097</v>
      </c>
      <c r="G11" s="1298" t="s">
        <v>1083</v>
      </c>
      <c r="H11" s="1305" t="s">
        <v>1098</v>
      </c>
      <c r="I11" s="1296" t="s">
        <v>1084</v>
      </c>
    </row>
    <row r="12" spans="1:9">
      <c r="A12" s="3378"/>
      <c r="B12" s="3379" t="s">
        <v>1099</v>
      </c>
      <c r="C12" s="3379"/>
      <c r="D12" s="1297"/>
      <c r="E12" s="1297"/>
      <c r="F12" s="1298"/>
      <c r="G12" s="1299"/>
      <c r="H12" s="1306"/>
      <c r="I12" s="1296">
        <f>ROUND(D12*E12*F12*G12/10000,0)</f>
        <v>0</v>
      </c>
    </row>
    <row r="13" spans="1:9">
      <c r="A13" s="3378"/>
      <c r="B13" s="3379" t="s">
        <v>1100</v>
      </c>
      <c r="C13" s="3379"/>
      <c r="D13" s="1297"/>
      <c r="E13" s="1297"/>
      <c r="F13" s="1298"/>
      <c r="G13" s="1299"/>
      <c r="H13" s="1306"/>
      <c r="I13" s="1296">
        <f>ROUND(D13*E13*F13*G13/10000,0)</f>
        <v>0</v>
      </c>
    </row>
    <row r="14" spans="1:9">
      <c r="A14" s="3378"/>
      <c r="B14" s="3379" t="s">
        <v>1101</v>
      </c>
      <c r="C14" s="3379"/>
      <c r="D14" s="1297"/>
      <c r="E14" s="1297"/>
      <c r="F14" s="1298"/>
      <c r="G14" s="1299"/>
      <c r="H14" s="1306"/>
      <c r="I14" s="1296">
        <f>ROUND(D14*E14*F14*G14/10000,0)</f>
        <v>0</v>
      </c>
    </row>
    <row r="15" spans="1:9">
      <c r="A15" s="3378"/>
      <c r="B15" s="3380" t="s">
        <v>1092</v>
      </c>
      <c r="C15" s="3380"/>
      <c r="D15" s="1301"/>
      <c r="E15" s="1301">
        <f>SUM(E12:E14)</f>
        <v>0</v>
      </c>
      <c r="F15" s="1302"/>
      <c r="G15" s="1299"/>
      <c r="H15" s="1306"/>
      <c r="I15" s="1307">
        <f>SUM(I12:I14)</f>
        <v>0</v>
      </c>
    </row>
    <row r="16" spans="1:9" ht="24">
      <c r="A16" s="3378" t="s">
        <v>1102</v>
      </c>
      <c r="B16" s="3379" t="s">
        <v>1103</v>
      </c>
      <c r="C16" s="3379"/>
      <c r="D16" s="1297" t="s">
        <v>1079</v>
      </c>
      <c r="E16" s="1308" t="s">
        <v>1104</v>
      </c>
      <c r="F16" s="1298" t="s">
        <v>1105</v>
      </c>
      <c r="G16" s="1299" t="s">
        <v>1083</v>
      </c>
      <c r="H16" s="1305" t="s">
        <v>1098</v>
      </c>
      <c r="I16" s="1296" t="s">
        <v>1084</v>
      </c>
    </row>
    <row r="17" spans="1:9" ht="14.25">
      <c r="A17" s="3378"/>
      <c r="B17" s="3379" t="s">
        <v>1106</v>
      </c>
      <c r="C17" s="3379"/>
      <c r="D17" s="1297"/>
      <c r="E17" s="1297"/>
      <c r="F17" s="1298"/>
      <c r="G17" s="1299"/>
      <c r="H17" s="1309"/>
      <c r="I17" s="1310">
        <f>ROUND(D17*E17*F17*G17/10000,0)</f>
        <v>0</v>
      </c>
    </row>
    <row r="18" spans="1:9" ht="14.25">
      <c r="A18" s="3378"/>
      <c r="B18" s="3379" t="s">
        <v>1107</v>
      </c>
      <c r="C18" s="3379"/>
      <c r="D18" s="1297"/>
      <c r="E18" s="1297"/>
      <c r="F18" s="1298"/>
      <c r="G18" s="1299"/>
      <c r="H18" s="1309"/>
      <c r="I18" s="1310">
        <f>ROUND(D18*E18*F18*G18/10000,0)</f>
        <v>0</v>
      </c>
    </row>
    <row r="19" spans="1:9" ht="14.25">
      <c r="A19" s="3378"/>
      <c r="B19" s="3379" t="s">
        <v>1108</v>
      </c>
      <c r="C19" s="3379"/>
      <c r="D19" s="1297"/>
      <c r="E19" s="1297"/>
      <c r="F19" s="1298"/>
      <c r="G19" s="1299"/>
      <c r="H19" s="1309"/>
      <c r="I19" s="1310">
        <f>ROUND(D19*E19*F19*G19/10000,0)</f>
        <v>0</v>
      </c>
    </row>
    <row r="20" spans="1:9">
      <c r="A20" s="3378"/>
      <c r="B20" s="3380" t="s">
        <v>1092</v>
      </c>
      <c r="C20" s="3380"/>
      <c r="D20" s="1301">
        <f>SUM(D17:D19)</f>
        <v>0</v>
      </c>
      <c r="E20" s="1301"/>
      <c r="F20" s="1302"/>
      <c r="G20" s="1299"/>
      <c r="H20" s="1306"/>
      <c r="I20" s="1307">
        <f>SUM(I17:I19)</f>
        <v>0</v>
      </c>
    </row>
    <row r="21" spans="1:9">
      <c r="A21" s="3378" t="s">
        <v>1109</v>
      </c>
      <c r="B21" s="3381"/>
      <c r="C21" s="3381"/>
      <c r="D21" s="3381"/>
      <c r="E21" s="3381"/>
      <c r="F21" s="3381"/>
      <c r="G21" s="3381"/>
      <c r="H21" s="1759">
        <v>0.1</v>
      </c>
      <c r="I21" s="1304">
        <f>ROUND(I10*H21,0)</f>
        <v>0</v>
      </c>
    </row>
    <row r="22" spans="1:9" ht="14.25">
      <c r="A22" s="3382" t="s">
        <v>1110</v>
      </c>
      <c r="B22" s="3383"/>
      <c r="C22" s="3384"/>
      <c r="D22" s="1311" t="s">
        <v>1111</v>
      </c>
      <c r="E22" s="1311" t="s">
        <v>1112</v>
      </c>
      <c r="F22" s="1312" t="s">
        <v>1113</v>
      </c>
      <c r="G22" s="1312" t="s">
        <v>1114</v>
      </c>
      <c r="H22" s="1305" t="s">
        <v>1115</v>
      </c>
      <c r="I22" s="1296" t="s">
        <v>1116</v>
      </c>
    </row>
    <row r="23" spans="1:9" ht="14.25" thickBot="1">
      <c r="A23" s="3385"/>
      <c r="B23" s="3386"/>
      <c r="C23" s="3387"/>
      <c r="D23" s="1313"/>
      <c r="E23" s="1313"/>
      <c r="F23" s="1313"/>
      <c r="G23" s="1314"/>
      <c r="H23" s="1315"/>
      <c r="I23" s="1316">
        <f>ROUND(E23*D23*F23*(1-G23)/10000,0)</f>
        <v>0</v>
      </c>
    </row>
    <row r="26" spans="1:9">
      <c r="A26" s="1317" t="s">
        <v>1117</v>
      </c>
      <c r="B26" s="1317"/>
      <c r="C26" s="1317"/>
      <c r="D26" s="1317"/>
      <c r="E26" s="3375">
        <f>C27-C30-C31-C32</f>
        <v>0</v>
      </c>
      <c r="F26" s="3375"/>
      <c r="G26" s="3375"/>
      <c r="H26" s="1731" t="s">
        <v>1338</v>
      </c>
    </row>
    <row r="27" spans="1:9">
      <c r="A27" s="1318">
        <v>1</v>
      </c>
      <c r="B27" s="1319" t="s">
        <v>1118</v>
      </c>
      <c r="C27" s="1319">
        <f>C28+C29</f>
        <v>0</v>
      </c>
      <c r="D27" s="1319"/>
      <c r="E27" s="3376"/>
      <c r="F27" s="3376"/>
      <c r="G27" s="3376"/>
    </row>
    <row r="28" spans="1:9">
      <c r="A28" s="1320" t="s">
        <v>1119</v>
      </c>
      <c r="B28" s="1319" t="s">
        <v>1120</v>
      </c>
      <c r="C28" s="1319"/>
      <c r="D28" s="1319"/>
      <c r="E28" s="3376"/>
      <c r="F28" s="3376"/>
      <c r="G28" s="3376"/>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77"/>
      <c r="F32" s="3377"/>
      <c r="G32" s="3377"/>
    </row>
    <row r="33" spans="1:7" hidden="1">
      <c r="A33" s="3372" t="s">
        <v>1129</v>
      </c>
      <c r="B33" s="3373"/>
      <c r="C33" s="3373"/>
      <c r="D33" s="3374"/>
      <c r="E33" s="3375"/>
      <c r="F33" s="3375"/>
      <c r="G33" s="3375"/>
    </row>
    <row r="34" spans="1:7" hidden="1">
      <c r="A34" s="1322">
        <v>1</v>
      </c>
      <c r="B34" s="1319" t="s">
        <v>1130</v>
      </c>
      <c r="C34" s="1319"/>
      <c r="D34" s="1319"/>
      <c r="E34" s="3376"/>
      <c r="F34" s="3376"/>
      <c r="G34" s="3376"/>
    </row>
    <row r="35" spans="1:7" hidden="1">
      <c r="A35" s="1322">
        <v>2</v>
      </c>
      <c r="B35" s="1319" t="s">
        <v>1131</v>
      </c>
      <c r="C35" s="1319"/>
      <c r="D35" s="1319"/>
      <c r="E35" s="3376"/>
      <c r="F35" s="3376"/>
      <c r="G35" s="3376"/>
    </row>
    <row r="36" spans="1:7" hidden="1">
      <c r="A36" s="1322">
        <v>3</v>
      </c>
      <c r="B36" s="1319" t="s">
        <v>1132</v>
      </c>
      <c r="C36" s="1319"/>
      <c r="D36" s="1319"/>
      <c r="E36" s="3376"/>
      <c r="F36" s="3376"/>
      <c r="G36" s="3376"/>
    </row>
    <row r="37" spans="1:7" hidden="1">
      <c r="A37" s="1322">
        <v>4</v>
      </c>
      <c r="B37" s="1319" t="s">
        <v>1133</v>
      </c>
      <c r="C37" s="1319"/>
      <c r="D37" s="1319"/>
      <c r="E37" s="3376"/>
      <c r="F37" s="3376"/>
      <c r="G37" s="3376"/>
    </row>
    <row r="38" spans="1:7" hidden="1">
      <c r="A38" s="3372" t="s">
        <v>1134</v>
      </c>
      <c r="B38" s="3373"/>
      <c r="C38" s="3373"/>
      <c r="D38" s="3374"/>
      <c r="E38" s="3375"/>
      <c r="F38" s="3375"/>
      <c r="G38" s="33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2521</v>
      </c>
      <c r="C1" s="1628" t="s">
        <v>2522</v>
      </c>
      <c r="D1" s="1615"/>
      <c r="E1" s="2572"/>
      <c r="F1" s="2573" t="s">
        <v>2523</v>
      </c>
      <c r="G1" s="1625" t="s">
        <v>2524</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2" customFormat="1" ht="28.5" customHeight="1" thickTop="1">
      <c r="A2" s="1611" t="s">
        <v>1392</v>
      </c>
      <c r="B2" s="1412" t="e">
        <f ca="1">IF(C2="——",ROUND(C49*D3/10000,0),ROUND(C49*D3/10000,0)-D2)</f>
        <v>#DIV/0!</v>
      </c>
      <c r="C2" s="2575"/>
      <c r="D2" s="1359" t="e">
        <f ca="1">SUMIF(INDIRECT("'"&amp;F2&amp;"'"&amp;"!A:A"),"承租人权益价值",INDIRECT("'"&amp;F2&amp;"'"&amp;"!c:c"))</f>
        <v>#REF!</v>
      </c>
      <c r="E2" s="2576" t="s">
        <v>2525</v>
      </c>
      <c r="F2" s="2577"/>
      <c r="G2" s="1118"/>
      <c r="H2" s="1118"/>
      <c r="I2" s="1118"/>
      <c r="J2" s="1118"/>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1393</v>
      </c>
      <c r="B3" s="398" t="e">
        <f ca="1">IF(C2="——",C49,ROUND(B2*10000/D3,0))</f>
        <v>#DIV/0!</v>
      </c>
      <c r="C3" s="399" t="s">
        <v>2526</v>
      </c>
      <c r="D3" s="398">
        <f>IF(D1="",'数据-汇总表'!E3,SUMIF('数据-汇总表'!$C19:$C33,D1,'数据-汇总表'!$E19:$E33))</f>
        <v>17329.439999999999</v>
      </c>
      <c r="E3" s="1118"/>
      <c r="F3" s="2584"/>
      <c r="G3" s="1118"/>
      <c r="H3" s="1118"/>
      <c r="I3" s="1118"/>
      <c r="J3" s="1118"/>
      <c r="K3" s="2578"/>
      <c r="L3" s="2579"/>
      <c r="M3" s="2580"/>
      <c r="N3" s="2580"/>
      <c r="O3" s="2580"/>
      <c r="P3" s="2581"/>
      <c r="Q3" s="2582"/>
      <c r="R3" s="2582"/>
      <c r="S3" s="2582"/>
      <c r="T3" s="2582"/>
      <c r="U3" s="2582"/>
      <c r="V3" s="2582"/>
      <c r="W3" s="2582"/>
      <c r="X3" s="2582"/>
      <c r="Y3" s="2582"/>
      <c r="Z3" s="2582"/>
      <c r="AA3" s="2582"/>
      <c r="AB3" s="2582"/>
      <c r="AC3" s="1276"/>
    </row>
    <row r="4" spans="1:29" ht="15">
      <c r="A4" s="400" t="s">
        <v>2527</v>
      </c>
      <c r="B4" s="401"/>
      <c r="C4" s="3309" t="s">
        <v>2528</v>
      </c>
      <c r="D4" s="3310"/>
      <c r="E4" s="3311" t="s">
        <v>2529</v>
      </c>
      <c r="F4" s="3312"/>
      <c r="G4" s="3309" t="s">
        <v>2530</v>
      </c>
      <c r="H4" s="3310"/>
      <c r="I4" s="3309" t="s">
        <v>2531</v>
      </c>
      <c r="J4" s="3310"/>
      <c r="K4" s="2585" t="s">
        <v>2532</v>
      </c>
      <c r="L4" s="1124"/>
      <c r="M4" s="1125"/>
      <c r="N4" s="1125"/>
      <c r="O4" s="1125"/>
      <c r="P4" s="3346" t="s">
        <v>2533</v>
      </c>
      <c r="Q4" s="3347"/>
      <c r="R4" s="3350" t="s">
        <v>2529</v>
      </c>
      <c r="S4" s="3351"/>
      <c r="T4" s="3350" t="s">
        <v>2530</v>
      </c>
      <c r="U4" s="3351"/>
      <c r="V4" s="3326" t="s">
        <v>2531</v>
      </c>
      <c r="W4" s="3326"/>
      <c r="X4" s="1807"/>
      <c r="Y4" s="3350" t="s">
        <v>2533</v>
      </c>
      <c r="Z4" s="3351"/>
      <c r="AA4" s="3345" t="s">
        <v>2529</v>
      </c>
      <c r="AB4" s="3345" t="s">
        <v>2530</v>
      </c>
      <c r="AC4" s="3345" t="s">
        <v>2531</v>
      </c>
    </row>
    <row r="5" spans="1:29" ht="15">
      <c r="A5" s="403"/>
      <c r="B5" s="404"/>
      <c r="C5" s="3356" t="s">
        <v>2534</v>
      </c>
      <c r="D5" s="3355"/>
      <c r="E5" s="3394" t="s">
        <v>2535</v>
      </c>
      <c r="F5" s="3361"/>
      <c r="G5" s="3356" t="s">
        <v>2536</v>
      </c>
      <c r="H5" s="3355"/>
      <c r="I5" s="3356" t="s">
        <v>2537</v>
      </c>
      <c r="J5" s="3355"/>
      <c r="K5" s="2586"/>
      <c r="L5" s="1124"/>
      <c r="M5" s="1125"/>
      <c r="N5" s="1125"/>
      <c r="O5" s="1125"/>
      <c r="P5" s="3348"/>
      <c r="Q5" s="3316"/>
      <c r="R5" s="3321"/>
      <c r="S5" s="3322"/>
      <c r="T5" s="3321"/>
      <c r="U5" s="3322"/>
      <c r="V5" s="3326"/>
      <c r="W5" s="3326"/>
      <c r="X5" s="1807"/>
      <c r="Y5" s="3321"/>
      <c r="Z5" s="3322"/>
      <c r="AA5" s="3338"/>
      <c r="AB5" s="3338"/>
      <c r="AC5" s="3338"/>
    </row>
    <row r="6" spans="1:29" ht="15.75" thickBot="1">
      <c r="A6" s="405"/>
      <c r="B6" s="406"/>
      <c r="C6" s="3357" t="s">
        <v>2538</v>
      </c>
      <c r="D6" s="3353"/>
      <c r="E6" s="3393" t="s">
        <v>2538</v>
      </c>
      <c r="F6" s="3359"/>
      <c r="G6" s="3357" t="s">
        <v>2538</v>
      </c>
      <c r="H6" s="3353"/>
      <c r="I6" s="3357" t="s">
        <v>2538</v>
      </c>
      <c r="J6" s="3353"/>
      <c r="K6" s="2586" t="s">
        <v>2539</v>
      </c>
      <c r="L6" s="1124"/>
      <c r="M6" s="1125"/>
      <c r="N6" s="1125"/>
      <c r="O6" s="1125"/>
      <c r="P6" s="3349"/>
      <c r="Q6" s="3318"/>
      <c r="R6" s="3321"/>
      <c r="S6" s="3322"/>
      <c r="T6" s="3323"/>
      <c r="U6" s="3324"/>
      <c r="V6" s="3326"/>
      <c r="W6" s="3326"/>
      <c r="X6" s="1807"/>
      <c r="Y6" s="3323"/>
      <c r="Z6" s="3324"/>
      <c r="AA6" s="3339"/>
      <c r="AB6" s="3339"/>
      <c r="AC6" s="3339"/>
    </row>
    <row r="7" spans="1:29" s="116" customFormat="1" ht="15.75" thickBot="1">
      <c r="A7" s="407" t="s">
        <v>2540</v>
      </c>
      <c r="B7" s="408"/>
      <c r="C7" s="409">
        <f>'数据-取费表'!B2</f>
        <v>43185</v>
      </c>
      <c r="D7" s="410">
        <v>100</v>
      </c>
      <c r="E7" s="411"/>
      <c r="F7" s="412">
        <f>SUMIF(58:58,YEAR(E7)&amp;"-"&amp;MONTH(E7),59:59)</f>
        <v>0</v>
      </c>
      <c r="G7" s="411"/>
      <c r="H7" s="410">
        <f>SUMIF(58:58,YEAR(G7)&amp;"-"&amp;MONTH(G7),59:59)</f>
        <v>0</v>
      </c>
      <c r="I7" s="411"/>
      <c r="J7" s="410">
        <f>SUMIF(58:58,YEAR(I7)&amp;"-"&amp;MONTH(I7),59:59)</f>
        <v>0</v>
      </c>
      <c r="K7" s="2587"/>
      <c r="L7" s="1126"/>
      <c r="M7" s="1127"/>
      <c r="N7" s="1127"/>
      <c r="O7" s="1127"/>
      <c r="P7" s="3333" t="s">
        <v>2541</v>
      </c>
      <c r="Q7" s="3334"/>
      <c r="R7" s="768" t="s">
        <v>23</v>
      </c>
      <c r="S7" s="769">
        <f t="shared" ref="S7:S15" si="0">F7</f>
        <v>0</v>
      </c>
      <c r="T7" s="768" t="s">
        <v>23</v>
      </c>
      <c r="U7" s="769">
        <f t="shared" ref="U7:U15" si="1">H7</f>
        <v>0</v>
      </c>
      <c r="V7" s="768" t="s">
        <v>23</v>
      </c>
      <c r="W7" s="769">
        <f t="shared" ref="W7:W15" si="2">J7</f>
        <v>0</v>
      </c>
      <c r="X7" s="770"/>
      <c r="Y7" s="3333" t="s">
        <v>2541</v>
      </c>
      <c r="Z7" s="3332"/>
      <c r="AA7" s="771" t="e">
        <f>D7/F7</f>
        <v>#DIV/0!</v>
      </c>
      <c r="AB7" s="771" t="e">
        <f>D7/H7</f>
        <v>#DIV/0!</v>
      </c>
      <c r="AC7" s="771" t="e">
        <f>D7/J7</f>
        <v>#DIV/0!</v>
      </c>
    </row>
    <row r="8" spans="1:29" s="116" customFormat="1" ht="15.75" thickBot="1">
      <c r="A8" s="407" t="s">
        <v>2542</v>
      </c>
      <c r="B8" s="408"/>
      <c r="C8" s="413" t="s">
        <v>2543</v>
      </c>
      <c r="D8" s="410">
        <v>100</v>
      </c>
      <c r="E8" s="2588"/>
      <c r="F8" s="412">
        <f>SUMIF(61:61,E8,62:62)-SUMIF(61:61,C8,62:62)+100</f>
        <v>0</v>
      </c>
      <c r="G8" s="413"/>
      <c r="H8" s="410">
        <f>SUMIF(61:61,G8,62:62)-SUMIF(61:61,C8,62:62)+100</f>
        <v>0</v>
      </c>
      <c r="I8" s="2588"/>
      <c r="J8" s="410">
        <f>SUMIF(61:61,I8,62:62)-SUMIF(61:61,C8,62:62)+100</f>
        <v>0</v>
      </c>
      <c r="K8" s="2587"/>
      <c r="L8" s="1126"/>
      <c r="M8" s="1127"/>
      <c r="N8" s="1127"/>
      <c r="O8" s="1127"/>
      <c r="P8" s="3333" t="s">
        <v>2544</v>
      </c>
      <c r="Q8" s="3332"/>
      <c r="R8" s="768" t="s">
        <v>23</v>
      </c>
      <c r="S8" s="769">
        <f t="shared" si="0"/>
        <v>0</v>
      </c>
      <c r="T8" s="768" t="s">
        <v>23</v>
      </c>
      <c r="U8" s="769">
        <f t="shared" si="1"/>
        <v>0</v>
      </c>
      <c r="V8" s="768" t="s">
        <v>23</v>
      </c>
      <c r="W8" s="769">
        <f t="shared" si="2"/>
        <v>0</v>
      </c>
      <c r="X8" s="770"/>
      <c r="Y8" s="3333" t="s">
        <v>2544</v>
      </c>
      <c r="Z8" s="3332"/>
      <c r="AA8" s="771" t="e">
        <f t="shared" ref="AA8:AA19" si="3">D8/F8</f>
        <v>#DIV/0!</v>
      </c>
      <c r="AB8" s="771" t="e">
        <f t="shared" ref="AB8:AB19" si="4">D8/H8</f>
        <v>#DIV/0!</v>
      </c>
      <c r="AC8" s="771"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87"/>
      <c r="L9" s="1126"/>
      <c r="M9" s="1127"/>
      <c r="N9" s="1127"/>
      <c r="O9" s="1127"/>
      <c r="P9" s="3291"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291"/>
      <c r="Q10" s="1789" t="str">
        <f t="shared" si="6"/>
        <v>土地使用年限（年）</v>
      </c>
      <c r="R10" s="768" t="s">
        <v>17</v>
      </c>
      <c r="S10" s="769">
        <f t="shared" si="0"/>
        <v>100</v>
      </c>
      <c r="T10" s="768" t="s">
        <v>17</v>
      </c>
      <c r="U10" s="769">
        <f t="shared" si="1"/>
        <v>100</v>
      </c>
      <c r="V10" s="768" t="s">
        <v>17</v>
      </c>
      <c r="W10" s="769">
        <f t="shared" si="2"/>
        <v>100</v>
      </c>
      <c r="X10" s="770"/>
      <c r="Y10" s="3120"/>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291"/>
      <c r="Q11" s="1789" t="str">
        <f t="shared" si="6"/>
        <v>容积率</v>
      </c>
      <c r="R11" s="768" t="s">
        <v>21</v>
      </c>
      <c r="S11" s="769" t="e">
        <f t="shared" si="0"/>
        <v>#N/A</v>
      </c>
      <c r="T11" s="768" t="s">
        <v>21</v>
      </c>
      <c r="U11" s="769" t="e">
        <f t="shared" si="1"/>
        <v>#N/A</v>
      </c>
      <c r="V11" s="768" t="s">
        <v>21</v>
      </c>
      <c r="W11" s="769" t="e">
        <f t="shared" si="2"/>
        <v>#N/A</v>
      </c>
      <c r="X11" s="770"/>
      <c r="Y11" s="3120"/>
      <c r="Z11" s="55" t="str">
        <f t="shared" si="7"/>
        <v>容积率</v>
      </c>
      <c r="AA11" s="771" t="e">
        <f t="shared" si="3"/>
        <v>#N/A</v>
      </c>
      <c r="AB11" s="771" t="e">
        <f t="shared" si="4"/>
        <v>#N/A</v>
      </c>
      <c r="AC11" s="771"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6"/>
      <c r="M12" s="1127"/>
      <c r="N12" s="1127"/>
      <c r="O12" s="1127"/>
      <c r="P12" s="3291"/>
      <c r="Q12" s="1789">
        <f t="shared" si="6"/>
        <v>111</v>
      </c>
      <c r="R12" s="768" t="s">
        <v>21</v>
      </c>
      <c r="S12" s="769">
        <f t="shared" si="0"/>
        <v>100</v>
      </c>
      <c r="T12" s="768" t="s">
        <v>21</v>
      </c>
      <c r="U12" s="769">
        <f t="shared" si="1"/>
        <v>100</v>
      </c>
      <c r="V12" s="768" t="s">
        <v>21</v>
      </c>
      <c r="W12" s="769">
        <f t="shared" si="2"/>
        <v>100</v>
      </c>
      <c r="X12" s="770"/>
      <c r="Y12" s="3120"/>
      <c r="Z12" s="55">
        <f t="shared" si="7"/>
        <v>111</v>
      </c>
      <c r="AA12" s="771">
        <f>D12/F12</f>
        <v>1</v>
      </c>
      <c r="AB12" s="771">
        <f>D12/H12</f>
        <v>1</v>
      </c>
      <c r="AC12" s="771">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4"/>
      <c r="M13" s="1125"/>
      <c r="N13" s="1125"/>
      <c r="O13" s="1125"/>
      <c r="P13" s="3291"/>
      <c r="Q13" s="1789">
        <f t="shared" si="6"/>
        <v>111</v>
      </c>
      <c r="R13" s="768" t="s">
        <v>21</v>
      </c>
      <c r="S13" s="769">
        <f t="shared" si="0"/>
        <v>100</v>
      </c>
      <c r="T13" s="768" t="s">
        <v>21</v>
      </c>
      <c r="U13" s="769">
        <f t="shared" si="1"/>
        <v>100</v>
      </c>
      <c r="V13" s="768" t="s">
        <v>21</v>
      </c>
      <c r="W13" s="769">
        <f t="shared" si="2"/>
        <v>100</v>
      </c>
      <c r="X13" s="770"/>
      <c r="Y13" s="3120"/>
      <c r="Z13" s="55">
        <f t="shared" si="7"/>
        <v>111</v>
      </c>
      <c r="AA13" s="771">
        <f t="shared" si="3"/>
        <v>1</v>
      </c>
      <c r="AB13" s="771">
        <f t="shared" si="4"/>
        <v>1</v>
      </c>
      <c r="AC13" s="771">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4"/>
      <c r="M14" s="1125"/>
      <c r="N14" s="1125"/>
      <c r="O14" s="1125"/>
      <c r="P14" s="3291"/>
      <c r="Q14" s="1789">
        <f t="shared" si="6"/>
        <v>111</v>
      </c>
      <c r="R14" s="768" t="s">
        <v>21</v>
      </c>
      <c r="S14" s="769">
        <f t="shared" si="0"/>
        <v>100</v>
      </c>
      <c r="T14" s="768" t="s">
        <v>21</v>
      </c>
      <c r="U14" s="769">
        <f t="shared" si="1"/>
        <v>100</v>
      </c>
      <c r="V14" s="768" t="s">
        <v>21</v>
      </c>
      <c r="W14" s="769">
        <f t="shared" si="2"/>
        <v>100</v>
      </c>
      <c r="X14" s="770"/>
      <c r="Y14" s="3120"/>
      <c r="Z14" s="55">
        <f t="shared" si="7"/>
        <v>111</v>
      </c>
      <c r="AA14" s="771">
        <f t="shared" si="3"/>
        <v>1</v>
      </c>
      <c r="AB14" s="771">
        <f t="shared" si="4"/>
        <v>1</v>
      </c>
      <c r="AC14" s="771">
        <f t="shared" si="5"/>
        <v>1</v>
      </c>
    </row>
    <row r="15" spans="1:29" ht="15">
      <c r="A15" s="439" t="s">
        <v>2551</v>
      </c>
      <c r="B15" s="68" t="s">
        <v>2084</v>
      </c>
      <c r="C15" s="259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97" t="s">
        <v>2552</v>
      </c>
      <c r="Q15" s="1804" t="str">
        <f t="shared" si="6"/>
        <v>居住社区成熟度</v>
      </c>
      <c r="R15" s="772" t="s">
        <v>21</v>
      </c>
      <c r="S15" s="773">
        <f t="shared" si="0"/>
        <v>100</v>
      </c>
      <c r="T15" s="772" t="s">
        <v>21</v>
      </c>
      <c r="U15" s="773">
        <f t="shared" si="1"/>
        <v>100</v>
      </c>
      <c r="V15" s="772" t="s">
        <v>21</v>
      </c>
      <c r="W15" s="773">
        <f t="shared" si="2"/>
        <v>100</v>
      </c>
      <c r="X15" s="1807"/>
      <c r="Y15" s="3299" t="s">
        <v>2552</v>
      </c>
      <c r="Z15" s="1808" t="str">
        <f t="shared" si="7"/>
        <v>居住社区成熟度</v>
      </c>
      <c r="AA15" s="1805">
        <f t="shared" si="3"/>
        <v>1</v>
      </c>
      <c r="AB15" s="1805">
        <f t="shared" si="4"/>
        <v>1</v>
      </c>
      <c r="AC15" s="1805">
        <f t="shared" si="5"/>
        <v>1</v>
      </c>
    </row>
    <row r="16" spans="1:29" ht="15">
      <c r="A16" s="427"/>
      <c r="B16" s="445"/>
      <c r="C16" s="446"/>
      <c r="D16" s="447"/>
      <c r="E16" s="2593"/>
      <c r="F16" s="447"/>
      <c r="G16" s="2594"/>
      <c r="H16" s="449"/>
      <c r="I16" s="2594"/>
      <c r="J16" s="447"/>
      <c r="K16" s="2595"/>
      <c r="L16" s="1134"/>
      <c r="M16" s="1125"/>
      <c r="N16" s="1125"/>
      <c r="O16" s="1125"/>
      <c r="P16" s="3298"/>
      <c r="Q16" s="1804"/>
      <c r="R16" s="772"/>
      <c r="S16" s="773"/>
      <c r="T16" s="772"/>
      <c r="U16" s="773"/>
      <c r="V16" s="772"/>
      <c r="W16" s="773"/>
      <c r="X16" s="1807"/>
      <c r="Y16" s="3300"/>
      <c r="Z16" s="1808"/>
      <c r="AA16" s="1805">
        <v>1</v>
      </c>
      <c r="AB16" s="1805">
        <v>1</v>
      </c>
      <c r="AC16" s="1805">
        <v>1</v>
      </c>
    </row>
    <row r="17" spans="1:29" ht="99.75">
      <c r="A17" s="427"/>
      <c r="B17" s="450" t="s">
        <v>2090</v>
      </c>
      <c r="C17" s="2596" t="str">
        <f>估价对象房地状况!C6</f>
        <v>估价对象周边道路状况、周边有810、910、938等多路及地铁八通线经过，综合评价交通便捷度较好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98"/>
      <c r="Q17" s="1804" t="str">
        <f>B17</f>
        <v>交通便捷度</v>
      </c>
      <c r="R17" s="772" t="s">
        <v>21</v>
      </c>
      <c r="S17" s="773">
        <f>F17</f>
        <v>100</v>
      </c>
      <c r="T17" s="772" t="s">
        <v>21</v>
      </c>
      <c r="U17" s="773">
        <f>H17</f>
        <v>100</v>
      </c>
      <c r="V17" s="772" t="s">
        <v>21</v>
      </c>
      <c r="W17" s="773">
        <f>J17</f>
        <v>100</v>
      </c>
      <c r="X17" s="1807"/>
      <c r="Y17" s="3300"/>
      <c r="Z17" s="1808" t="str">
        <f>Q17</f>
        <v>交通便捷度</v>
      </c>
      <c r="AA17" s="1805">
        <f t="shared" si="3"/>
        <v>1</v>
      </c>
      <c r="AB17" s="1805">
        <f t="shared" si="4"/>
        <v>1</v>
      </c>
      <c r="AC17" s="1805">
        <f t="shared" si="5"/>
        <v>1</v>
      </c>
    </row>
    <row r="18" spans="1:29" ht="15">
      <c r="A18" s="427"/>
      <c r="B18" s="455"/>
      <c r="C18" s="2597"/>
      <c r="D18" s="449"/>
      <c r="E18" s="2598"/>
      <c r="F18" s="449"/>
      <c r="G18" s="2599"/>
      <c r="H18" s="447"/>
      <c r="I18" s="2599"/>
      <c r="J18" s="447"/>
      <c r="K18" s="2595"/>
      <c r="L18" s="1134"/>
      <c r="M18" s="1125"/>
      <c r="N18" s="1125"/>
      <c r="O18" s="1125"/>
      <c r="P18" s="3298"/>
      <c r="Q18" s="1804"/>
      <c r="R18" s="772"/>
      <c r="S18" s="773"/>
      <c r="T18" s="772"/>
      <c r="U18" s="773"/>
      <c r="V18" s="772"/>
      <c r="W18" s="773"/>
      <c r="X18" s="1807"/>
      <c r="Y18" s="3300"/>
      <c r="Z18" s="1808"/>
      <c r="AA18" s="1805">
        <v>1</v>
      </c>
      <c r="AB18" s="1805">
        <v>1</v>
      </c>
      <c r="AC18" s="1805">
        <v>1</v>
      </c>
    </row>
    <row r="19" spans="1:29" ht="71.25">
      <c r="A19" s="427"/>
      <c r="B19" s="450" t="s">
        <v>2089</v>
      </c>
      <c r="C19" s="2596" t="str">
        <f>估价对象房地状况!C7</f>
        <v>周边有银行、购物场所、餐饮等配套设施，公共服务设施状况一般。</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98"/>
      <c r="Q19" s="1804" t="str">
        <f>B19</f>
        <v>公共配套设施</v>
      </c>
      <c r="R19" s="772" t="s">
        <v>21</v>
      </c>
      <c r="S19" s="773">
        <f>F19</f>
        <v>100</v>
      </c>
      <c r="T19" s="772" t="s">
        <v>21</v>
      </c>
      <c r="U19" s="773">
        <f>H19</f>
        <v>100</v>
      </c>
      <c r="V19" s="772" t="s">
        <v>21</v>
      </c>
      <c r="W19" s="773">
        <f>J19</f>
        <v>100</v>
      </c>
      <c r="X19" s="1807"/>
      <c r="Y19" s="3300"/>
      <c r="Z19" s="1808" t="str">
        <f>Q19</f>
        <v>公共配套设施</v>
      </c>
      <c r="AA19" s="1805">
        <f t="shared" si="3"/>
        <v>1</v>
      </c>
      <c r="AB19" s="1805">
        <f t="shared" si="4"/>
        <v>1</v>
      </c>
      <c r="AC19" s="1805">
        <f t="shared" si="5"/>
        <v>1</v>
      </c>
    </row>
    <row r="20" spans="1:29" ht="15">
      <c r="A20" s="427"/>
      <c r="B20" s="455"/>
      <c r="C20" s="446"/>
      <c r="D20" s="447"/>
      <c r="E20" s="2593"/>
      <c r="F20" s="447"/>
      <c r="G20" s="2594"/>
      <c r="H20" s="447"/>
      <c r="I20" s="2594"/>
      <c r="J20" s="447"/>
      <c r="K20" s="2595"/>
      <c r="L20" s="1134"/>
      <c r="M20" s="1125"/>
      <c r="N20" s="1125"/>
      <c r="O20" s="1125"/>
      <c r="P20" s="3298"/>
      <c r="Q20" s="1804"/>
      <c r="R20" s="772"/>
      <c r="S20" s="773"/>
      <c r="T20" s="772"/>
      <c r="U20" s="773"/>
      <c r="V20" s="772"/>
      <c r="W20" s="773"/>
      <c r="X20" s="1807"/>
      <c r="Y20" s="3300"/>
      <c r="Z20" s="1808"/>
      <c r="AA20" s="1805">
        <v>1</v>
      </c>
      <c r="AB20" s="1805">
        <v>1</v>
      </c>
      <c r="AC20" s="1805">
        <v>1</v>
      </c>
    </row>
    <row r="21" spans="1:29" ht="15">
      <c r="A21" s="427"/>
      <c r="B21" s="1378" t="s">
        <v>2091</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98"/>
      <c r="Q21" s="1804" t="str">
        <f>B21</f>
        <v>基础设施水平</v>
      </c>
      <c r="R21" s="772" t="s">
        <v>17</v>
      </c>
      <c r="S21" s="773">
        <f>F21</f>
        <v>100</v>
      </c>
      <c r="T21" s="772" t="s">
        <v>17</v>
      </c>
      <c r="U21" s="773">
        <f>H21</f>
        <v>100</v>
      </c>
      <c r="V21" s="772" t="s">
        <v>17</v>
      </c>
      <c r="W21" s="773">
        <f>J21</f>
        <v>100</v>
      </c>
      <c r="X21" s="1807"/>
      <c r="Y21" s="3300"/>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7"/>
      <c r="G22" s="2600"/>
      <c r="H22" s="447"/>
      <c r="I22" s="446"/>
      <c r="J22" s="447"/>
      <c r="K22" s="2601"/>
      <c r="L22" s="1134"/>
      <c r="M22" s="1125"/>
      <c r="N22" s="1125"/>
      <c r="O22" s="1125"/>
      <c r="P22" s="3298"/>
      <c r="Q22" s="1804"/>
      <c r="R22" s="772"/>
      <c r="S22" s="773"/>
      <c r="T22" s="772"/>
      <c r="U22" s="773"/>
      <c r="V22" s="772"/>
      <c r="W22" s="773"/>
      <c r="X22" s="1807"/>
      <c r="Y22" s="3300"/>
      <c r="Z22" s="1808"/>
      <c r="AA22" s="1805">
        <v>1</v>
      </c>
      <c r="AB22" s="1805">
        <v>1</v>
      </c>
      <c r="AC22" s="1805">
        <v>1</v>
      </c>
    </row>
    <row r="23" spans="1:29" ht="71.25">
      <c r="A23" s="427"/>
      <c r="B23" s="450" t="s">
        <v>2093</v>
      </c>
      <c r="C23" s="2596" t="str">
        <f>估价对象房地状况!C9</f>
        <v>区域自然环境：梨园主题公园；人文环境：无；综合评价环境状况一般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98"/>
      <c r="Q23" s="1804" t="str">
        <f>B23</f>
        <v>自然及人文环境</v>
      </c>
      <c r="R23" s="772" t="s">
        <v>21</v>
      </c>
      <c r="S23" s="773">
        <f>F23</f>
        <v>100</v>
      </c>
      <c r="T23" s="772" t="s">
        <v>21</v>
      </c>
      <c r="U23" s="773">
        <f>H23</f>
        <v>100</v>
      </c>
      <c r="V23" s="772" t="s">
        <v>21</v>
      </c>
      <c r="W23" s="773">
        <f>J23</f>
        <v>100</v>
      </c>
      <c r="X23" s="1807"/>
      <c r="Y23" s="3300"/>
      <c r="Z23" s="1808" t="str">
        <f>Q23</f>
        <v>自然及人文环境</v>
      </c>
      <c r="AA23" s="1805">
        <f>D23/F23</f>
        <v>1</v>
      </c>
      <c r="AB23" s="1805">
        <f>D23/H23</f>
        <v>1</v>
      </c>
      <c r="AC23" s="1805">
        <f>D23/J23</f>
        <v>1</v>
      </c>
    </row>
    <row r="24" spans="1:29" ht="15">
      <c r="A24" s="427"/>
      <c r="B24" s="455"/>
      <c r="C24" s="446"/>
      <c r="D24" s="447"/>
      <c r="E24" s="2593"/>
      <c r="F24" s="447"/>
      <c r="G24" s="2594"/>
      <c r="H24" s="447"/>
      <c r="I24" s="2594"/>
      <c r="J24" s="447"/>
      <c r="K24" s="2595"/>
      <c r="L24" s="1134"/>
      <c r="M24" s="1125"/>
      <c r="N24" s="1125"/>
      <c r="O24" s="1125"/>
      <c r="P24" s="3298"/>
      <c r="Q24" s="1804"/>
      <c r="R24" s="772"/>
      <c r="S24" s="773"/>
      <c r="T24" s="772"/>
      <c r="U24" s="773"/>
      <c r="V24" s="772"/>
      <c r="W24" s="773"/>
      <c r="X24" s="1807"/>
      <c r="Y24" s="3300"/>
      <c r="Z24" s="1808"/>
      <c r="AA24" s="1805">
        <v>1</v>
      </c>
      <c r="AB24" s="1805">
        <v>1</v>
      </c>
      <c r="AC24" s="1805">
        <v>1</v>
      </c>
    </row>
    <row r="25" spans="1:29" ht="15">
      <c r="A25" s="427"/>
      <c r="B25" s="421" t="s">
        <v>2553</v>
      </c>
      <c r="C25" s="459"/>
      <c r="D25" s="434">
        <v>100</v>
      </c>
      <c r="E25" s="2602"/>
      <c r="F25" s="434">
        <f>SUMIF(86:86,E25,87:87)-SUMIF(86:86,C25,87:87)+100</f>
        <v>100</v>
      </c>
      <c r="G25" s="2603"/>
      <c r="H25" s="434">
        <f>SUMIF(86:86,G25,87:87)-SUMIF(86:86,C25,87:87)+100</f>
        <v>100</v>
      </c>
      <c r="I25" s="2603"/>
      <c r="J25" s="434">
        <f>SUMIF(86:86,I25,87:87)-SUMIF(86:86,C25,87:87)+100</f>
        <v>100</v>
      </c>
      <c r="K25" s="425"/>
      <c r="L25" s="1134"/>
      <c r="M25" s="1125"/>
      <c r="N25" s="1125"/>
      <c r="O25" s="1125"/>
      <c r="P25" s="3298"/>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00"/>
      <c r="Z25" s="1808" t="str">
        <f>Q25</f>
        <v>楼层-1</v>
      </c>
      <c r="AA25" s="1805">
        <f t="shared" ref="AA25:AA46" si="15">D25/F25</f>
        <v>1</v>
      </c>
      <c r="AB25" s="1805">
        <f t="shared" ref="AB25:AB46" si="16">D25/H25</f>
        <v>1</v>
      </c>
      <c r="AC25" s="1805">
        <f t="shared" ref="AC25:AC46" si="17">D25/J25</f>
        <v>1</v>
      </c>
    </row>
    <row r="26" spans="1:29" ht="15">
      <c r="A26" s="427"/>
      <c r="B26" s="421" t="s">
        <v>2554</v>
      </c>
      <c r="C26" s="459"/>
      <c r="D26" s="434">
        <v>100</v>
      </c>
      <c r="E26" s="2602"/>
      <c r="F26" s="434">
        <f>SUMIF(88:88,E26,89:89)-SUMIF(88:88,C26,89:89)+100</f>
        <v>100</v>
      </c>
      <c r="G26" s="2603"/>
      <c r="H26" s="434">
        <f>SUMIF(88:88,G26,89:89)-SUMIF(88:88,C26,89:89)+100</f>
        <v>100</v>
      </c>
      <c r="I26" s="2603"/>
      <c r="J26" s="434">
        <f>SUMIF(88:88,I26,89:89)-SUMIF(88:88,C26,89:89)+100</f>
        <v>100</v>
      </c>
      <c r="K26" s="425"/>
      <c r="L26" s="1134"/>
      <c r="M26" s="1125"/>
      <c r="N26" s="1125"/>
      <c r="O26" s="1125"/>
      <c r="P26" s="3298"/>
      <c r="Q26" s="1804" t="str">
        <f t="shared" si="11"/>
        <v>朝向</v>
      </c>
      <c r="R26" s="772" t="s">
        <v>21</v>
      </c>
      <c r="S26" s="773">
        <f t="shared" si="12"/>
        <v>100</v>
      </c>
      <c r="T26" s="772" t="s">
        <v>21</v>
      </c>
      <c r="U26" s="773">
        <f t="shared" si="13"/>
        <v>100</v>
      </c>
      <c r="V26" s="772" t="s">
        <v>21</v>
      </c>
      <c r="W26" s="773">
        <f t="shared" si="14"/>
        <v>100</v>
      </c>
      <c r="X26" s="1807"/>
      <c r="Y26" s="3300"/>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26"/>
      <c r="M27" s="1127"/>
      <c r="N27" s="1127"/>
      <c r="O27" s="1127"/>
      <c r="P27" s="3298"/>
      <c r="Q27" s="1789">
        <f t="shared" si="11"/>
        <v>111</v>
      </c>
      <c r="R27" s="768" t="s">
        <v>21</v>
      </c>
      <c r="S27" s="769">
        <f t="shared" si="12"/>
        <v>100</v>
      </c>
      <c r="T27" s="768" t="s">
        <v>21</v>
      </c>
      <c r="U27" s="769">
        <f t="shared" si="13"/>
        <v>100</v>
      </c>
      <c r="V27" s="768" t="s">
        <v>21</v>
      </c>
      <c r="W27" s="769">
        <f t="shared" si="14"/>
        <v>100</v>
      </c>
      <c r="X27" s="770"/>
      <c r="Y27" s="3300"/>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4"/>
      <c r="M28" s="1125"/>
      <c r="N28" s="1125"/>
      <c r="O28" s="1125"/>
      <c r="P28" s="3298"/>
      <c r="Q28" s="1804">
        <f t="shared" si="11"/>
        <v>111</v>
      </c>
      <c r="R28" s="772" t="s">
        <v>21</v>
      </c>
      <c r="S28" s="773">
        <f t="shared" si="12"/>
        <v>100</v>
      </c>
      <c r="T28" s="772" t="s">
        <v>21</v>
      </c>
      <c r="U28" s="773">
        <f t="shared" si="13"/>
        <v>100</v>
      </c>
      <c r="V28" s="772" t="s">
        <v>21</v>
      </c>
      <c r="W28" s="773">
        <f t="shared" si="14"/>
        <v>100</v>
      </c>
      <c r="X28" s="1807"/>
      <c r="Y28" s="3300"/>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4"/>
      <c r="M29" s="1125"/>
      <c r="N29" s="1125"/>
      <c r="O29" s="1125"/>
      <c r="P29" s="3298"/>
      <c r="Q29" s="1804">
        <f t="shared" si="11"/>
        <v>111</v>
      </c>
      <c r="R29" s="772" t="s">
        <v>21</v>
      </c>
      <c r="S29" s="773">
        <f t="shared" si="12"/>
        <v>100</v>
      </c>
      <c r="T29" s="772" t="s">
        <v>21</v>
      </c>
      <c r="U29" s="773">
        <f t="shared" si="13"/>
        <v>100</v>
      </c>
      <c r="V29" s="772" t="s">
        <v>21</v>
      </c>
      <c r="W29" s="773">
        <f t="shared" si="14"/>
        <v>100</v>
      </c>
      <c r="X29" s="1807"/>
      <c r="Y29" s="3300"/>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4"/>
      <c r="M30" s="1125"/>
      <c r="N30" s="1125"/>
      <c r="O30" s="1125"/>
      <c r="P30" s="3298"/>
      <c r="Q30" s="1804">
        <f t="shared" si="11"/>
        <v>111</v>
      </c>
      <c r="R30" s="772" t="s">
        <v>21</v>
      </c>
      <c r="S30" s="773">
        <f t="shared" si="12"/>
        <v>100</v>
      </c>
      <c r="T30" s="772" t="s">
        <v>21</v>
      </c>
      <c r="U30" s="773">
        <f t="shared" si="13"/>
        <v>100</v>
      </c>
      <c r="V30" s="772" t="s">
        <v>21</v>
      </c>
      <c r="W30" s="773">
        <f t="shared" si="14"/>
        <v>100</v>
      </c>
      <c r="X30" s="1807"/>
      <c r="Y30" s="3300"/>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4"/>
      <c r="M31" s="1125"/>
      <c r="N31" s="1125"/>
      <c r="O31" s="1125"/>
      <c r="P31" s="3298"/>
      <c r="Q31" s="1804">
        <f t="shared" si="11"/>
        <v>111</v>
      </c>
      <c r="R31" s="772" t="s">
        <v>21</v>
      </c>
      <c r="S31" s="773">
        <f t="shared" si="12"/>
        <v>100</v>
      </c>
      <c r="T31" s="772" t="s">
        <v>21</v>
      </c>
      <c r="U31" s="773">
        <f t="shared" si="13"/>
        <v>100</v>
      </c>
      <c r="V31" s="772" t="s">
        <v>21</v>
      </c>
      <c r="W31" s="773">
        <f t="shared" si="14"/>
        <v>100</v>
      </c>
      <c r="X31" s="1807"/>
      <c r="Y31" s="3300"/>
      <c r="Z31" s="1808">
        <f t="shared" si="18"/>
        <v>111</v>
      </c>
      <c r="AA31" s="1805">
        <f t="shared" si="15"/>
        <v>1</v>
      </c>
      <c r="AB31" s="1805">
        <f t="shared" si="16"/>
        <v>1</v>
      </c>
      <c r="AC31" s="1805">
        <f t="shared" si="17"/>
        <v>1</v>
      </c>
    </row>
    <row r="32" spans="1:29" ht="15">
      <c r="A32" s="439" t="s">
        <v>2555</v>
      </c>
      <c r="B32" s="70" t="s">
        <v>2556</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4"/>
      <c r="M32" s="1125"/>
      <c r="N32" s="1125"/>
      <c r="O32" s="1125"/>
      <c r="P32" s="3301" t="s">
        <v>2557</v>
      </c>
      <c r="Q32" s="1804" t="str">
        <f t="shared" si="11"/>
        <v>建筑类型</v>
      </c>
      <c r="R32" s="772" t="s">
        <v>21</v>
      </c>
      <c r="S32" s="773">
        <f t="shared" si="12"/>
        <v>100</v>
      </c>
      <c r="T32" s="772" t="s">
        <v>21</v>
      </c>
      <c r="U32" s="773">
        <f t="shared" si="13"/>
        <v>100</v>
      </c>
      <c r="V32" s="772" t="s">
        <v>21</v>
      </c>
      <c r="W32" s="773">
        <f t="shared" si="14"/>
        <v>100</v>
      </c>
      <c r="X32" s="1807"/>
      <c r="Y32" s="3304" t="s">
        <v>2557</v>
      </c>
      <c r="Z32" s="1808" t="str">
        <f t="shared" si="18"/>
        <v>建筑类型</v>
      </c>
      <c r="AA32" s="1805">
        <f t="shared" si="15"/>
        <v>1</v>
      </c>
      <c r="AB32" s="1805">
        <f t="shared" si="16"/>
        <v>1</v>
      </c>
      <c r="AC32" s="1805">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2"/>
      <c r="M33" s="1135"/>
      <c r="N33" s="1135"/>
      <c r="O33" s="1135"/>
      <c r="P33" s="3302"/>
      <c r="Q33" s="774" t="str">
        <f t="shared" si="11"/>
        <v>项目建筑规模</v>
      </c>
      <c r="R33" s="775" t="s">
        <v>21</v>
      </c>
      <c r="S33" s="776" t="e">
        <f t="shared" si="12"/>
        <v>#N/A</v>
      </c>
      <c r="T33" s="775" t="s">
        <v>21</v>
      </c>
      <c r="U33" s="776" t="e">
        <f t="shared" si="13"/>
        <v>#N/A</v>
      </c>
      <c r="V33" s="775" t="s">
        <v>21</v>
      </c>
      <c r="W33" s="776" t="e">
        <f t="shared" si="14"/>
        <v>#N/A</v>
      </c>
      <c r="X33" s="777"/>
      <c r="Y33" s="3304"/>
      <c r="Z33" s="778" t="str">
        <f t="shared" si="18"/>
        <v>项目建筑规模</v>
      </c>
      <c r="AA33" s="1805" t="e">
        <f t="shared" si="15"/>
        <v>#N/A</v>
      </c>
      <c r="AB33" s="1805" t="e">
        <f t="shared" si="16"/>
        <v>#N/A</v>
      </c>
      <c r="AC33" s="1805" t="e">
        <f t="shared" si="17"/>
        <v>#N/A</v>
      </c>
    </row>
    <row r="34" spans="1:29" ht="15">
      <c r="A34" s="471"/>
      <c r="B34" s="421" t="s">
        <v>2559</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4"/>
      <c r="M34" s="1125"/>
      <c r="N34" s="1125"/>
      <c r="O34" s="1125"/>
      <c r="P34" s="3302"/>
      <c r="Q34" s="1804" t="str">
        <f t="shared" si="11"/>
        <v>建筑结构</v>
      </c>
      <c r="R34" s="772" t="s">
        <v>21</v>
      </c>
      <c r="S34" s="773">
        <f t="shared" si="12"/>
        <v>100</v>
      </c>
      <c r="T34" s="772" t="s">
        <v>21</v>
      </c>
      <c r="U34" s="773">
        <f t="shared" si="13"/>
        <v>100</v>
      </c>
      <c r="V34" s="772" t="s">
        <v>21</v>
      </c>
      <c r="W34" s="773">
        <f t="shared" si="14"/>
        <v>100</v>
      </c>
      <c r="X34" s="1807"/>
      <c r="Y34" s="3304"/>
      <c r="Z34" s="1808" t="str">
        <f t="shared" si="18"/>
        <v>建筑结构</v>
      </c>
      <c r="AA34" s="1805">
        <f t="shared" si="15"/>
        <v>1</v>
      </c>
      <c r="AB34" s="1805">
        <f t="shared" si="16"/>
        <v>1</v>
      </c>
      <c r="AC34" s="1805">
        <f t="shared" si="17"/>
        <v>1</v>
      </c>
    </row>
    <row r="35" spans="1:29" ht="15">
      <c r="A35" s="471"/>
      <c r="B35" s="421" t="s">
        <v>2560</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4"/>
      <c r="M35" s="1125"/>
      <c r="N35" s="1125"/>
      <c r="O35" s="1125"/>
      <c r="P35" s="3302"/>
      <c r="Q35" s="1804" t="str">
        <f t="shared" si="11"/>
        <v>建筑品质</v>
      </c>
      <c r="R35" s="772" t="s">
        <v>21</v>
      </c>
      <c r="S35" s="773">
        <f t="shared" si="12"/>
        <v>100</v>
      </c>
      <c r="T35" s="772" t="s">
        <v>21</v>
      </c>
      <c r="U35" s="773">
        <f t="shared" si="13"/>
        <v>100</v>
      </c>
      <c r="V35" s="772" t="s">
        <v>21</v>
      </c>
      <c r="W35" s="773">
        <f t="shared" si="14"/>
        <v>100</v>
      </c>
      <c r="X35" s="1807"/>
      <c r="Y35" s="3304"/>
      <c r="Z35" s="1808" t="str">
        <f t="shared" si="18"/>
        <v>建筑品质</v>
      </c>
      <c r="AA35" s="1805">
        <f t="shared" si="15"/>
        <v>1</v>
      </c>
      <c r="AB35" s="1805">
        <f t="shared" si="16"/>
        <v>1</v>
      </c>
      <c r="AC35" s="1805">
        <f t="shared" si="17"/>
        <v>1</v>
      </c>
    </row>
    <row r="36" spans="1:29" ht="15">
      <c r="A36" s="471"/>
      <c r="B36" s="421" t="s">
        <v>2561</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4"/>
      <c r="M36" s="1125"/>
      <c r="N36" s="1125"/>
      <c r="O36" s="1125"/>
      <c r="P36" s="3302"/>
      <c r="Q36" s="1804" t="str">
        <f t="shared" si="11"/>
        <v>公共部分装修</v>
      </c>
      <c r="R36" s="772" t="s">
        <v>21</v>
      </c>
      <c r="S36" s="773">
        <f t="shared" si="12"/>
        <v>100</v>
      </c>
      <c r="T36" s="772" t="s">
        <v>21</v>
      </c>
      <c r="U36" s="773">
        <f t="shared" si="13"/>
        <v>100</v>
      </c>
      <c r="V36" s="772" t="s">
        <v>21</v>
      </c>
      <c r="W36" s="773">
        <f t="shared" si="14"/>
        <v>100</v>
      </c>
      <c r="X36" s="1807"/>
      <c r="Y36" s="3304"/>
      <c r="Z36" s="1808" t="str">
        <f t="shared" si="18"/>
        <v>公共部分装修</v>
      </c>
      <c r="AA36" s="1805">
        <f t="shared" si="15"/>
        <v>1</v>
      </c>
      <c r="AB36" s="1805">
        <f t="shared" si="16"/>
        <v>1</v>
      </c>
      <c r="AC36" s="1805">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02"/>
      <c r="Q37" s="1789" t="str">
        <f t="shared" si="11"/>
        <v>成新度</v>
      </c>
      <c r="R37" s="768" t="s">
        <v>21</v>
      </c>
      <c r="S37" s="769" t="e">
        <f t="shared" si="12"/>
        <v>#N/A</v>
      </c>
      <c r="T37" s="768" t="s">
        <v>21</v>
      </c>
      <c r="U37" s="769" t="e">
        <f t="shared" si="13"/>
        <v>#N/A</v>
      </c>
      <c r="V37" s="768" t="s">
        <v>21</v>
      </c>
      <c r="W37" s="769" t="e">
        <f t="shared" si="14"/>
        <v>#N/A</v>
      </c>
      <c r="X37" s="770"/>
      <c r="Y37" s="3304"/>
      <c r="Z37" s="55" t="str">
        <f t="shared" si="18"/>
        <v>成新度</v>
      </c>
      <c r="AA37" s="771" t="e">
        <f t="shared" si="15"/>
        <v>#N/A</v>
      </c>
      <c r="AB37" s="771" t="e">
        <f t="shared" si="16"/>
        <v>#N/A</v>
      </c>
      <c r="AC37" s="771" t="e">
        <f t="shared" si="17"/>
        <v>#N/A</v>
      </c>
    </row>
    <row r="38" spans="1:29" ht="15">
      <c r="A38" s="471"/>
      <c r="B38" s="421" t="s">
        <v>2563</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4"/>
      <c r="M38" s="1125"/>
      <c r="N38" s="1125"/>
      <c r="O38" s="1125"/>
      <c r="P38" s="3302" t="s">
        <v>2557</v>
      </c>
      <c r="Q38" s="1804" t="str">
        <f t="shared" si="11"/>
        <v>物业管理</v>
      </c>
      <c r="R38" s="772" t="s">
        <v>21</v>
      </c>
      <c r="S38" s="773">
        <f t="shared" si="12"/>
        <v>100</v>
      </c>
      <c r="T38" s="772" t="s">
        <v>21</v>
      </c>
      <c r="U38" s="773">
        <f t="shared" si="13"/>
        <v>100</v>
      </c>
      <c r="V38" s="772" t="s">
        <v>21</v>
      </c>
      <c r="W38" s="773">
        <f t="shared" si="14"/>
        <v>100</v>
      </c>
      <c r="X38" s="1807"/>
      <c r="Y38" s="3304" t="s">
        <v>2557</v>
      </c>
      <c r="Z38" s="1808" t="str">
        <f t="shared" si="18"/>
        <v>物业管理</v>
      </c>
      <c r="AA38" s="1805">
        <f t="shared" si="15"/>
        <v>1</v>
      </c>
      <c r="AB38" s="1805">
        <f t="shared" si="16"/>
        <v>1</v>
      </c>
      <c r="AC38" s="1805">
        <f t="shared" si="17"/>
        <v>1</v>
      </c>
    </row>
    <row r="39" spans="1:29" ht="15">
      <c r="A39" s="471"/>
      <c r="B39" s="421" t="s">
        <v>2564</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4"/>
      <c r="M39" s="1125"/>
      <c r="N39" s="1125"/>
      <c r="O39" s="1125"/>
      <c r="P39" s="3302"/>
      <c r="Q39" s="1804" t="str">
        <f t="shared" si="11"/>
        <v>市政基础设施</v>
      </c>
      <c r="R39" s="772" t="s">
        <v>21</v>
      </c>
      <c r="S39" s="773">
        <f t="shared" si="12"/>
        <v>100</v>
      </c>
      <c r="T39" s="772" t="s">
        <v>21</v>
      </c>
      <c r="U39" s="773">
        <f t="shared" si="13"/>
        <v>100</v>
      </c>
      <c r="V39" s="772" t="s">
        <v>21</v>
      </c>
      <c r="W39" s="773">
        <f t="shared" si="14"/>
        <v>100</v>
      </c>
      <c r="X39" s="1807"/>
      <c r="Y39" s="3304"/>
      <c r="Z39" s="1808" t="str">
        <f t="shared" si="18"/>
        <v>市政基础设施</v>
      </c>
      <c r="AA39" s="1805">
        <f t="shared" si="15"/>
        <v>1</v>
      </c>
      <c r="AB39" s="1805">
        <f t="shared" si="16"/>
        <v>1</v>
      </c>
      <c r="AC39" s="1805">
        <f t="shared" si="17"/>
        <v>1</v>
      </c>
    </row>
    <row r="40" spans="1:29" ht="15">
      <c r="A40" s="471"/>
      <c r="B40" s="421" t="s">
        <v>2565</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4"/>
      <c r="M40" s="1125"/>
      <c r="N40" s="1125"/>
      <c r="O40" s="1125"/>
      <c r="P40" s="3302"/>
      <c r="Q40" s="1804" t="str">
        <f t="shared" si="11"/>
        <v>房型</v>
      </c>
      <c r="R40" s="772" t="s">
        <v>21</v>
      </c>
      <c r="S40" s="773">
        <f t="shared" si="12"/>
        <v>100</v>
      </c>
      <c r="T40" s="772" t="s">
        <v>21</v>
      </c>
      <c r="U40" s="773">
        <f t="shared" si="13"/>
        <v>100</v>
      </c>
      <c r="V40" s="772" t="s">
        <v>21</v>
      </c>
      <c r="W40" s="773">
        <f t="shared" si="14"/>
        <v>100</v>
      </c>
      <c r="X40" s="1807"/>
      <c r="Y40" s="3304"/>
      <c r="Z40" s="1808" t="str">
        <f t="shared" si="18"/>
        <v>房型</v>
      </c>
      <c r="AA40" s="1805">
        <f t="shared" si="15"/>
        <v>1</v>
      </c>
      <c r="AB40" s="1805">
        <f t="shared" si="16"/>
        <v>1</v>
      </c>
      <c r="AC40" s="1805">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2"/>
      <c r="M41" s="1135"/>
      <c r="N41" s="1135"/>
      <c r="O41" s="1135"/>
      <c r="P41" s="3302"/>
      <c r="Q41" s="774" t="str">
        <f t="shared" si="11"/>
        <v>单套/主力户型建筑面积</v>
      </c>
      <c r="R41" s="775" t="s">
        <v>21</v>
      </c>
      <c r="S41" s="776">
        <f t="shared" si="12"/>
        <v>100</v>
      </c>
      <c r="T41" s="775" t="s">
        <v>21</v>
      </c>
      <c r="U41" s="776">
        <f t="shared" si="13"/>
        <v>100</v>
      </c>
      <c r="V41" s="775" t="s">
        <v>21</v>
      </c>
      <c r="W41" s="776">
        <f t="shared" si="14"/>
        <v>100</v>
      </c>
      <c r="X41" s="777"/>
      <c r="Y41" s="3304"/>
      <c r="Z41" s="778" t="str">
        <f t="shared" si="18"/>
        <v>单套/主力户型建筑面积</v>
      </c>
      <c r="AA41" s="1805">
        <f t="shared" si="15"/>
        <v>1</v>
      </c>
      <c r="AB41" s="1805">
        <f t="shared" si="16"/>
        <v>1</v>
      </c>
      <c r="AC41" s="1805">
        <f t="shared" si="17"/>
        <v>1</v>
      </c>
    </row>
    <row r="42" spans="1:29" ht="15">
      <c r="A42" s="471"/>
      <c r="B42" s="421" t="s">
        <v>2567</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4"/>
      <c r="M42" s="1125"/>
      <c r="N42" s="1125"/>
      <c r="O42" s="1125"/>
      <c r="P42" s="3302"/>
      <c r="Q42" s="1804" t="str">
        <f t="shared" si="11"/>
        <v>内部装修</v>
      </c>
      <c r="R42" s="772" t="s">
        <v>21</v>
      </c>
      <c r="S42" s="773">
        <f t="shared" si="12"/>
        <v>100</v>
      </c>
      <c r="T42" s="772" t="s">
        <v>21</v>
      </c>
      <c r="U42" s="773">
        <f t="shared" si="13"/>
        <v>100</v>
      </c>
      <c r="V42" s="772" t="s">
        <v>21</v>
      </c>
      <c r="W42" s="773">
        <f t="shared" si="14"/>
        <v>100</v>
      </c>
      <c r="X42" s="1807"/>
      <c r="Y42" s="3304"/>
      <c r="Z42" s="1808" t="str">
        <f t="shared" si="18"/>
        <v>内部装修</v>
      </c>
      <c r="AA42" s="1805">
        <f t="shared" si="15"/>
        <v>1</v>
      </c>
      <c r="AB42" s="1805">
        <f t="shared" si="16"/>
        <v>1</v>
      </c>
      <c r="AC42" s="1805">
        <f t="shared" si="17"/>
        <v>1</v>
      </c>
    </row>
    <row r="43" spans="1:29" ht="15">
      <c r="A43" s="471"/>
      <c r="B43" s="421" t="s">
        <v>2568</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4"/>
      <c r="M43" s="1125"/>
      <c r="N43" s="1125"/>
      <c r="O43" s="1125"/>
      <c r="P43" s="3302"/>
      <c r="Q43" s="1804" t="str">
        <f t="shared" si="11"/>
        <v>内部装修维护情况</v>
      </c>
      <c r="R43" s="772" t="s">
        <v>21</v>
      </c>
      <c r="S43" s="773">
        <f t="shared" si="12"/>
        <v>100</v>
      </c>
      <c r="T43" s="772" t="s">
        <v>21</v>
      </c>
      <c r="U43" s="773">
        <f t="shared" si="13"/>
        <v>100</v>
      </c>
      <c r="V43" s="772" t="s">
        <v>21</v>
      </c>
      <c r="W43" s="773">
        <f t="shared" si="14"/>
        <v>100</v>
      </c>
      <c r="X43" s="1807"/>
      <c r="Y43" s="3304"/>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6"/>
      <c r="M44" s="1127"/>
      <c r="N44" s="1127"/>
      <c r="O44" s="1127"/>
      <c r="P44" s="3302"/>
      <c r="Q44" s="1789">
        <f t="shared" si="11"/>
        <v>111</v>
      </c>
      <c r="R44" s="768" t="s">
        <v>21</v>
      </c>
      <c r="S44" s="769">
        <f t="shared" si="12"/>
        <v>100</v>
      </c>
      <c r="T44" s="768" t="s">
        <v>21</v>
      </c>
      <c r="U44" s="769">
        <f t="shared" si="13"/>
        <v>100</v>
      </c>
      <c r="V44" s="768" t="s">
        <v>21</v>
      </c>
      <c r="W44" s="769">
        <f t="shared" si="14"/>
        <v>100</v>
      </c>
      <c r="X44" s="770"/>
      <c r="Y44" s="3304"/>
      <c r="Z44" s="55">
        <f t="shared" si="18"/>
        <v>111</v>
      </c>
      <c r="AA44" s="771">
        <f t="shared" si="15"/>
        <v>1</v>
      </c>
      <c r="AB44" s="771">
        <f t="shared" si="16"/>
        <v>1</v>
      </c>
      <c r="AC44" s="771">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4"/>
      <c r="M45" s="1125"/>
      <c r="N45" s="1125"/>
      <c r="O45" s="1125"/>
      <c r="P45" s="3302"/>
      <c r="Q45" s="1804">
        <f t="shared" si="11"/>
        <v>111</v>
      </c>
      <c r="R45" s="772" t="s">
        <v>21</v>
      </c>
      <c r="S45" s="773">
        <f t="shared" si="12"/>
        <v>100</v>
      </c>
      <c r="T45" s="772" t="s">
        <v>21</v>
      </c>
      <c r="U45" s="773">
        <f t="shared" si="13"/>
        <v>100</v>
      </c>
      <c r="V45" s="772" t="s">
        <v>21</v>
      </c>
      <c r="W45" s="773">
        <f t="shared" si="14"/>
        <v>100</v>
      </c>
      <c r="X45" s="1807"/>
      <c r="Y45" s="3304"/>
      <c r="Z45" s="1808">
        <f t="shared" si="18"/>
        <v>111</v>
      </c>
      <c r="AA45" s="1805">
        <f t="shared" si="15"/>
        <v>1</v>
      </c>
      <c r="AB45" s="1805">
        <f t="shared" si="16"/>
        <v>1</v>
      </c>
      <c r="AC45" s="1805">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4"/>
      <c r="M46" s="1125"/>
      <c r="N46" s="1125"/>
      <c r="O46" s="1125"/>
      <c r="P46" s="3303"/>
      <c r="Q46" s="1804">
        <f t="shared" si="11"/>
        <v>111</v>
      </c>
      <c r="R46" s="772" t="s">
        <v>20</v>
      </c>
      <c r="S46" s="773">
        <f t="shared" si="12"/>
        <v>100</v>
      </c>
      <c r="T46" s="772" t="s">
        <v>20</v>
      </c>
      <c r="U46" s="773">
        <f t="shared" si="13"/>
        <v>100</v>
      </c>
      <c r="V46" s="772" t="s">
        <v>20</v>
      </c>
      <c r="W46" s="773">
        <f t="shared" si="14"/>
        <v>100</v>
      </c>
      <c r="X46" s="1807"/>
      <c r="Y46" s="3305"/>
      <c r="Z46" s="1808">
        <f t="shared" si="18"/>
        <v>111</v>
      </c>
      <c r="AA46" s="1805">
        <f t="shared" si="15"/>
        <v>1</v>
      </c>
      <c r="AB46" s="1805">
        <f t="shared" si="16"/>
        <v>1</v>
      </c>
      <c r="AC46" s="1805">
        <f t="shared" si="17"/>
        <v>1</v>
      </c>
    </row>
    <row r="47" spans="1:29" ht="15">
      <c r="A47" s="478" t="s">
        <v>2569</v>
      </c>
      <c r="B47" s="479"/>
      <c r="C47" s="1401" t="s">
        <v>19</v>
      </c>
      <c r="D47" s="1402"/>
      <c r="E47" s="1403"/>
      <c r="F47" s="1404"/>
      <c r="G47" s="1405"/>
      <c r="H47" s="1406"/>
      <c r="I47" s="1403"/>
      <c r="J47" s="1406"/>
      <c r="K47" s="2610"/>
      <c r="L47" s="1137"/>
      <c r="M47" s="1138"/>
      <c r="N47" s="1125"/>
      <c r="O47" s="1138"/>
      <c r="P47" s="3292" t="str">
        <f>A47</f>
        <v>成交单价（元/平方米）</v>
      </c>
      <c r="Q47" s="3292"/>
      <c r="R47" s="3293">
        <f>E47</f>
        <v>0</v>
      </c>
      <c r="S47" s="3293"/>
      <c r="T47" s="3293">
        <f>G47</f>
        <v>0</v>
      </c>
      <c r="U47" s="3293"/>
      <c r="V47" s="3293">
        <f>I47</f>
        <v>0</v>
      </c>
      <c r="W47" s="3293"/>
      <c r="X47" s="757"/>
      <c r="Y47" s="779"/>
      <c r="Z47" s="757"/>
      <c r="AA47" s="757"/>
      <c r="AB47" s="757"/>
      <c r="AC47" s="757"/>
    </row>
    <row r="48" spans="1:29" ht="15.75" thickBot="1">
      <c r="A48" s="485" t="s">
        <v>2570</v>
      </c>
      <c r="B48" s="486"/>
      <c r="C48" s="1407" t="e">
        <f>R49</f>
        <v>#DIV/0!</v>
      </c>
      <c r="D48" s="1408"/>
      <c r="E48" s="1409" t="e">
        <f>R48</f>
        <v>#DIV/0!</v>
      </c>
      <c r="F48" s="1409"/>
      <c r="G48" s="1407" t="e">
        <f>T48</f>
        <v>#DIV/0!</v>
      </c>
      <c r="H48" s="1408"/>
      <c r="I48" s="1409" t="e">
        <f>V48</f>
        <v>#DIV/0!</v>
      </c>
      <c r="J48" s="1408"/>
      <c r="K48" s="2611"/>
      <c r="L48" s="1137"/>
      <c r="M48" s="1138"/>
      <c r="N48" s="1138"/>
      <c r="O48" s="1138"/>
      <c r="P48" s="3292" t="str">
        <f>A48</f>
        <v>比较价值（元/平方米）</v>
      </c>
      <c r="Q48" s="3292"/>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757"/>
      <c r="Y48" s="757"/>
      <c r="Z48" s="757"/>
      <c r="AA48" s="757"/>
      <c r="AB48" s="757"/>
      <c r="AC48" s="757"/>
    </row>
    <row r="49" spans="1:29" ht="15.75" thickBot="1">
      <c r="A49" s="491" t="s">
        <v>2571</v>
      </c>
      <c r="B49" s="492"/>
      <c r="C49" s="1410" t="e">
        <f>R49</f>
        <v>#DIV/0!</v>
      </c>
      <c r="D49" s="1411"/>
      <c r="E49" s="1411"/>
      <c r="F49" s="1411"/>
      <c r="G49" s="1411"/>
      <c r="H49" s="1411"/>
      <c r="I49" s="1411"/>
      <c r="J49" s="1411"/>
      <c r="K49" s="2612"/>
      <c r="L49" s="1137"/>
      <c r="M49" s="1138"/>
      <c r="N49" s="1138"/>
      <c r="O49" s="1138"/>
      <c r="P49" s="3342" t="str">
        <f>A49</f>
        <v>估价对象XX用房的比较价值（楼面单价，元/平方米）</v>
      </c>
      <c r="Q49" s="3343"/>
      <c r="R49" s="3344" t="e">
        <f>IF(F1="售价",ROUND(AVERAGE(R48:V48),0),ROUND(AVERAGE(R48:V48),1))</f>
        <v>#DIV/0!</v>
      </c>
      <c r="S49" s="3344"/>
      <c r="T49" s="3344"/>
      <c r="U49" s="3344"/>
      <c r="V49" s="3344"/>
      <c r="W49" s="3344"/>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4"/>
    </row>
    <row r="55" spans="1:29" s="501"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101"/>
      <c r="L56" s="1102"/>
      <c r="M56" s="1138"/>
      <c r="N56" s="1138"/>
      <c r="O56" s="1138"/>
    </row>
    <row r="57" spans="1:29" ht="21.75" thickBot="1">
      <c r="A57" s="761" t="s">
        <v>2575</v>
      </c>
      <c r="B57" s="757"/>
      <c r="C57" s="762"/>
      <c r="D57" s="762"/>
      <c r="E57" s="762"/>
      <c r="F57" s="763"/>
      <c r="G57" s="763"/>
      <c r="H57" s="762"/>
      <c r="I57" s="762"/>
      <c r="J57" s="762"/>
      <c r="K57" s="1154"/>
      <c r="L57" s="1155"/>
      <c r="M57" s="1153"/>
      <c r="N57" s="1153"/>
      <c r="O57" s="1153"/>
      <c r="P57" s="2615"/>
      <c r="Q57" s="503"/>
    </row>
    <row r="58" spans="1:29" s="507" customFormat="1" ht="15">
      <c r="A58" s="504" t="s">
        <v>2576</v>
      </c>
      <c r="B58" s="505"/>
      <c r="C58" s="1570" t="str">
        <f>YEAR(C7)&amp;"-"&amp;MONTH(C7)</f>
        <v>2018-3</v>
      </c>
      <c r="D58" s="1569">
        <f>EDATE(C58,-1)</f>
        <v>43132</v>
      </c>
      <c r="E58" s="1569">
        <f>EDATE(D58,-1)</f>
        <v>43101</v>
      </c>
      <c r="F58" s="1569">
        <f t="shared" ref="F58:O58" si="19">EDATE(E58,-1)</f>
        <v>43070</v>
      </c>
      <c r="G58" s="1569">
        <f t="shared" si="19"/>
        <v>43040</v>
      </c>
      <c r="H58" s="1569">
        <f t="shared" si="19"/>
        <v>43009</v>
      </c>
      <c r="I58" s="1569">
        <f t="shared" si="19"/>
        <v>42979</v>
      </c>
      <c r="J58" s="1569">
        <f t="shared" si="19"/>
        <v>42948</v>
      </c>
      <c r="K58" s="1569">
        <f t="shared" si="19"/>
        <v>42917</v>
      </c>
      <c r="L58" s="1569">
        <f t="shared" si="19"/>
        <v>42887</v>
      </c>
      <c r="M58" s="1569">
        <f t="shared" si="19"/>
        <v>42856</v>
      </c>
      <c r="N58" s="1569">
        <f t="shared" si="19"/>
        <v>42826</v>
      </c>
      <c r="O58" s="1569">
        <f t="shared" si="19"/>
        <v>42795</v>
      </c>
      <c r="P58" s="1564"/>
    </row>
    <row r="59" spans="1:29" s="116" customFormat="1" ht="15">
      <c r="A59" s="508"/>
      <c r="B59" s="2616"/>
      <c r="C59" s="1567">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f>C9</f>
        <v>0</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1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19"/>
      <c r="Q67" s="503"/>
    </row>
    <row r="68" spans="1:17" ht="15">
      <c r="A68" s="533"/>
      <c r="B68" s="547"/>
      <c r="C68" s="548"/>
      <c r="D68" s="548"/>
      <c r="E68" s="548"/>
      <c r="F68" s="548"/>
      <c r="G68" s="548"/>
      <c r="H68" s="548"/>
      <c r="I68" s="548"/>
      <c r="J68" s="548"/>
      <c r="K68" s="549"/>
      <c r="L68" s="550"/>
      <c r="M68" s="551"/>
      <c r="N68" s="1146"/>
      <c r="O68" s="1146"/>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19"/>
      <c r="Q69" s="503"/>
    </row>
    <row r="70" spans="1:17" s="470" customFormat="1" ht="15.75" thickTop="1">
      <c r="A70" s="552"/>
      <c r="B70" s="537">
        <f>B12</f>
        <v>111</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111</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59"/>
      <c r="E73" s="559"/>
      <c r="F73" s="559"/>
      <c r="G73" s="559"/>
      <c r="H73" s="561"/>
      <c r="I73" s="561"/>
      <c r="J73" s="561"/>
      <c r="K73" s="561"/>
      <c r="L73" s="561"/>
      <c r="M73" s="562"/>
      <c r="N73" s="1148"/>
      <c r="O73" s="1148"/>
      <c r="P73" s="2620"/>
      <c r="Q73" s="558"/>
    </row>
    <row r="74" spans="1:17" s="470" customFormat="1" ht="15.75" thickTop="1">
      <c r="A74" s="552"/>
      <c r="B74" s="545">
        <f>B14</f>
        <v>111</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2091</v>
      </c>
      <c r="C82" s="538" t="s">
        <v>2596</v>
      </c>
      <c r="D82" s="538" t="s">
        <v>2597</v>
      </c>
      <c r="E82" s="538" t="s">
        <v>2598</v>
      </c>
      <c r="F82" s="538" t="s">
        <v>2599</v>
      </c>
      <c r="G82" s="538" t="s">
        <v>2600</v>
      </c>
      <c r="H82" s="538"/>
      <c r="I82" s="538"/>
      <c r="J82" s="538"/>
      <c r="K82" s="538"/>
      <c r="L82" s="538"/>
      <c r="M82" s="1376"/>
      <c r="N82" s="1147"/>
      <c r="O82" s="1147"/>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2602</v>
      </c>
      <c r="C86" s="553"/>
      <c r="D86" s="553"/>
      <c r="E86" s="553"/>
      <c r="F86" s="553"/>
      <c r="G86" s="553"/>
      <c r="H86" s="553"/>
      <c r="I86" s="553"/>
      <c r="J86" s="553"/>
      <c r="K86" s="553"/>
      <c r="L86" s="579"/>
      <c r="M86" s="580"/>
      <c r="N86" s="1145"/>
      <c r="O86" s="1145"/>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19"/>
      <c r="Q87" s="503"/>
    </row>
    <row r="88" spans="1:17" s="116" customFormat="1" ht="15.75" thickTop="1">
      <c r="A88" s="578"/>
      <c r="B88" s="537" t="s">
        <v>2603</v>
      </c>
      <c r="C88" s="553"/>
      <c r="D88" s="553"/>
      <c r="E88" s="553"/>
      <c r="F88" s="2624"/>
      <c r="G88" s="553"/>
      <c r="H88" s="553"/>
      <c r="I88" s="553"/>
      <c r="J88" s="553"/>
      <c r="K88" s="553"/>
      <c r="L88" s="553"/>
      <c r="M88" s="580"/>
      <c r="N88" s="1145"/>
      <c r="O88" s="1145"/>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19"/>
      <c r="Q89" s="503"/>
    </row>
    <row r="90" spans="1:17" s="470" customFormat="1" ht="15.75" thickTop="1">
      <c r="A90" s="552"/>
      <c r="B90" s="537">
        <f>B27</f>
        <v>111</v>
      </c>
      <c r="C90" s="553"/>
      <c r="D90" s="553"/>
      <c r="E90" s="553"/>
      <c r="F90" s="553"/>
      <c r="G90" s="553"/>
      <c r="H90" s="554"/>
      <c r="I90" s="554"/>
      <c r="J90" s="554"/>
      <c r="K90" s="554"/>
      <c r="L90" s="555"/>
      <c r="M90" s="556"/>
      <c r="N90" s="1148"/>
      <c r="O90" s="1148"/>
      <c r="P90" s="2620"/>
      <c r="Q90" s="558"/>
    </row>
    <row r="91" spans="1:17" s="470" customFormat="1" ht="15.75" thickBot="1">
      <c r="A91" s="552"/>
      <c r="B91" s="542"/>
      <c r="C91" s="559"/>
      <c r="D91" s="559"/>
      <c r="E91" s="559"/>
      <c r="F91" s="559"/>
      <c r="G91" s="559"/>
      <c r="H91" s="561"/>
      <c r="I91" s="561"/>
      <c r="J91" s="561"/>
      <c r="K91" s="561"/>
      <c r="L91" s="561"/>
      <c r="M91" s="562"/>
      <c r="N91" s="1148"/>
      <c r="O91" s="1148"/>
      <c r="P91" s="2620"/>
      <c r="Q91" s="558"/>
    </row>
    <row r="92" spans="1:17" ht="15.75" thickTop="1">
      <c r="A92" s="533"/>
      <c r="B92" s="537">
        <f>B28</f>
        <v>111</v>
      </c>
      <c r="C92" s="553"/>
      <c r="D92" s="553"/>
      <c r="E92" s="553"/>
      <c r="F92" s="553"/>
      <c r="G92" s="582"/>
      <c r="H92" s="582"/>
      <c r="I92" s="582"/>
      <c r="J92" s="582"/>
      <c r="K92" s="583"/>
      <c r="L92" s="584"/>
      <c r="M92" s="585"/>
      <c r="N92" s="1146"/>
      <c r="O92" s="1146"/>
      <c r="P92" s="2619"/>
      <c r="Q92" s="503"/>
    </row>
    <row r="93" spans="1:17" ht="15.75" thickBot="1">
      <c r="A93" s="533"/>
      <c r="B93" s="542"/>
      <c r="C93" s="559"/>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59"/>
      <c r="E95" s="559"/>
      <c r="F95" s="559"/>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69"/>
      <c r="D97" s="569"/>
      <c r="E97" s="569"/>
      <c r="F97" s="569"/>
      <c r="G97" s="535"/>
      <c r="H97" s="535"/>
      <c r="I97" s="535"/>
      <c r="J97" s="535"/>
      <c r="K97" s="535"/>
      <c r="L97" s="535"/>
      <c r="M97" s="536"/>
      <c r="N97" s="1147"/>
      <c r="O97" s="1147"/>
      <c r="P97" s="2619"/>
      <c r="Q97" s="503"/>
    </row>
    <row r="98" spans="1:17" ht="15.75" thickTop="1">
      <c r="A98" s="533"/>
      <c r="B98" s="545">
        <f>B31</f>
        <v>111</v>
      </c>
      <c r="C98" s="586"/>
      <c r="D98" s="586"/>
      <c r="E98" s="586"/>
      <c r="F98" s="586"/>
      <c r="G98" s="586"/>
      <c r="H98" s="586"/>
      <c r="I98" s="586"/>
      <c r="J98" s="586"/>
      <c r="K98" s="587"/>
      <c r="L98" s="588"/>
      <c r="M98" s="589"/>
      <c r="N98" s="1146"/>
      <c r="O98" s="1146"/>
      <c r="P98" s="2619"/>
      <c r="Q98" s="503"/>
    </row>
    <row r="99" spans="1:17" ht="15.75" thickBot="1">
      <c r="A99" s="2625"/>
      <c r="B99" s="568"/>
      <c r="C99" s="590"/>
      <c r="D99" s="590"/>
      <c r="E99" s="590"/>
      <c r="F99" s="590"/>
      <c r="G99" s="590"/>
      <c r="H99" s="590"/>
      <c r="I99" s="590"/>
      <c r="J99" s="590"/>
      <c r="K99" s="590"/>
      <c r="L99" s="590"/>
      <c r="M99" s="591"/>
      <c r="N99" s="1147"/>
      <c r="O99" s="1147"/>
      <c r="P99" s="2619"/>
      <c r="Q99" s="503"/>
    </row>
    <row r="100" spans="1:17">
      <c r="A100" s="526" t="s">
        <v>2555</v>
      </c>
      <c r="B100" s="527" t="s">
        <v>2604</v>
      </c>
      <c r="C100" s="529"/>
      <c r="D100" s="529"/>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1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19"/>
      <c r="Q102" s="503"/>
    </row>
    <row r="103" spans="1:17" s="470" customFormat="1">
      <c r="A103" s="592"/>
      <c r="B103" s="593"/>
      <c r="C103" s="594"/>
      <c r="D103" s="594"/>
      <c r="E103" s="594"/>
      <c r="F103" s="594"/>
      <c r="G103" s="594"/>
      <c r="H103" s="594"/>
      <c r="I103" s="594"/>
      <c r="J103" s="595"/>
      <c r="K103" s="595"/>
      <c r="L103" s="596"/>
      <c r="M103" s="597"/>
      <c r="N103" s="1148"/>
      <c r="O103" s="1148"/>
      <c r="P103" s="2620"/>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0"/>
      <c r="Q104" s="558"/>
    </row>
    <row r="105" spans="1:17" ht="15" thickTop="1">
      <c r="A105" s="598"/>
      <c r="B105" s="537" t="s">
        <v>2606</v>
      </c>
      <c r="C105" s="553"/>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19"/>
      <c r="Q106" s="503"/>
    </row>
    <row r="107" spans="1:17" ht="15" thickTop="1">
      <c r="A107" s="598"/>
      <c r="B107" s="537" t="s">
        <v>2607</v>
      </c>
      <c r="C107" s="582"/>
      <c r="D107" s="582"/>
      <c r="E107" s="582"/>
      <c r="F107" s="582"/>
      <c r="G107" s="582"/>
      <c r="H107" s="582"/>
      <c r="I107" s="582"/>
      <c r="J107" s="582"/>
      <c r="K107" s="583"/>
      <c r="L107" s="584"/>
      <c r="M107" s="585"/>
      <c r="N107" s="1146"/>
      <c r="O107" s="1146"/>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19"/>
      <c r="Q108" s="503"/>
    </row>
    <row r="109" spans="1:17" ht="15" thickTop="1">
      <c r="A109" s="598"/>
      <c r="B109" s="537" t="s">
        <v>2608</v>
      </c>
      <c r="C109" s="553"/>
      <c r="D109" s="553"/>
      <c r="E109" s="553"/>
      <c r="F109" s="582"/>
      <c r="G109" s="582"/>
      <c r="H109" s="582"/>
      <c r="I109" s="582"/>
      <c r="J109" s="582"/>
      <c r="K109" s="583"/>
      <c r="L109" s="584"/>
      <c r="M109" s="585"/>
      <c r="N109" s="1146"/>
      <c r="O109" s="1146"/>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1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0"/>
      <c r="Q113" s="558"/>
    </row>
    <row r="114" spans="1:17" ht="15" thickTop="1">
      <c r="A114" s="598"/>
      <c r="B114" s="537" t="s">
        <v>2609</v>
      </c>
      <c r="C114" s="553"/>
      <c r="D114" s="553"/>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19"/>
      <c r="Q115" s="503"/>
    </row>
    <row r="116" spans="1:17" ht="15" thickTop="1">
      <c r="A116" s="598"/>
      <c r="B116" s="537" t="s">
        <v>2610</v>
      </c>
      <c r="C116" s="553"/>
      <c r="D116" s="553"/>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19"/>
      <c r="Q117" s="503"/>
    </row>
    <row r="118" spans="1:17" ht="15" thickTop="1">
      <c r="A118" s="598"/>
      <c r="B118" s="537" t="s">
        <v>2611</v>
      </c>
      <c r="C118" s="582"/>
      <c r="D118" s="582"/>
      <c r="E118" s="582"/>
      <c r="F118" s="582"/>
      <c r="G118" s="582"/>
      <c r="H118" s="582"/>
      <c r="I118" s="582"/>
      <c r="J118" s="582"/>
      <c r="K118" s="583"/>
      <c r="L118" s="584"/>
      <c r="M118" s="585"/>
      <c r="N118" s="1146"/>
      <c r="O118" s="1146"/>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19"/>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0"/>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0"/>
      <c r="Q121" s="558"/>
    </row>
    <row r="122" spans="1:17" ht="15" thickTop="1">
      <c r="A122" s="598"/>
      <c r="B122" s="537" t="s">
        <v>2612</v>
      </c>
      <c r="C122" s="553"/>
      <c r="D122" s="553"/>
      <c r="E122" s="553"/>
      <c r="F122" s="582"/>
      <c r="G122" s="582"/>
      <c r="H122" s="582"/>
      <c r="I122" s="582"/>
      <c r="J122" s="582"/>
      <c r="K122" s="583"/>
      <c r="L122" s="584"/>
      <c r="M122" s="585"/>
      <c r="N122" s="1146"/>
      <c r="O122" s="1146"/>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59"/>
      <c r="E129" s="559"/>
      <c r="F129" s="559"/>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0">
        <v>6</v>
      </c>
      <c r="C139" s="1081">
        <v>96</v>
      </c>
      <c r="D139" s="2637" t="s">
        <v>2623</v>
      </c>
      <c r="E139" s="1082">
        <v>100</v>
      </c>
      <c r="F139" s="1083">
        <v>102.5</v>
      </c>
      <c r="G139" s="2637" t="s">
        <v>2623</v>
      </c>
      <c r="H139" s="1084">
        <v>105</v>
      </c>
      <c r="I139" s="2638" t="s">
        <v>2624</v>
      </c>
      <c r="J139" s="1081">
        <v>20</v>
      </c>
      <c r="K139" s="1085">
        <f>C145/(J139-2)</f>
        <v>4.0555555555555553E-3</v>
      </c>
    </row>
    <row r="140" spans="1:17" ht="15">
      <c r="B140" s="1086">
        <v>5</v>
      </c>
      <c r="C140" s="1087">
        <v>100</v>
      </c>
      <c r="D140" s="1087"/>
      <c r="E140" s="1088"/>
      <c r="F140" s="1089">
        <v>102</v>
      </c>
      <c r="G140" s="1087"/>
      <c r="H140" s="1090"/>
      <c r="I140" s="2639" t="s">
        <v>2625</v>
      </c>
      <c r="J140" s="314">
        <f>ROUNDUP((J139-1)/2,0)</f>
        <v>10</v>
      </c>
      <c r="K140" s="1091">
        <v>100</v>
      </c>
    </row>
    <row r="141" spans="1:17" ht="15">
      <c r="B141" s="1086">
        <v>4</v>
      </c>
      <c r="C141" s="1087">
        <v>102</v>
      </c>
      <c r="D141" s="1087"/>
      <c r="E141" s="1088"/>
      <c r="F141" s="1089">
        <v>101.5</v>
      </c>
      <c r="G141" s="1087"/>
      <c r="H141" s="1090"/>
      <c r="I141" s="2639" t="s">
        <v>2626</v>
      </c>
      <c r="J141" s="314">
        <v>1</v>
      </c>
      <c r="K141" s="1092">
        <f>ROUND(100+(J141-J140)*K139*100,1)</f>
        <v>96.4</v>
      </c>
    </row>
    <row r="142" spans="1:17" ht="15">
      <c r="B142" s="1086">
        <v>3</v>
      </c>
      <c r="C142" s="1087">
        <v>103</v>
      </c>
      <c r="D142" s="1087"/>
      <c r="E142" s="1088"/>
      <c r="F142" s="1089">
        <v>101</v>
      </c>
      <c r="G142" s="1087"/>
      <c r="H142" s="1090"/>
      <c r="I142" s="2639" t="s">
        <v>2627</v>
      </c>
      <c r="J142" s="314">
        <f>J139</f>
        <v>20</v>
      </c>
      <c r="K142" s="1093">
        <v>95</v>
      </c>
    </row>
    <row r="143" spans="1:17" ht="15">
      <c r="B143" s="1086">
        <v>2</v>
      </c>
      <c r="C143" s="1087">
        <v>100</v>
      </c>
      <c r="D143" s="1087"/>
      <c r="E143" s="1088"/>
      <c r="F143" s="1089">
        <v>100.5</v>
      </c>
      <c r="G143" s="1087"/>
      <c r="H143" s="1090"/>
      <c r="I143" s="2639" t="s">
        <v>2628</v>
      </c>
      <c r="J143" s="1087">
        <v>15</v>
      </c>
      <c r="K143" s="1092">
        <f>ROUND(100+(J143-J140)*K139*100,1)</f>
        <v>102</v>
      </c>
    </row>
    <row r="144" spans="1:17" ht="15">
      <c r="B144" s="1086">
        <v>1</v>
      </c>
      <c r="C144" s="1087">
        <v>98</v>
      </c>
      <c r="D144" s="2640" t="s">
        <v>2629</v>
      </c>
      <c r="E144" s="1088">
        <v>102</v>
      </c>
      <c r="F144" s="1094">
        <v>100</v>
      </c>
      <c r="G144" s="2640" t="s">
        <v>2629</v>
      </c>
      <c r="H144" s="1090">
        <v>105</v>
      </c>
      <c r="I144" s="2639" t="s">
        <v>2628</v>
      </c>
      <c r="J144" s="1087">
        <v>18</v>
      </c>
      <c r="K144" s="1092">
        <f>ROUND(100+(J144-J140)*K139*100,1)</f>
        <v>103.2</v>
      </c>
    </row>
    <row r="145" spans="2:11" ht="15.75" thickBot="1">
      <c r="B145" s="2641" t="s">
        <v>2630</v>
      </c>
      <c r="C145" s="1095">
        <f>ROUND(MAX(C139:C144)/MIN(C139:C144)-1,3)</f>
        <v>7.2999999999999995E-2</v>
      </c>
      <c r="D145" s="1096"/>
      <c r="E145" s="1096"/>
      <c r="F145" s="2642" t="s">
        <v>2631</v>
      </c>
      <c r="G145" s="2643"/>
      <c r="H145" s="2644"/>
      <c r="I145" s="2645" t="s">
        <v>2628</v>
      </c>
      <c r="J145" s="1097">
        <v>8</v>
      </c>
      <c r="K145" s="1098">
        <f>ROUND(100+(J145-J140)*K139*100,1)</f>
        <v>99.2</v>
      </c>
    </row>
    <row r="147" spans="2:11">
      <c r="B147" s="2626" t="s">
        <v>2632</v>
      </c>
    </row>
    <row r="148" spans="2:11">
      <c r="B148" s="262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2694</v>
      </c>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IF(C2="——",ROUND(C43*D3/10000,0),ROUND(C43*D3/10000,0)-D2)</f>
        <v>#DIV/0!</v>
      </c>
      <c r="C2" s="2575"/>
      <c r="D2" s="1118"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17329.439999999999</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38" t="s">
        <v>2640</v>
      </c>
      <c r="AC4" s="3345" t="s">
        <v>2641</v>
      </c>
    </row>
    <row r="5" spans="1:29" ht="15">
      <c r="A5" s="403"/>
      <c r="B5" s="404"/>
      <c r="C5" s="3356" t="s">
        <v>2534</v>
      </c>
      <c r="D5" s="3355"/>
      <c r="E5" s="3394" t="s">
        <v>2535</v>
      </c>
      <c r="F5" s="3361"/>
      <c r="G5" s="3356" t="s">
        <v>2536</v>
      </c>
      <c r="H5" s="3355"/>
      <c r="I5" s="3356" t="s">
        <v>2537</v>
      </c>
      <c r="J5" s="3355"/>
      <c r="K5" s="609"/>
      <c r="L5" s="1124"/>
      <c r="M5" s="1125"/>
      <c r="N5" s="1125"/>
      <c r="O5" s="1125"/>
      <c r="P5" s="3348"/>
      <c r="Q5" s="3316"/>
      <c r="R5" s="3321"/>
      <c r="S5" s="3322"/>
      <c r="T5" s="3321"/>
      <c r="U5" s="3322"/>
      <c r="V5" s="3326"/>
      <c r="W5" s="3326"/>
      <c r="X5" s="1807"/>
      <c r="Y5" s="3321"/>
      <c r="Z5" s="3322"/>
      <c r="AA5" s="3338"/>
      <c r="AB5" s="3338"/>
      <c r="AC5" s="3338"/>
    </row>
    <row r="6" spans="1:29" ht="15.75" thickBot="1">
      <c r="A6" s="405"/>
      <c r="B6" s="406"/>
      <c r="C6" s="3357" t="s">
        <v>2538</v>
      </c>
      <c r="D6" s="3353"/>
      <c r="E6" s="3393" t="s">
        <v>2538</v>
      </c>
      <c r="F6" s="3359"/>
      <c r="G6" s="3357" t="s">
        <v>2538</v>
      </c>
      <c r="H6" s="3353"/>
      <c r="I6" s="3357" t="s">
        <v>2538</v>
      </c>
      <c r="J6" s="3353"/>
      <c r="K6" s="609" t="s">
        <v>2539</v>
      </c>
      <c r="L6" s="1124"/>
      <c r="M6" s="1125"/>
      <c r="N6" s="1125"/>
      <c r="O6" s="1125"/>
      <c r="P6" s="3349"/>
      <c r="Q6" s="3318"/>
      <c r="R6" s="3321"/>
      <c r="S6" s="3322"/>
      <c r="T6" s="3323"/>
      <c r="U6" s="3324"/>
      <c r="V6" s="3326"/>
      <c r="W6" s="3326"/>
      <c r="X6" s="1807"/>
      <c r="Y6" s="3323"/>
      <c r="Z6" s="3324"/>
      <c r="AA6" s="3339"/>
      <c r="AB6" s="3339"/>
      <c r="AC6" s="3339"/>
    </row>
    <row r="7" spans="1:29" s="116" customFormat="1" ht="15.75" thickBot="1">
      <c r="A7" s="407" t="s">
        <v>2540</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33" t="s">
        <v>2541</v>
      </c>
      <c r="Q7" s="3334"/>
      <c r="R7" s="768" t="s">
        <v>17</v>
      </c>
      <c r="S7" s="769">
        <f t="shared" ref="S7:S15" si="0">F7</f>
        <v>0</v>
      </c>
      <c r="T7" s="768" t="s">
        <v>17</v>
      </c>
      <c r="U7" s="769">
        <f t="shared" ref="U7:U15" si="1">H7</f>
        <v>0</v>
      </c>
      <c r="V7" s="768" t="s">
        <v>17</v>
      </c>
      <c r="W7" s="769">
        <f t="shared" ref="W7:W15" si="2">J7</f>
        <v>0</v>
      </c>
      <c r="X7" s="770"/>
      <c r="Y7" s="3333" t="s">
        <v>2541</v>
      </c>
      <c r="Z7" s="3332"/>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33" t="s">
        <v>2544</v>
      </c>
      <c r="Q8" s="3332"/>
      <c r="R8" s="768" t="s">
        <v>17</v>
      </c>
      <c r="S8" s="769">
        <f t="shared" si="0"/>
        <v>0</v>
      </c>
      <c r="T8" s="768" t="s">
        <v>17</v>
      </c>
      <c r="U8" s="769">
        <f t="shared" si="1"/>
        <v>0</v>
      </c>
      <c r="V8" s="768" t="s">
        <v>17</v>
      </c>
      <c r="W8" s="769">
        <f t="shared" si="2"/>
        <v>0</v>
      </c>
      <c r="X8" s="770"/>
      <c r="Y8" s="3333" t="s">
        <v>2544</v>
      </c>
      <c r="Z8" s="3332"/>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292"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292"/>
      <c r="Q10" s="1789" t="str">
        <f t="shared" si="6"/>
        <v>土地使用年限（年）</v>
      </c>
      <c r="R10" s="768" t="s">
        <v>17</v>
      </c>
      <c r="S10" s="769">
        <f t="shared" si="0"/>
        <v>100</v>
      </c>
      <c r="T10" s="768" t="s">
        <v>17</v>
      </c>
      <c r="U10" s="769">
        <f t="shared" si="1"/>
        <v>100</v>
      </c>
      <c r="V10" s="768" t="s">
        <v>17</v>
      </c>
      <c r="W10" s="769">
        <f t="shared" si="2"/>
        <v>100</v>
      </c>
      <c r="X10" s="770"/>
      <c r="Y10" s="3120"/>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292"/>
      <c r="Q11" s="1789" t="str">
        <f t="shared" si="6"/>
        <v>容积率</v>
      </c>
      <c r="R11" s="768" t="s">
        <v>17</v>
      </c>
      <c r="S11" s="769" t="e">
        <f t="shared" si="0"/>
        <v>#N/A</v>
      </c>
      <c r="T11" s="768" t="s">
        <v>17</v>
      </c>
      <c r="U11" s="769" t="e">
        <f t="shared" si="1"/>
        <v>#N/A</v>
      </c>
      <c r="V11" s="768" t="s">
        <v>17</v>
      </c>
      <c r="W11" s="769" t="e">
        <f t="shared" si="2"/>
        <v>#N/A</v>
      </c>
      <c r="X11" s="770"/>
      <c r="Y11" s="3120"/>
      <c r="Z11" s="55" t="str">
        <f t="shared" si="7"/>
        <v>容积率</v>
      </c>
      <c r="AA11" s="771" t="e">
        <f t="shared" si="3"/>
        <v>#N/A</v>
      </c>
      <c r="AB11" s="771" t="e">
        <f t="shared" si="4"/>
        <v>#N/A</v>
      </c>
      <c r="AC11" s="771" t="e">
        <f t="shared" si="5"/>
        <v>#N/A</v>
      </c>
    </row>
    <row r="12" spans="1:29" s="116" customFormat="1" ht="15">
      <c r="A12" s="430"/>
      <c r="B12" s="2589">
        <v>111</v>
      </c>
      <c r="C12" s="431"/>
      <c r="D12" s="432">
        <v>100</v>
      </c>
      <c r="E12" s="433"/>
      <c r="F12" s="135">
        <f>SUMIF(64:64,E12,65:65)-SUMIF(64:64,C12,65:65)+100</f>
        <v>100</v>
      </c>
      <c r="G12" s="2678"/>
      <c r="H12" s="135">
        <f>SUMIF(64:64,G12,65:65)-SUMIF(64:64,C12,65:65)+100</f>
        <v>100</v>
      </c>
      <c r="I12" s="468"/>
      <c r="J12" s="135">
        <f>SUMIF(64:64,I12,65:65)-SUMIF(64:64,C12,65:65)+100</f>
        <v>100</v>
      </c>
      <c r="K12" s="612"/>
      <c r="L12" s="1126"/>
      <c r="M12" s="1127"/>
      <c r="N12" s="1127"/>
      <c r="O12" s="1128"/>
      <c r="P12" s="3292"/>
      <c r="Q12" s="1789">
        <f t="shared" si="6"/>
        <v>111</v>
      </c>
      <c r="R12" s="768" t="s">
        <v>17</v>
      </c>
      <c r="S12" s="769">
        <f t="shared" si="0"/>
        <v>100</v>
      </c>
      <c r="T12" s="768" t="s">
        <v>17</v>
      </c>
      <c r="U12" s="769">
        <f t="shared" si="1"/>
        <v>100</v>
      </c>
      <c r="V12" s="768" t="s">
        <v>17</v>
      </c>
      <c r="W12" s="769">
        <f t="shared" si="2"/>
        <v>100</v>
      </c>
      <c r="X12" s="770"/>
      <c r="Y12" s="3120"/>
      <c r="Z12" s="55">
        <f t="shared" si="7"/>
        <v>111</v>
      </c>
      <c r="AA12" s="771">
        <f>D12/F12</f>
        <v>1</v>
      </c>
      <c r="AB12" s="771">
        <f>D12/H12</f>
        <v>1</v>
      </c>
      <c r="AC12" s="771">
        <f>D12/J12</f>
        <v>1</v>
      </c>
    </row>
    <row r="13" spans="1:29" ht="15">
      <c r="A13" s="427"/>
      <c r="B13" s="2589">
        <v>111</v>
      </c>
      <c r="C13" s="433"/>
      <c r="D13" s="434">
        <v>100</v>
      </c>
      <c r="E13" s="433"/>
      <c r="F13" s="135">
        <f>SUMIF(66:66,E13,67:67)-SUMIF(66:66,C13,67:67)+100</f>
        <v>100</v>
      </c>
      <c r="G13" s="2678"/>
      <c r="H13" s="434">
        <f>SUMIF(66:66,G13,67:67)-SUMIF(66:66,C13,67:67)+100</f>
        <v>100</v>
      </c>
      <c r="I13" s="468"/>
      <c r="J13" s="434">
        <f>SUMIF(66:66,I13,67:67)-SUMIF(66:66,C13,67:67)+100</f>
        <v>100</v>
      </c>
      <c r="K13" s="612"/>
      <c r="L13" s="1134"/>
      <c r="M13" s="1125"/>
      <c r="N13" s="1125"/>
      <c r="O13" s="1133"/>
      <c r="P13" s="3292"/>
      <c r="Q13" s="1789">
        <f t="shared" si="6"/>
        <v>111</v>
      </c>
      <c r="R13" s="768" t="s">
        <v>17</v>
      </c>
      <c r="S13" s="769">
        <f t="shared" si="0"/>
        <v>100</v>
      </c>
      <c r="T13" s="768" t="s">
        <v>17</v>
      </c>
      <c r="U13" s="769">
        <f t="shared" si="1"/>
        <v>100</v>
      </c>
      <c r="V13" s="768" t="s">
        <v>17</v>
      </c>
      <c r="W13" s="769">
        <f t="shared" si="2"/>
        <v>100</v>
      </c>
      <c r="X13" s="770"/>
      <c r="Y13" s="3120"/>
      <c r="Z13" s="55">
        <f t="shared" si="7"/>
        <v>111</v>
      </c>
      <c r="AA13" s="771">
        <f t="shared" si="3"/>
        <v>1</v>
      </c>
      <c r="AB13" s="771">
        <f t="shared" si="4"/>
        <v>1</v>
      </c>
      <c r="AC13" s="771">
        <f t="shared" si="5"/>
        <v>1</v>
      </c>
    </row>
    <row r="14" spans="1:29" ht="15.75" thickBot="1">
      <c r="A14" s="435"/>
      <c r="B14" s="2591">
        <v>111</v>
      </c>
      <c r="C14" s="436"/>
      <c r="D14" s="437">
        <v>100</v>
      </c>
      <c r="E14" s="436"/>
      <c r="F14" s="437">
        <f>SUMIF(68:68,E14,69:69)-SUMIF(68:68,C14,69:69)+100</f>
        <v>100</v>
      </c>
      <c r="G14" s="2678"/>
      <c r="H14" s="437">
        <f>SUMIF(68:68,G14,69:69)-SUMIF(68:68,C14,69:69)+100</f>
        <v>100</v>
      </c>
      <c r="I14" s="468"/>
      <c r="J14" s="437">
        <f>SUMIF(68:68,I14,69:69)-SUMIF(68:68,C14,69:69)+100</f>
        <v>100</v>
      </c>
      <c r="K14" s="612"/>
      <c r="L14" s="1134"/>
      <c r="M14" s="1125"/>
      <c r="N14" s="1125"/>
      <c r="O14" s="1133"/>
      <c r="P14" s="3292"/>
      <c r="Q14" s="1789">
        <f t="shared" si="6"/>
        <v>111</v>
      </c>
      <c r="R14" s="768" t="s">
        <v>17</v>
      </c>
      <c r="S14" s="769">
        <f t="shared" si="0"/>
        <v>100</v>
      </c>
      <c r="T14" s="768" t="s">
        <v>17</v>
      </c>
      <c r="U14" s="769">
        <f t="shared" si="1"/>
        <v>100</v>
      </c>
      <c r="V14" s="768" t="s">
        <v>17</v>
      </c>
      <c r="W14" s="769">
        <f t="shared" si="2"/>
        <v>100</v>
      </c>
      <c r="X14" s="770"/>
      <c r="Y14" s="3120"/>
      <c r="Z14" s="55">
        <f t="shared" si="7"/>
        <v>111</v>
      </c>
      <c r="AA14" s="771">
        <f t="shared" si="3"/>
        <v>1</v>
      </c>
      <c r="AB14" s="771">
        <f t="shared" si="4"/>
        <v>1</v>
      </c>
      <c r="AC14" s="771">
        <f t="shared" si="5"/>
        <v>1</v>
      </c>
    </row>
    <row r="15" spans="1:29" ht="15">
      <c r="A15" s="439" t="s">
        <v>2551</v>
      </c>
      <c r="B15" s="68" t="s">
        <v>2695</v>
      </c>
      <c r="C15" s="267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99" t="s">
        <v>2552</v>
      </c>
      <c r="Q15" s="1804" t="str">
        <f t="shared" si="6"/>
        <v>产业集聚程度</v>
      </c>
      <c r="R15" s="772" t="s">
        <v>17</v>
      </c>
      <c r="S15" s="773">
        <f t="shared" si="0"/>
        <v>100</v>
      </c>
      <c r="T15" s="772" t="s">
        <v>17</v>
      </c>
      <c r="U15" s="773">
        <f t="shared" si="1"/>
        <v>100</v>
      </c>
      <c r="V15" s="772" t="s">
        <v>17</v>
      </c>
      <c r="W15" s="773">
        <f t="shared" si="2"/>
        <v>100</v>
      </c>
      <c r="X15" s="1807"/>
      <c r="Y15" s="3299" t="s">
        <v>2552</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300"/>
      <c r="Q16" s="1804"/>
      <c r="R16" s="772"/>
      <c r="S16" s="773"/>
      <c r="T16" s="772"/>
      <c r="U16" s="773"/>
      <c r="V16" s="772"/>
      <c r="W16" s="773"/>
      <c r="X16" s="1807"/>
      <c r="Y16" s="3300"/>
      <c r="Z16" s="1808"/>
      <c r="AA16" s="1805">
        <v>1</v>
      </c>
      <c r="AB16" s="1805">
        <v>1</v>
      </c>
      <c r="AC16" s="1805">
        <v>1</v>
      </c>
    </row>
    <row r="17" spans="1:29" ht="15">
      <c r="A17" s="427"/>
      <c r="B17" s="450" t="s">
        <v>2090</v>
      </c>
      <c r="C17" s="259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00"/>
      <c r="Q17" s="1804" t="str">
        <f>B17</f>
        <v>交通便捷度</v>
      </c>
      <c r="R17" s="772" t="s">
        <v>17</v>
      </c>
      <c r="S17" s="773">
        <f>F17</f>
        <v>100</v>
      </c>
      <c r="T17" s="772" t="s">
        <v>17</v>
      </c>
      <c r="U17" s="773">
        <f>H17</f>
        <v>100</v>
      </c>
      <c r="V17" s="772" t="s">
        <v>17</v>
      </c>
      <c r="W17" s="773">
        <f>J17</f>
        <v>100</v>
      </c>
      <c r="X17" s="1807"/>
      <c r="Y17" s="3300"/>
      <c r="Z17" s="1808" t="str">
        <f>Q17</f>
        <v>交通便捷度</v>
      </c>
      <c r="AA17" s="1805">
        <f t="shared" si="3"/>
        <v>1</v>
      </c>
      <c r="AB17" s="1805">
        <f t="shared" si="4"/>
        <v>1</v>
      </c>
      <c r="AC17" s="1805">
        <f t="shared" si="5"/>
        <v>1</v>
      </c>
    </row>
    <row r="18" spans="1:29" ht="15">
      <c r="A18" s="427"/>
      <c r="B18" s="455"/>
      <c r="C18" s="2597"/>
      <c r="D18" s="449"/>
      <c r="E18" s="2599"/>
      <c r="F18" s="452"/>
      <c r="G18" s="2598"/>
      <c r="H18" s="447"/>
      <c r="I18" s="2599"/>
      <c r="J18" s="447"/>
      <c r="K18" s="614"/>
      <c r="L18" s="1134"/>
      <c r="M18" s="1125"/>
      <c r="N18" s="1125"/>
      <c r="O18" s="1133"/>
      <c r="P18" s="3300"/>
      <c r="Q18" s="1804"/>
      <c r="R18" s="772"/>
      <c r="S18" s="773"/>
      <c r="T18" s="772"/>
      <c r="U18" s="773"/>
      <c r="V18" s="772"/>
      <c r="W18" s="773"/>
      <c r="X18" s="1807"/>
      <c r="Y18" s="3300"/>
      <c r="Z18" s="1808"/>
      <c r="AA18" s="1805">
        <v>1</v>
      </c>
      <c r="AB18" s="1805">
        <v>1</v>
      </c>
      <c r="AC18" s="1805">
        <v>1</v>
      </c>
    </row>
    <row r="19" spans="1:29" ht="15">
      <c r="A19" s="427"/>
      <c r="B19" s="450" t="s">
        <v>2680</v>
      </c>
      <c r="C19" s="259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00"/>
      <c r="Q19" s="1804" t="str">
        <f>B19</f>
        <v>公共配套设施</v>
      </c>
      <c r="R19" s="772" t="s">
        <v>17</v>
      </c>
      <c r="S19" s="773">
        <f>F19</f>
        <v>100</v>
      </c>
      <c r="T19" s="772" t="s">
        <v>17</v>
      </c>
      <c r="U19" s="773">
        <f>H19</f>
        <v>100</v>
      </c>
      <c r="V19" s="772" t="s">
        <v>17</v>
      </c>
      <c r="W19" s="773">
        <f>J19</f>
        <v>100</v>
      </c>
      <c r="X19" s="1807"/>
      <c r="Y19" s="3300"/>
      <c r="Z19" s="1808" t="str">
        <f>Q19</f>
        <v>公共配套设施</v>
      </c>
      <c r="AA19" s="1805">
        <f t="shared" si="3"/>
        <v>1</v>
      </c>
      <c r="AB19" s="1805">
        <f t="shared" si="4"/>
        <v>1</v>
      </c>
      <c r="AC19" s="1805">
        <f t="shared" si="5"/>
        <v>1</v>
      </c>
    </row>
    <row r="20" spans="1:29" ht="15">
      <c r="A20" s="427"/>
      <c r="B20" s="455"/>
      <c r="C20" s="446"/>
      <c r="D20" s="447"/>
      <c r="E20" s="2594"/>
      <c r="F20" s="448"/>
      <c r="G20" s="2593"/>
      <c r="H20" s="447"/>
      <c r="I20" s="2594"/>
      <c r="J20" s="447"/>
      <c r="K20" s="614"/>
      <c r="L20" s="1134"/>
      <c r="M20" s="1125"/>
      <c r="N20" s="1125"/>
      <c r="O20" s="1133"/>
      <c r="P20" s="3300"/>
      <c r="Q20" s="1804"/>
      <c r="R20" s="772"/>
      <c r="S20" s="773"/>
      <c r="T20" s="772"/>
      <c r="U20" s="773"/>
      <c r="V20" s="772"/>
      <c r="W20" s="773"/>
      <c r="X20" s="1807"/>
      <c r="Y20" s="3300"/>
      <c r="Z20" s="1808"/>
      <c r="AA20" s="1805">
        <v>1</v>
      </c>
      <c r="AB20" s="1805">
        <v>1</v>
      </c>
      <c r="AC20" s="1805">
        <v>1</v>
      </c>
    </row>
    <row r="21" spans="1:29" ht="15">
      <c r="A21" s="427"/>
      <c r="B21" s="1378" t="s">
        <v>2681</v>
      </c>
      <c r="C21" s="259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00"/>
      <c r="Q21" s="1804" t="str">
        <f>B21</f>
        <v>基础设施水平</v>
      </c>
      <c r="R21" s="772" t="s">
        <v>17</v>
      </c>
      <c r="S21" s="773">
        <f>F21</f>
        <v>100</v>
      </c>
      <c r="T21" s="772" t="s">
        <v>17</v>
      </c>
      <c r="U21" s="773">
        <f>H21</f>
        <v>100</v>
      </c>
      <c r="V21" s="772" t="s">
        <v>17</v>
      </c>
      <c r="W21" s="773">
        <f>J21</f>
        <v>100</v>
      </c>
      <c r="X21" s="1807"/>
      <c r="Y21" s="3300"/>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8"/>
      <c r="G22" s="446"/>
      <c r="H22" s="447"/>
      <c r="I22" s="446"/>
      <c r="J22" s="447"/>
      <c r="K22" s="1377"/>
      <c r="L22" s="1134"/>
      <c r="M22" s="1125"/>
      <c r="N22" s="1125"/>
      <c r="O22" s="1133"/>
      <c r="P22" s="3300"/>
      <c r="Q22" s="1804"/>
      <c r="R22" s="772"/>
      <c r="S22" s="773"/>
      <c r="T22" s="772"/>
      <c r="U22" s="773"/>
      <c r="V22" s="772"/>
      <c r="W22" s="773"/>
      <c r="X22" s="1807"/>
      <c r="Y22" s="3300"/>
      <c r="Z22" s="1808"/>
      <c r="AA22" s="1805">
        <v>1</v>
      </c>
      <c r="AB22" s="1805">
        <v>1</v>
      </c>
      <c r="AC22" s="1805">
        <v>1</v>
      </c>
    </row>
    <row r="23" spans="1:29" ht="15">
      <c r="A23" s="427"/>
      <c r="B23" s="450" t="s">
        <v>2682</v>
      </c>
      <c r="C23" s="259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00"/>
      <c r="Q23" s="1804" t="str">
        <f>B23</f>
        <v>环境质量</v>
      </c>
      <c r="R23" s="772" t="s">
        <v>17</v>
      </c>
      <c r="S23" s="773">
        <f>F23</f>
        <v>100</v>
      </c>
      <c r="T23" s="772" t="s">
        <v>17</v>
      </c>
      <c r="U23" s="773">
        <f>H23</f>
        <v>100</v>
      </c>
      <c r="V23" s="772" t="s">
        <v>17</v>
      </c>
      <c r="W23" s="773">
        <f>J23</f>
        <v>100</v>
      </c>
      <c r="X23" s="1807"/>
      <c r="Y23" s="3300"/>
      <c r="Z23" s="1808" t="str">
        <f>Q23</f>
        <v>环境质量</v>
      </c>
      <c r="AA23" s="1805">
        <f t="shared" si="3"/>
        <v>1</v>
      </c>
      <c r="AB23" s="1805">
        <f t="shared" si="4"/>
        <v>1</v>
      </c>
      <c r="AC23" s="1805">
        <f t="shared" si="5"/>
        <v>1</v>
      </c>
    </row>
    <row r="24" spans="1:29" ht="15">
      <c r="A24" s="427"/>
      <c r="B24" s="1378"/>
      <c r="C24" s="446"/>
      <c r="D24" s="447"/>
      <c r="E24" s="2594"/>
      <c r="F24" s="448"/>
      <c r="G24" s="2593"/>
      <c r="H24" s="447"/>
      <c r="I24" s="2594"/>
      <c r="J24" s="447"/>
      <c r="K24" s="614"/>
      <c r="L24" s="1134"/>
      <c r="M24" s="1125"/>
      <c r="N24" s="1125"/>
      <c r="O24" s="1133"/>
      <c r="P24" s="3300"/>
      <c r="Q24" s="1804"/>
      <c r="R24" s="772"/>
      <c r="S24" s="773"/>
      <c r="T24" s="772"/>
      <c r="U24" s="773"/>
      <c r="V24" s="772"/>
      <c r="W24" s="773"/>
      <c r="X24" s="1807"/>
      <c r="Y24" s="3300"/>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00"/>
      <c r="Q25" s="1804">
        <f>B25</f>
        <v>111</v>
      </c>
      <c r="R25" s="772" t="s">
        <v>17</v>
      </c>
      <c r="S25" s="773">
        <f>F25</f>
        <v>100</v>
      </c>
      <c r="T25" s="772" t="s">
        <v>17</v>
      </c>
      <c r="U25" s="773">
        <f>H25</f>
        <v>100</v>
      </c>
      <c r="V25" s="772" t="s">
        <v>17</v>
      </c>
      <c r="W25" s="773">
        <f>J25</f>
        <v>100</v>
      </c>
      <c r="X25" s="1807"/>
      <c r="Y25" s="3300"/>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00"/>
      <c r="Q26" s="1804">
        <f t="shared" ref="Q26:Q40" si="11">B26</f>
        <v>111</v>
      </c>
      <c r="R26" s="772" t="s">
        <v>17</v>
      </c>
      <c r="S26" s="773">
        <f>F26</f>
        <v>100</v>
      </c>
      <c r="T26" s="772" t="s">
        <v>17</v>
      </c>
      <c r="U26" s="773">
        <f>H26</f>
        <v>100</v>
      </c>
      <c r="V26" s="772" t="s">
        <v>17</v>
      </c>
      <c r="W26" s="773">
        <f>J26</f>
        <v>100</v>
      </c>
      <c r="X26" s="1807"/>
      <c r="Y26" s="3300"/>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00"/>
      <c r="Q27" s="1789">
        <f t="shared" si="11"/>
        <v>111</v>
      </c>
      <c r="R27" s="768" t="s">
        <v>17</v>
      </c>
      <c r="S27" s="769">
        <f>F27</f>
        <v>100</v>
      </c>
      <c r="T27" s="768" t="s">
        <v>17</v>
      </c>
      <c r="U27" s="769">
        <f>H27</f>
        <v>100</v>
      </c>
      <c r="V27" s="768" t="s">
        <v>17</v>
      </c>
      <c r="W27" s="769">
        <f>J27</f>
        <v>100</v>
      </c>
      <c r="X27" s="770"/>
      <c r="Y27" s="3300"/>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00"/>
      <c r="Q28" s="1804">
        <f t="shared" si="11"/>
        <v>111</v>
      </c>
      <c r="R28" s="772" t="s">
        <v>17</v>
      </c>
      <c r="S28" s="773">
        <f t="shared" ref="S28:S40" si="12">F28</f>
        <v>100</v>
      </c>
      <c r="T28" s="772" t="s">
        <v>17</v>
      </c>
      <c r="U28" s="773">
        <f t="shared" ref="U28:U40" si="13">H28</f>
        <v>100</v>
      </c>
      <c r="V28" s="772" t="s">
        <v>17</v>
      </c>
      <c r="W28" s="773">
        <f t="shared" ref="W28:W40" si="14">J28</f>
        <v>100</v>
      </c>
      <c r="X28" s="1807"/>
      <c r="Y28" s="3300"/>
      <c r="Z28" s="1808">
        <f t="shared" ref="Z28:Z40" si="15">Q28</f>
        <v>111</v>
      </c>
      <c r="AA28" s="1805">
        <f t="shared" si="3"/>
        <v>1</v>
      </c>
      <c r="AB28" s="1805">
        <f t="shared" si="4"/>
        <v>1</v>
      </c>
      <c r="AC28" s="1805">
        <f t="shared" si="5"/>
        <v>1</v>
      </c>
    </row>
    <row r="29" spans="1:29" ht="15">
      <c r="A29" s="465" t="s">
        <v>2555</v>
      </c>
      <c r="B29" s="70" t="s">
        <v>2685</v>
      </c>
      <c r="C29" s="2665"/>
      <c r="D29" s="466">
        <v>100</v>
      </c>
      <c r="E29" s="2665"/>
      <c r="F29" s="460">
        <f>SUMIF(88:88,E29,89:89)-SUMIF(88:88,C29,89:89)+100</f>
        <v>100</v>
      </c>
      <c r="G29" s="2665"/>
      <c r="H29" s="434">
        <f>SUMIF(88:88,G29,89:89)-SUMIF(88:88,C29,89:89)+100</f>
        <v>100</v>
      </c>
      <c r="I29" s="2665"/>
      <c r="J29" s="466">
        <f>SUMIF(88:88,I29,89:89)-SUMIF(88:88,C29,89:89)+100</f>
        <v>100</v>
      </c>
      <c r="K29" s="611"/>
      <c r="L29" s="1134"/>
      <c r="M29" s="1125"/>
      <c r="N29" s="1125"/>
      <c r="O29" s="1133"/>
      <c r="P29" s="3395" t="s">
        <v>2557</v>
      </c>
      <c r="Q29" s="1804" t="str">
        <f t="shared" si="11"/>
        <v>建筑类型</v>
      </c>
      <c r="R29" s="772" t="s">
        <v>17</v>
      </c>
      <c r="S29" s="773">
        <f t="shared" si="12"/>
        <v>100</v>
      </c>
      <c r="T29" s="772" t="s">
        <v>17</v>
      </c>
      <c r="U29" s="773">
        <f t="shared" si="13"/>
        <v>100</v>
      </c>
      <c r="V29" s="772" t="s">
        <v>17</v>
      </c>
      <c r="W29" s="773">
        <f t="shared" si="14"/>
        <v>100</v>
      </c>
      <c r="X29" s="1807"/>
      <c r="Y29" s="3304" t="s">
        <v>2557</v>
      </c>
      <c r="Z29" s="1808" t="str">
        <f t="shared" si="15"/>
        <v>建筑类型</v>
      </c>
      <c r="AA29" s="1805">
        <f t="shared" si="3"/>
        <v>1</v>
      </c>
      <c r="AB29" s="1805">
        <f t="shared" si="4"/>
        <v>1</v>
      </c>
      <c r="AC29" s="1805">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04"/>
      <c r="Q30" s="774" t="str">
        <f t="shared" si="11"/>
        <v>项目建筑规模</v>
      </c>
      <c r="R30" s="775" t="s">
        <v>17</v>
      </c>
      <c r="S30" s="776" t="e">
        <f t="shared" si="12"/>
        <v>#N/A</v>
      </c>
      <c r="T30" s="775" t="s">
        <v>17</v>
      </c>
      <c r="U30" s="776" t="e">
        <f t="shared" si="13"/>
        <v>#N/A</v>
      </c>
      <c r="V30" s="775" t="s">
        <v>17</v>
      </c>
      <c r="W30" s="776" t="e">
        <f t="shared" si="14"/>
        <v>#N/A</v>
      </c>
      <c r="X30" s="777"/>
      <c r="Y30" s="3304"/>
      <c r="Z30" s="778" t="str">
        <f t="shared" si="15"/>
        <v>项目建筑规模</v>
      </c>
      <c r="AA30" s="1805" t="e">
        <f t="shared" si="3"/>
        <v>#N/A</v>
      </c>
      <c r="AB30" s="1805" t="e">
        <f t="shared" si="4"/>
        <v>#N/A</v>
      </c>
      <c r="AC30" s="1805"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04"/>
      <c r="Q31" s="1804" t="str">
        <f t="shared" si="11"/>
        <v>建筑结构</v>
      </c>
      <c r="R31" s="772" t="s">
        <v>17</v>
      </c>
      <c r="S31" s="773">
        <f t="shared" si="12"/>
        <v>100</v>
      </c>
      <c r="T31" s="772" t="s">
        <v>17</v>
      </c>
      <c r="U31" s="773">
        <f t="shared" si="13"/>
        <v>100</v>
      </c>
      <c r="V31" s="772" t="s">
        <v>17</v>
      </c>
      <c r="W31" s="773">
        <f t="shared" si="14"/>
        <v>100</v>
      </c>
      <c r="X31" s="1807"/>
      <c r="Y31" s="3304"/>
      <c r="Z31" s="1808" t="str">
        <f t="shared" si="15"/>
        <v>建筑结构</v>
      </c>
      <c r="AA31" s="1805">
        <f t="shared" si="3"/>
        <v>1</v>
      </c>
      <c r="AB31" s="1805">
        <f t="shared" si="4"/>
        <v>1</v>
      </c>
      <c r="AC31" s="1805">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04"/>
      <c r="Q32" s="1804" t="str">
        <f t="shared" si="11"/>
        <v>公共部分装修</v>
      </c>
      <c r="R32" s="772" t="s">
        <v>17</v>
      </c>
      <c r="S32" s="773">
        <f t="shared" si="12"/>
        <v>100</v>
      </c>
      <c r="T32" s="772" t="s">
        <v>17</v>
      </c>
      <c r="U32" s="773">
        <f t="shared" si="13"/>
        <v>100</v>
      </c>
      <c r="V32" s="772" t="s">
        <v>17</v>
      </c>
      <c r="W32" s="773">
        <f t="shared" si="14"/>
        <v>100</v>
      </c>
      <c r="X32" s="1807"/>
      <c r="Y32" s="3304"/>
      <c r="Z32" s="1808" t="str">
        <f t="shared" si="15"/>
        <v>公共部分装修</v>
      </c>
      <c r="AA32" s="1805">
        <f t="shared" si="3"/>
        <v>1</v>
      </c>
      <c r="AB32" s="1805">
        <f t="shared" si="4"/>
        <v>1</v>
      </c>
      <c r="AC32" s="1805">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04"/>
      <c r="Q33" s="1804" t="str">
        <f t="shared" si="11"/>
        <v>成新度</v>
      </c>
      <c r="R33" s="772" t="s">
        <v>17</v>
      </c>
      <c r="S33" s="773" t="e">
        <f t="shared" si="12"/>
        <v>#N/A</v>
      </c>
      <c r="T33" s="772" t="s">
        <v>17</v>
      </c>
      <c r="U33" s="773" t="e">
        <f t="shared" si="13"/>
        <v>#N/A</v>
      </c>
      <c r="V33" s="772" t="s">
        <v>17</v>
      </c>
      <c r="W33" s="773" t="e">
        <f t="shared" si="14"/>
        <v>#N/A</v>
      </c>
      <c r="X33" s="1807"/>
      <c r="Y33" s="3304"/>
      <c r="Z33" s="1808" t="str">
        <f t="shared" si="15"/>
        <v>成新度</v>
      </c>
      <c r="AA33" s="1805" t="e">
        <f t="shared" si="3"/>
        <v>#N/A</v>
      </c>
      <c r="AB33" s="1805" t="e">
        <f t="shared" si="4"/>
        <v>#N/A</v>
      </c>
      <c r="AC33" s="1805"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04"/>
      <c r="Q34" s="1789" t="str">
        <f t="shared" si="11"/>
        <v>物业管理</v>
      </c>
      <c r="R34" s="768" t="s">
        <v>17</v>
      </c>
      <c r="S34" s="769">
        <f t="shared" si="12"/>
        <v>100</v>
      </c>
      <c r="T34" s="768" t="s">
        <v>17</v>
      </c>
      <c r="U34" s="769">
        <f t="shared" si="13"/>
        <v>100</v>
      </c>
      <c r="V34" s="768" t="s">
        <v>17</v>
      </c>
      <c r="W34" s="769">
        <f t="shared" si="14"/>
        <v>100</v>
      </c>
      <c r="X34" s="770"/>
      <c r="Y34" s="3304"/>
      <c r="Z34" s="55"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04" t="s">
        <v>2557</v>
      </c>
      <c r="Q35" s="1804" t="str">
        <f t="shared" si="11"/>
        <v>市政基础设施</v>
      </c>
      <c r="R35" s="772" t="s">
        <v>17</v>
      </c>
      <c r="S35" s="773">
        <f t="shared" si="12"/>
        <v>100</v>
      </c>
      <c r="T35" s="772" t="s">
        <v>17</v>
      </c>
      <c r="U35" s="773">
        <f t="shared" si="13"/>
        <v>100</v>
      </c>
      <c r="V35" s="772" t="s">
        <v>17</v>
      </c>
      <c r="W35" s="773">
        <f t="shared" si="14"/>
        <v>100</v>
      </c>
      <c r="X35" s="1807"/>
      <c r="Y35" s="3304" t="s">
        <v>2557</v>
      </c>
      <c r="Z35" s="1808" t="str">
        <f t="shared" si="15"/>
        <v>市政基础设施</v>
      </c>
      <c r="AA35" s="1805">
        <f t="shared" si="3"/>
        <v>1</v>
      </c>
      <c r="AB35" s="1805">
        <f t="shared" si="4"/>
        <v>1</v>
      </c>
      <c r="AC35" s="1805">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04"/>
      <c r="Q36" s="1804" t="str">
        <f t="shared" si="11"/>
        <v>内部装修</v>
      </c>
      <c r="R36" s="772" t="s">
        <v>17</v>
      </c>
      <c r="S36" s="773">
        <f t="shared" si="12"/>
        <v>100</v>
      </c>
      <c r="T36" s="772" t="s">
        <v>17</v>
      </c>
      <c r="U36" s="773">
        <f t="shared" si="13"/>
        <v>100</v>
      </c>
      <c r="V36" s="772" t="s">
        <v>17</v>
      </c>
      <c r="W36" s="773">
        <f t="shared" si="14"/>
        <v>100</v>
      </c>
      <c r="X36" s="1807"/>
      <c r="Y36" s="3304"/>
      <c r="Z36" s="1808" t="str">
        <f t="shared" si="15"/>
        <v>内部装修</v>
      </c>
      <c r="AA36" s="1805">
        <f t="shared" si="3"/>
        <v>1</v>
      </c>
      <c r="AB36" s="1805">
        <f t="shared" si="4"/>
        <v>1</v>
      </c>
      <c r="AC36" s="1805">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04"/>
      <c r="Q37" s="1804" t="str">
        <f t="shared" si="11"/>
        <v>内部装修状况</v>
      </c>
      <c r="R37" s="772" t="s">
        <v>17</v>
      </c>
      <c r="S37" s="773">
        <f t="shared" si="12"/>
        <v>100</v>
      </c>
      <c r="T37" s="772" t="s">
        <v>17</v>
      </c>
      <c r="U37" s="773">
        <f t="shared" si="13"/>
        <v>100</v>
      </c>
      <c r="V37" s="772" t="s">
        <v>17</v>
      </c>
      <c r="W37" s="773">
        <f t="shared" si="14"/>
        <v>100</v>
      </c>
      <c r="X37" s="1807"/>
      <c r="Y37" s="3304"/>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04"/>
      <c r="Q38" s="774">
        <f t="shared" si="11"/>
        <v>111</v>
      </c>
      <c r="R38" s="775" t="s">
        <v>17</v>
      </c>
      <c r="S38" s="776">
        <f t="shared" si="12"/>
        <v>100</v>
      </c>
      <c r="T38" s="775" t="s">
        <v>17</v>
      </c>
      <c r="U38" s="776">
        <f t="shared" si="13"/>
        <v>100</v>
      </c>
      <c r="V38" s="775" t="s">
        <v>17</v>
      </c>
      <c r="W38" s="776">
        <f t="shared" si="14"/>
        <v>100</v>
      </c>
      <c r="X38" s="777"/>
      <c r="Y38" s="3304"/>
      <c r="Z38" s="778">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04"/>
      <c r="Q39" s="1804">
        <f t="shared" si="11"/>
        <v>111</v>
      </c>
      <c r="R39" s="772" t="s">
        <v>17</v>
      </c>
      <c r="S39" s="773">
        <f t="shared" si="12"/>
        <v>100</v>
      </c>
      <c r="T39" s="772" t="s">
        <v>17</v>
      </c>
      <c r="U39" s="773">
        <f t="shared" si="13"/>
        <v>100</v>
      </c>
      <c r="V39" s="772" t="s">
        <v>17</v>
      </c>
      <c r="W39" s="773">
        <f t="shared" si="14"/>
        <v>100</v>
      </c>
      <c r="X39" s="1807"/>
      <c r="Y39" s="3304"/>
      <c r="Z39" s="1808">
        <f t="shared" si="15"/>
        <v>111</v>
      </c>
      <c r="AA39" s="1805">
        <f t="shared" si="3"/>
        <v>1</v>
      </c>
      <c r="AB39" s="1805">
        <f t="shared" si="4"/>
        <v>1</v>
      </c>
      <c r="AC39" s="1805">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05"/>
      <c r="Q40" s="1804">
        <f t="shared" si="11"/>
        <v>111</v>
      </c>
      <c r="R40" s="772" t="s">
        <v>17</v>
      </c>
      <c r="S40" s="773">
        <f t="shared" si="12"/>
        <v>100</v>
      </c>
      <c r="T40" s="772" t="s">
        <v>17</v>
      </c>
      <c r="U40" s="773">
        <f t="shared" si="13"/>
        <v>100</v>
      </c>
      <c r="V40" s="772" t="s">
        <v>17</v>
      </c>
      <c r="W40" s="773">
        <f t="shared" si="14"/>
        <v>100</v>
      </c>
      <c r="X40" s="1807"/>
      <c r="Y40" s="3305"/>
      <c r="Z40" s="1808">
        <f t="shared" si="15"/>
        <v>111</v>
      </c>
      <c r="AA40" s="1805">
        <f t="shared" si="3"/>
        <v>1</v>
      </c>
      <c r="AB40" s="1805">
        <f t="shared" si="4"/>
        <v>1</v>
      </c>
      <c r="AC40" s="1805">
        <f t="shared" si="5"/>
        <v>1</v>
      </c>
    </row>
    <row r="41" spans="1:29" ht="15">
      <c r="A41" s="478" t="s">
        <v>2569</v>
      </c>
      <c r="B41" s="479"/>
      <c r="C41" s="1401" t="s">
        <v>1</v>
      </c>
      <c r="D41" s="1402"/>
      <c r="E41" s="1403"/>
      <c r="F41" s="1404"/>
      <c r="G41" s="1405"/>
      <c r="H41" s="1406"/>
      <c r="I41" s="1403"/>
      <c r="J41" s="1406"/>
      <c r="K41" s="781"/>
      <c r="L41" s="1137"/>
      <c r="M41" s="1138"/>
      <c r="N41" s="1125"/>
      <c r="O41" s="1138"/>
      <c r="P41" s="3292" t="str">
        <f>A41</f>
        <v>成交单价（元/平方米）</v>
      </c>
      <c r="Q41" s="3292"/>
      <c r="R41" s="3293">
        <f>E41</f>
        <v>0</v>
      </c>
      <c r="S41" s="3293"/>
      <c r="T41" s="3293">
        <f>G41</f>
        <v>0</v>
      </c>
      <c r="U41" s="3293"/>
      <c r="V41" s="3293">
        <f>I41</f>
        <v>0</v>
      </c>
      <c r="W41" s="3293"/>
      <c r="X41" s="757"/>
      <c r="Y41" s="779"/>
      <c r="Z41" s="757"/>
      <c r="AA41" s="757"/>
      <c r="AB41" s="757"/>
      <c r="AC41" s="757"/>
    </row>
    <row r="42" spans="1:29" ht="15.75" thickBot="1">
      <c r="A42" s="485" t="s">
        <v>2661</v>
      </c>
      <c r="B42" s="486"/>
      <c r="C42" s="1407" t="e">
        <f>R43</f>
        <v>#DIV/0!</v>
      </c>
      <c r="D42" s="1408"/>
      <c r="E42" s="1409" t="e">
        <f>R42</f>
        <v>#DIV/0!</v>
      </c>
      <c r="F42" s="1409"/>
      <c r="G42" s="1407" t="e">
        <f>T42</f>
        <v>#DIV/0!</v>
      </c>
      <c r="H42" s="1408"/>
      <c r="I42" s="1409" t="e">
        <f>V42</f>
        <v>#DIV/0!</v>
      </c>
      <c r="J42" s="1408"/>
      <c r="K42" s="782"/>
      <c r="L42" s="1137"/>
      <c r="M42" s="1138"/>
      <c r="N42" s="1125"/>
      <c r="O42" s="1138"/>
      <c r="P42" s="3292" t="str">
        <f>A42</f>
        <v>比较价值（元/平方米）</v>
      </c>
      <c r="Q42" s="3292"/>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757"/>
      <c r="Y42" s="757"/>
      <c r="Z42" s="757"/>
      <c r="AA42" s="757"/>
      <c r="AB42" s="757"/>
      <c r="AC42" s="757"/>
    </row>
    <row r="43" spans="1:29" ht="15.75" thickBot="1">
      <c r="A43" s="491" t="s">
        <v>2662</v>
      </c>
      <c r="B43" s="492"/>
      <c r="C43" s="1411" t="e">
        <f>R43</f>
        <v>#DIV/0!</v>
      </c>
      <c r="D43" s="1411"/>
      <c r="E43" s="1411"/>
      <c r="F43" s="1411"/>
      <c r="G43" s="1411"/>
      <c r="H43" s="1411"/>
      <c r="I43" s="1411"/>
      <c r="J43" s="1411"/>
      <c r="K43" s="783"/>
      <c r="L43" s="1137"/>
      <c r="M43" s="1138"/>
      <c r="N43" s="1138"/>
      <c r="O43" s="1138"/>
      <c r="P43" s="3342" t="str">
        <f>A43</f>
        <v>估价对象XX用房的比较价值（楼面单价，元/平方米）</v>
      </c>
      <c r="Q43" s="3343"/>
      <c r="R43" s="3344" t="e">
        <f>IF(F1="售价",ROUND(AVERAGE(R42:V42),0),ROUND(AVERAGE(R42:V42),1))</f>
        <v>#DIV/0!</v>
      </c>
      <c r="S43" s="3344"/>
      <c r="T43" s="3344"/>
      <c r="U43" s="3344"/>
      <c r="V43" s="3344"/>
      <c r="W43" s="3344"/>
      <c r="X43" s="757"/>
      <c r="Y43" s="757"/>
      <c r="Z43" s="757"/>
      <c r="AA43" s="757"/>
      <c r="AB43" s="757"/>
      <c r="AC43" s="757"/>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1" t="s">
        <v>2666</v>
      </c>
      <c r="B51" s="757"/>
      <c r="C51" s="762"/>
      <c r="D51" s="762"/>
      <c r="E51" s="762"/>
      <c r="F51" s="763"/>
      <c r="G51" s="763"/>
      <c r="H51" s="762"/>
      <c r="I51" s="762"/>
      <c r="J51" s="762"/>
      <c r="K51" s="1154"/>
      <c r="L51" s="1155"/>
      <c r="M51" s="1153"/>
      <c r="N51" s="1153"/>
      <c r="O51" s="1153"/>
      <c r="P51" s="502"/>
      <c r="Q51" s="503"/>
    </row>
    <row r="52" spans="1:17" s="507" customFormat="1" ht="15">
      <c r="A52" s="504" t="s">
        <v>2540</v>
      </c>
      <c r="B52" s="505"/>
      <c r="C52" s="1568" t="str">
        <f>YEAR(C7)&amp;"-"&amp;MONTH(C7)</f>
        <v>2018-3</v>
      </c>
      <c r="D52" s="1569">
        <f>EDATE(C52,-1)</f>
        <v>43132</v>
      </c>
      <c r="E52" s="1569">
        <f t="shared" ref="E52:O52" si="16">EDATE(D52,-1)</f>
        <v>43101</v>
      </c>
      <c r="F52" s="1569">
        <f t="shared" si="16"/>
        <v>43070</v>
      </c>
      <c r="G52" s="1569">
        <f t="shared" si="16"/>
        <v>43040</v>
      </c>
      <c r="H52" s="1569">
        <f t="shared" si="16"/>
        <v>43009</v>
      </c>
      <c r="I52" s="1569">
        <f t="shared" si="16"/>
        <v>42979</v>
      </c>
      <c r="J52" s="1569">
        <f t="shared" si="16"/>
        <v>42948</v>
      </c>
      <c r="K52" s="1569">
        <f t="shared" si="16"/>
        <v>42917</v>
      </c>
      <c r="L52" s="1569">
        <f t="shared" si="16"/>
        <v>42887</v>
      </c>
      <c r="M52" s="1569">
        <f t="shared" si="16"/>
        <v>42856</v>
      </c>
      <c r="N52" s="1569">
        <f t="shared" si="16"/>
        <v>42826</v>
      </c>
      <c r="O52" s="1569">
        <f t="shared" si="16"/>
        <v>42795</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5"/>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5"/>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t="s">
        <v>48</v>
      </c>
      <c r="D1" s="2405"/>
      <c r="E1" s="2405"/>
      <c r="F1" s="2407" t="s">
        <v>2109</v>
      </c>
      <c r="G1" s="2062" t="s">
        <v>2110</v>
      </c>
      <c r="H1" s="2408" t="str">
        <f>IF(G1="现房","——","估价对象范围")</f>
        <v>估价对象范围</v>
      </c>
      <c r="I1" s="2409"/>
    </row>
    <row r="2" spans="1:12" ht="21.75" customHeight="1" thickBot="1">
      <c r="A2" s="3228" t="str">
        <f>项目基本情况!S2</f>
        <v>北京市通州区砖厂南里40、41、207号楼商业用房房地产</v>
      </c>
      <c r="B2" s="3229"/>
      <c r="C2" s="3229"/>
      <c r="D2" s="3229"/>
      <c r="E2" s="3229"/>
      <c r="F2" s="3229"/>
      <c r="G2" s="3229"/>
      <c r="H2" s="3229"/>
      <c r="I2" s="3230"/>
    </row>
    <row r="3" spans="1:12" ht="12.75">
      <c r="A3" s="3232" t="s">
        <v>2111</v>
      </c>
      <c r="B3" s="3233"/>
      <c r="C3" s="3233"/>
      <c r="D3" s="3233"/>
      <c r="E3" s="3233"/>
      <c r="F3" s="3233"/>
      <c r="G3" s="3233"/>
      <c r="H3" s="3233"/>
      <c r="I3" s="3233"/>
    </row>
    <row r="4" spans="1:12" ht="14.25">
      <c r="A4" s="2412" t="s">
        <v>2112</v>
      </c>
      <c r="B4" s="2413" t="s">
        <v>2113</v>
      </c>
      <c r="C4" s="2414" t="s">
        <v>3174</v>
      </c>
      <c r="D4" s="2414" t="s">
        <v>3057</v>
      </c>
      <c r="E4" s="3225" t="s">
        <v>2114</v>
      </c>
      <c r="F4" s="3226"/>
      <c r="G4" s="3226"/>
      <c r="H4" s="3226"/>
      <c r="I4" s="3234"/>
      <c r="K4" s="2415" t="str">
        <f>IF(ISNUMBER(FIND("比较法",结果表车!C4)),"比较法",IF(ISNUMBER(FIND("成本法",结果表车!C4)),"成本法",IF(ISNUMBER(FIND("假设开发法",结果表车!C4)),"假设开发法",IF(ISNUMBER(FIND("收益法",结果表车!C4)),"收益法","基准地价系数修正法"))))</f>
        <v>比较法</v>
      </c>
      <c r="L4" s="241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08" t="s">
        <v>2115</v>
      </c>
      <c r="B5" s="3120">
        <v>25</v>
      </c>
      <c r="C5" s="3211"/>
      <c r="D5" s="3231"/>
      <c r="E5" s="139" t="s">
        <v>2116</v>
      </c>
      <c r="F5" s="2416"/>
      <c r="G5" s="2416"/>
      <c r="H5" s="2416"/>
      <c r="I5" s="1825"/>
    </row>
    <row r="6" spans="1:12" ht="12.75">
      <c r="A6" s="3208"/>
      <c r="B6" s="3120"/>
      <c r="C6" s="3212"/>
      <c r="D6" s="3231"/>
      <c r="E6" s="139" t="s">
        <v>2117</v>
      </c>
      <c r="F6" s="2416"/>
      <c r="G6" s="2416"/>
      <c r="H6" s="2416"/>
      <c r="I6" s="1825"/>
    </row>
    <row r="7" spans="1:12" ht="12.75">
      <c r="A7" s="3208"/>
      <c r="B7" s="3120"/>
      <c r="C7" s="3213"/>
      <c r="D7" s="3231"/>
      <c r="E7" s="139" t="s">
        <v>2118</v>
      </c>
      <c r="F7" s="2416"/>
      <c r="G7" s="2416"/>
      <c r="H7" s="2416"/>
      <c r="I7" s="1825"/>
    </row>
    <row r="8" spans="1:12" ht="12.75">
      <c r="A8" s="3208" t="s">
        <v>2119</v>
      </c>
      <c r="B8" s="3120">
        <v>15</v>
      </c>
      <c r="C8" s="3211"/>
      <c r="D8" s="3231"/>
      <c r="E8" s="139" t="s">
        <v>2120</v>
      </c>
      <c r="F8" s="2416"/>
      <c r="G8" s="2416"/>
      <c r="H8" s="2416"/>
      <c r="I8" s="1825"/>
    </row>
    <row r="9" spans="1:12" ht="12.75">
      <c r="A9" s="3208"/>
      <c r="B9" s="3120"/>
      <c r="C9" s="3213"/>
      <c r="D9" s="3231"/>
      <c r="E9" s="139" t="s">
        <v>2121</v>
      </c>
      <c r="F9" s="2416"/>
      <c r="G9" s="2416"/>
      <c r="H9" s="2416"/>
      <c r="I9" s="1825"/>
    </row>
    <row r="10" spans="1:12" ht="12.75">
      <c r="A10" s="3208" t="s">
        <v>2122</v>
      </c>
      <c r="B10" s="3120">
        <v>15</v>
      </c>
      <c r="C10" s="3211"/>
      <c r="D10" s="3231"/>
      <c r="E10" s="139" t="s">
        <v>2123</v>
      </c>
      <c r="F10" s="2416"/>
      <c r="G10" s="2416"/>
      <c r="H10" s="2416"/>
      <c r="I10" s="1825"/>
    </row>
    <row r="11" spans="1:12" ht="12.75">
      <c r="A11" s="3208"/>
      <c r="B11" s="3120"/>
      <c r="C11" s="3213"/>
      <c r="D11" s="3231"/>
      <c r="E11" s="139" t="s">
        <v>2124</v>
      </c>
      <c r="F11" s="2416"/>
      <c r="G11" s="2416"/>
      <c r="H11" s="2416"/>
      <c r="I11" s="1825"/>
    </row>
    <row r="12" spans="1:12" ht="12.75">
      <c r="A12" s="3208" t="s">
        <v>2125</v>
      </c>
      <c r="B12" s="3120">
        <v>15</v>
      </c>
      <c r="C12" s="3211"/>
      <c r="D12" s="3231"/>
      <c r="E12" s="139" t="s">
        <v>2126</v>
      </c>
      <c r="F12" s="2416"/>
      <c r="G12" s="2416"/>
      <c r="H12" s="2416"/>
      <c r="I12" s="1825"/>
    </row>
    <row r="13" spans="1:12" ht="12.75">
      <c r="A13" s="3208"/>
      <c r="B13" s="3120"/>
      <c r="C13" s="3213"/>
      <c r="D13" s="3231"/>
      <c r="E13" s="139" t="s">
        <v>2127</v>
      </c>
      <c r="F13" s="2416"/>
      <c r="G13" s="2416"/>
      <c r="H13" s="2416"/>
      <c r="I13" s="1825"/>
    </row>
    <row r="14" spans="1:12" ht="12.75">
      <c r="A14" s="3208" t="s">
        <v>2128</v>
      </c>
      <c r="B14" s="3120">
        <v>30</v>
      </c>
      <c r="C14" s="3211">
        <v>5</v>
      </c>
      <c r="D14" s="3231">
        <v>5</v>
      </c>
      <c r="E14" s="139" t="s">
        <v>2129</v>
      </c>
      <c r="F14" s="2416"/>
      <c r="G14" s="2416"/>
      <c r="H14" s="2416"/>
      <c r="I14" s="1825"/>
    </row>
    <row r="15" spans="1:12" ht="12.75">
      <c r="A15" s="3208"/>
      <c r="B15" s="3120"/>
      <c r="C15" s="3212"/>
      <c r="D15" s="3231"/>
      <c r="E15" s="139" t="s">
        <v>2130</v>
      </c>
      <c r="F15" s="2416"/>
      <c r="G15" s="2416"/>
      <c r="H15" s="2416"/>
      <c r="I15" s="1825"/>
    </row>
    <row r="16" spans="1:12" ht="12.75">
      <c r="A16" s="3208"/>
      <c r="B16" s="3120"/>
      <c r="C16" s="3213"/>
      <c r="D16" s="3231"/>
      <c r="E16" s="139" t="s">
        <v>2131</v>
      </c>
      <c r="F16" s="2416"/>
      <c r="G16" s="2416"/>
      <c r="H16" s="2416"/>
      <c r="I16" s="1825"/>
    </row>
    <row r="17" spans="1:35" ht="15">
      <c r="A17" s="2417" t="s">
        <v>2132</v>
      </c>
      <c r="B17" s="63"/>
      <c r="C17" s="140">
        <f>SUM(C5:C16)</f>
        <v>5</v>
      </c>
      <c r="D17" s="140">
        <f>SUM(D5:D16)</f>
        <v>5</v>
      </c>
      <c r="E17" s="137"/>
      <c r="F17" s="137"/>
      <c r="G17" s="137"/>
      <c r="H17" s="137"/>
      <c r="I17" s="137"/>
      <c r="K17" s="2415"/>
      <c r="L17" s="2418" t="s">
        <v>2133</v>
      </c>
      <c r="M17" s="2418" t="s">
        <v>2134</v>
      </c>
    </row>
    <row r="18" spans="1:35" ht="15.75" thickBot="1">
      <c r="A18" s="2419" t="s">
        <v>2135</v>
      </c>
      <c r="B18" s="2420"/>
      <c r="C18" s="141">
        <f>ROUND(C17/SUM(C17:D17),2)</f>
        <v>0.5</v>
      </c>
      <c r="D18" s="141">
        <f>1-C18</f>
        <v>0.5</v>
      </c>
      <c r="E18" s="137"/>
      <c r="F18" s="137"/>
      <c r="G18" s="137"/>
      <c r="H18" s="137"/>
      <c r="I18" s="137"/>
      <c r="K18" s="2415" t="s">
        <v>2136</v>
      </c>
      <c r="L18" s="2415">
        <f>IF(C1="",'数据-汇总表'!E3,SUMIF(项目类型,C1,'数据-汇总表'!E17:E26)+SUMIF(项目类型,C1,'数据-汇总表'!I17:I26))</f>
        <v>0</v>
      </c>
      <c r="M18" s="2415">
        <f>IF(C1="",'数据-汇总表'!E3,SUMIF(项目类型,C1,'数据-汇总表'!E17:E26))</f>
        <v>0</v>
      </c>
    </row>
    <row r="19" spans="1:35" ht="15">
      <c r="A19" s="2421" t="s">
        <v>2137</v>
      </c>
      <c r="B19" s="2422" t="s">
        <v>2138</v>
      </c>
      <c r="C19" s="142">
        <f ca="1">SUMIF(INDIRECT("'"&amp;C4&amp;"'"&amp;"!A:A"),结果表车!B19,INDIRECT("'"&amp;C4&amp;"'"&amp;"!B:B"))</f>
        <v>0</v>
      </c>
      <c r="D19" s="143" t="e">
        <f ca="1">SUMIF(INDIRECT("'"&amp;D4&amp;"'"&amp;"!A:A"),结果表车!B19,INDIRECT("'"&amp;D4&amp;"'"&amp;"!B:B"))</f>
        <v>#N/A</v>
      </c>
      <c r="E19" s="2421" t="s">
        <v>2139</v>
      </c>
      <c r="F19" s="2422" t="s">
        <v>2138</v>
      </c>
      <c r="G19" s="144" t="e">
        <f ca="1">ROUND(C19*$C$18+D19*$D$18,0)</f>
        <v>#N/A</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t="e">
        <f ca="1">SUMIF(INDIRECT("'"&amp;C4&amp;"'"&amp;"!A:A"),结果表车!B20,INDIRECT("'"&amp;C4&amp;"'"&amp;"!B:B"))</f>
        <v>#DIV/0!</v>
      </c>
      <c r="D20" s="146">
        <f ca="1">SUMIF(INDIRECT("'"&amp;D4&amp;"'"&amp;"!A:A"),结果表车!B20,INDIRECT("'"&amp;D4&amp;"'"&amp;"!B:B"))</f>
        <v>0</v>
      </c>
      <c r="E20" s="2424"/>
      <c r="F20" s="1241" t="s">
        <v>2142</v>
      </c>
      <c r="G20" s="147" t="e">
        <f ca="1">ROUND(C20*$C$18+D20*$D$18,0)</f>
        <v>#DIV/0!</v>
      </c>
      <c r="H20" s="976" t="s">
        <v>2143</v>
      </c>
      <c r="I20" s="137"/>
    </row>
    <row r="21" spans="1:35" ht="15" customHeight="1" thickBot="1">
      <c r="A21" s="996"/>
      <c r="B21" s="2425" t="s">
        <v>2144</v>
      </c>
      <c r="C21" s="787" t="e">
        <f ca="1">ROUND(C19*10000/L19,0)</f>
        <v>#DIV/0!</v>
      </c>
      <c r="D21" s="788" t="e">
        <f ca="1">ROUND(D19*10000/L19,0)</f>
        <v>#N/A</v>
      </c>
      <c r="E21" s="996"/>
      <c r="F21" s="2425" t="s">
        <v>2144</v>
      </c>
      <c r="G21" s="148" t="e">
        <f ca="1">ROUND(G19*10000/L19,0)</f>
        <v>#N/A</v>
      </c>
      <c r="H21" s="2426" t="s">
        <v>2143</v>
      </c>
      <c r="I21" s="137"/>
    </row>
    <row r="22" spans="1:35" ht="15" thickBot="1">
      <c r="A22" s="2271" t="s">
        <v>2145</v>
      </c>
      <c r="B22" s="2427"/>
      <c r="C22" s="2428"/>
      <c r="D22" s="789" t="e">
        <f ca="1">IF(C19&lt;D19,D19/C19-1,C19/D19-1)</f>
        <v>#N/A</v>
      </c>
      <c r="E22" s="137"/>
      <c r="F22" s="137"/>
      <c r="G22" s="137"/>
      <c r="H22" s="137"/>
      <c r="I22" s="137"/>
    </row>
    <row r="23" spans="1:35" ht="13.5" thickBot="1">
      <c r="A23" s="2405"/>
      <c r="B23" s="2405"/>
      <c r="C23" s="2405"/>
      <c r="D23" s="2405"/>
      <c r="E23" s="137"/>
      <c r="F23" s="137"/>
      <c r="G23" s="137"/>
      <c r="H23" s="137"/>
      <c r="I23" s="137"/>
    </row>
    <row r="24" spans="1:35" ht="14.25">
      <c r="A24" s="3202" t="s">
        <v>2146</v>
      </c>
      <c r="B24" s="2422" t="s">
        <v>2138</v>
      </c>
      <c r="C24" s="144">
        <f>IF(B30=0,0,D30)</f>
        <v>0</v>
      </c>
      <c r="D24" s="2429"/>
      <c r="E24" s="137"/>
      <c r="F24" s="137"/>
      <c r="G24" s="137"/>
      <c r="H24" s="137"/>
      <c r="I24" s="137"/>
    </row>
    <row r="25" spans="1:35" ht="14.25">
      <c r="A25" s="3203"/>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t="e">
        <f ca="1">IF(D32="总价",G19-C24,G20-C25)</f>
        <v>#N/A</v>
      </c>
      <c r="D32" s="2436" t="s">
        <v>2153</v>
      </c>
      <c r="E32" s="137"/>
      <c r="F32" s="137"/>
      <c r="G32" s="137"/>
      <c r="H32" s="137"/>
      <c r="I32" s="137"/>
    </row>
    <row r="33" spans="1:15" ht="15">
      <c r="A33" s="953" t="s">
        <v>2154</v>
      </c>
      <c r="B33" s="2437"/>
      <c r="C33" s="2438" t="s">
        <v>3173</v>
      </c>
      <c r="D33" s="2439" t="s">
        <v>3057</v>
      </c>
      <c r="E33" s="2440" t="s">
        <v>2155</v>
      </c>
      <c r="F33" s="2937"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20" t="s">
        <v>2160</v>
      </c>
      <c r="B36" s="2448" t="s">
        <v>2161</v>
      </c>
      <c r="C36" s="153"/>
      <c r="D36" s="2449"/>
      <c r="E36" s="2450"/>
      <c r="F36" s="2451"/>
      <c r="G36" s="137"/>
      <c r="H36" s="137"/>
      <c r="I36" s="137"/>
    </row>
    <row r="37" spans="1:15" ht="15.75" thickBot="1">
      <c r="A37" s="3221"/>
      <c r="B37" s="2257" t="s">
        <v>2162</v>
      </c>
      <c r="C37" s="155"/>
      <c r="D37" s="1386"/>
      <c r="E37" s="1386"/>
      <c r="F37" s="2451"/>
      <c r="G37" s="137"/>
      <c r="H37" s="137"/>
      <c r="I37" s="137"/>
    </row>
    <row r="38" spans="1:15" ht="15.75" thickBot="1">
      <c r="A38" s="3222"/>
      <c r="B38" s="2452" t="s">
        <v>2163</v>
      </c>
      <c r="C38" s="725"/>
      <c r="D38" s="2453" t="s">
        <v>2164</v>
      </c>
      <c r="E38" s="1386"/>
      <c r="F38" s="2451"/>
      <c r="G38" s="137"/>
      <c r="H38" s="137"/>
      <c r="I38" s="137"/>
    </row>
    <row r="39" spans="1:15" ht="15">
      <c r="A39" s="2424" t="s">
        <v>2165</v>
      </c>
      <c r="B39" s="2454" t="s">
        <v>2148</v>
      </c>
      <c r="C39" s="2455" t="s">
        <v>2149</v>
      </c>
      <c r="D39" s="2455" t="s">
        <v>2168</v>
      </c>
      <c r="E39" s="2456" t="s">
        <v>2150</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hidden="1">
      <c r="A44" s="2461" t="s">
        <v>2172</v>
      </c>
      <c r="B44" s="2462"/>
      <c r="C44" s="2462"/>
      <c r="D44" s="2463"/>
      <c r="E44" s="2463"/>
      <c r="F44" s="2464"/>
      <c r="G44" s="2464"/>
      <c r="H44" s="2464"/>
      <c r="I44" s="2464"/>
      <c r="J44" s="2465" t="s">
        <v>2173</v>
      </c>
      <c r="K44" s="2466"/>
      <c r="L44" s="2466"/>
      <c r="M44" s="2466"/>
      <c r="N44" s="2466"/>
      <c r="O44" s="2466"/>
    </row>
    <row r="45" spans="1:15" ht="14.25" hidden="1" customHeight="1" thickBot="1">
      <c r="A45" s="3199" t="s">
        <v>2174</v>
      </c>
      <c r="B45" s="3200"/>
      <c r="C45" s="3201"/>
      <c r="D45" s="163" t="e">
        <f ca="1">ROUND(H101*F45,0)</f>
        <v>#N/A</v>
      </c>
      <c r="E45" s="164" t="s">
        <v>2175</v>
      </c>
      <c r="F45" s="165">
        <v>1</v>
      </c>
      <c r="G45" s="166" t="s">
        <v>2176</v>
      </c>
      <c r="H45" s="137"/>
      <c r="I45" s="137"/>
      <c r="J45" s="3259" t="s">
        <v>2177</v>
      </c>
      <c r="K45" s="3259"/>
      <c r="L45" s="3259"/>
      <c r="M45" s="3259"/>
      <c r="N45" s="3259"/>
      <c r="O45" s="3259"/>
    </row>
    <row r="46" spans="1:15" ht="14.25" hidden="1" customHeight="1">
      <c r="A46" s="3196" t="s">
        <v>2178</v>
      </c>
      <c r="B46" s="3197"/>
      <c r="C46" s="3197"/>
      <c r="D46" s="3197"/>
      <c r="E46" s="3197"/>
      <c r="F46" s="3197"/>
      <c r="G46" s="3198"/>
      <c r="H46" s="2467"/>
      <c r="I46" s="167"/>
      <c r="J46" s="2946">
        <v>1</v>
      </c>
      <c r="K46" s="3259" t="s">
        <v>2179</v>
      </c>
      <c r="L46" s="3259"/>
      <c r="M46" s="3279"/>
      <c r="N46" s="3279"/>
      <c r="O46" s="3279"/>
    </row>
    <row r="47" spans="1:15" ht="12" hidden="1" customHeight="1">
      <c r="A47" s="168" t="s">
        <v>2180</v>
      </c>
      <c r="B47" s="169"/>
      <c r="C47" s="170"/>
      <c r="D47" s="171" t="s">
        <v>2181</v>
      </c>
      <c r="E47" s="24" t="s">
        <v>2182</v>
      </c>
      <c r="F47" s="172" t="s">
        <v>2183</v>
      </c>
      <c r="G47" s="173" t="s">
        <v>2184</v>
      </c>
      <c r="H47" s="2467"/>
      <c r="I47" s="167"/>
      <c r="J47" s="2946">
        <v>2</v>
      </c>
      <c r="K47" s="3259" t="s">
        <v>2185</v>
      </c>
      <c r="L47" s="3259"/>
      <c r="M47" s="3280">
        <f>'数据-取费表'!B2</f>
        <v>43185</v>
      </c>
      <c r="N47" s="3280"/>
      <c r="O47" s="3280"/>
    </row>
    <row r="48" spans="1:15" ht="25.5" hidden="1">
      <c r="A48" s="3227" t="s">
        <v>2186</v>
      </c>
      <c r="B48" s="3210"/>
      <c r="C48" s="3210"/>
      <c r="D48" s="139">
        <f>IF(H48="情况1",0,IF(H48="情况2",D52,IF(H48="情况3",D53,IF(H48="情况4",D54))))</f>
        <v>0</v>
      </c>
      <c r="E48" s="2955" t="str">
        <f>IF(H48="情况4","(销售额-原购置价)×税（费）率","销售额×税（费）率")</f>
        <v>销售额×税（费）率</v>
      </c>
      <c r="F48" s="174" t="str">
        <f>IF(H48="情况1","免征",'数据-取费表'!B41)</f>
        <v>免征</v>
      </c>
      <c r="G48" s="2468" t="s">
        <v>2187</v>
      </c>
      <c r="H48" s="2469" t="s">
        <v>2188</v>
      </c>
      <c r="I48" s="2467"/>
      <c r="J48" s="2946">
        <v>3</v>
      </c>
      <c r="K48" s="3259" t="s">
        <v>2189</v>
      </c>
      <c r="L48" s="3259"/>
      <c r="M48" s="3281" t="e">
        <f ca="1">H101</f>
        <v>#N/A</v>
      </c>
      <c r="N48" s="3281"/>
      <c r="O48" s="3281"/>
    </row>
    <row r="49" spans="1:35" ht="25.5" hidden="1" customHeight="1">
      <c r="A49" s="175" t="s">
        <v>2190</v>
      </c>
      <c r="B49" s="3195" t="s">
        <v>2191</v>
      </c>
      <c r="C49" s="3195"/>
      <c r="D49" s="176">
        <v>0</v>
      </c>
      <c r="E49" s="23" t="s">
        <v>2192</v>
      </c>
      <c r="F49" s="28" t="s">
        <v>34</v>
      </c>
      <c r="G49" s="3265"/>
      <c r="H49" s="137"/>
      <c r="I49" s="2470"/>
      <c r="J49" s="2946">
        <v>4</v>
      </c>
      <c r="K49" s="3259" t="str">
        <f>IF(项目基本情况!E8="房地产抵押价值","房地产抵押价值","抵押担保权已注销时的房地产抵押价值")</f>
        <v>房地产抵押价值</v>
      </c>
      <c r="L49" s="3259"/>
      <c r="M49" s="3281" t="e">
        <f ca="1">IF(项目基本情况!E8="房地产抵押价值",H107,H109)</f>
        <v>#N/A</v>
      </c>
      <c r="N49" s="3281"/>
      <c r="O49" s="3281"/>
    </row>
    <row r="50" spans="1:35" ht="25.5" hidden="1" customHeight="1">
      <c r="A50" s="177"/>
      <c r="B50" s="3195" t="s">
        <v>2193</v>
      </c>
      <c r="C50" s="3195"/>
      <c r="D50" s="178"/>
      <c r="E50" s="31"/>
      <c r="F50" s="179"/>
      <c r="G50" s="3266"/>
      <c r="H50" s="137"/>
      <c r="I50" s="2470"/>
      <c r="J50" s="3259" t="s">
        <v>2194</v>
      </c>
      <c r="K50" s="3259"/>
      <c r="L50" s="3259"/>
      <c r="M50" s="3259"/>
      <c r="N50" s="3259"/>
      <c r="O50" s="3259"/>
    </row>
    <row r="51" spans="1:35" ht="12" hidden="1" customHeight="1">
      <c r="A51" s="180"/>
      <c r="B51" s="3195" t="s">
        <v>2195</v>
      </c>
      <c r="C51" s="3195"/>
      <c r="D51" s="181"/>
      <c r="E51" s="30"/>
      <c r="F51" s="179"/>
      <c r="G51" s="3267"/>
      <c r="H51" s="137"/>
      <c r="I51" s="2470"/>
      <c r="J51" s="2939" t="s">
        <v>2196</v>
      </c>
      <c r="K51" s="3259" t="s">
        <v>2197</v>
      </c>
      <c r="L51" s="3259"/>
      <c r="M51" s="2939" t="s">
        <v>2198</v>
      </c>
      <c r="N51" s="2939" t="s">
        <v>2199</v>
      </c>
      <c r="O51" s="2939" t="s">
        <v>2200</v>
      </c>
    </row>
    <row r="52" spans="1:35" ht="24" hidden="1" customHeight="1">
      <c r="A52" s="182" t="s">
        <v>2201</v>
      </c>
      <c r="B52" s="3195" t="s">
        <v>2202</v>
      </c>
      <c r="C52" s="3195"/>
      <c r="D52" s="181" t="e">
        <f ca="1">ROUND(D45*'数据-取费表'!B41/(1+'数据-取费表'!C42),0)</f>
        <v>#N/A</v>
      </c>
      <c r="E52" s="11" t="s">
        <v>2203</v>
      </c>
      <c r="F52" s="183">
        <f>'数据-取费表'!B41</f>
        <v>5.5000000000000007E-2</v>
      </c>
      <c r="G52" s="2472"/>
      <c r="H52" s="137"/>
      <c r="I52" s="2470"/>
      <c r="J52" s="2946">
        <v>1</v>
      </c>
      <c r="K52" s="3260" t="s">
        <v>2204</v>
      </c>
      <c r="L52" s="3260"/>
      <c r="M52" s="1745">
        <f>D48</f>
        <v>0</v>
      </c>
      <c r="N52" s="2946" t="str">
        <f>E48</f>
        <v>销售额×税（费）率</v>
      </c>
      <c r="O52" s="1746" t="str">
        <f>F48</f>
        <v>免征</v>
      </c>
    </row>
    <row r="53" spans="1:35" ht="12" hidden="1" customHeight="1">
      <c r="A53" s="182" t="s">
        <v>2205</v>
      </c>
      <c r="B53" s="3218" t="s">
        <v>2206</v>
      </c>
      <c r="C53" s="3219"/>
      <c r="D53" s="181" t="e">
        <f ca="1">ROUND(D45*'数据-取费表'!B41/(1+'数据-取费表'!C42),0)</f>
        <v>#N/A</v>
      </c>
      <c r="E53" s="11" t="s">
        <v>2203</v>
      </c>
      <c r="F53" s="183">
        <f>'数据-取费表'!B41</f>
        <v>5.5000000000000007E-2</v>
      </c>
      <c r="G53" s="2472"/>
      <c r="H53" s="137"/>
      <c r="I53" s="2470"/>
      <c r="J53" s="2946">
        <v>2</v>
      </c>
      <c r="K53" s="3260" t="s">
        <v>2207</v>
      </c>
      <c r="L53" s="3260"/>
      <c r="M53" s="1745" t="e">
        <f t="shared" ref="M53:O54" ca="1" si="0">D55</f>
        <v>#N/A</v>
      </c>
      <c r="N53" s="2946" t="str">
        <f t="shared" si="0"/>
        <v>销售额×税（费）率</v>
      </c>
      <c r="O53" s="1746">
        <f t="shared" si="0"/>
        <v>5.0000000000000001E-4</v>
      </c>
    </row>
    <row r="54" spans="1:35" ht="12" hidden="1" customHeight="1">
      <c r="A54" s="182" t="s">
        <v>2208</v>
      </c>
      <c r="B54" s="3218" t="s">
        <v>2209</v>
      </c>
      <c r="C54" s="3219"/>
      <c r="D54" s="181" t="e">
        <f ca="1">C68</f>
        <v>#N/A</v>
      </c>
      <c r="E54" s="30" t="s">
        <v>2210</v>
      </c>
      <c r="F54" s="183">
        <f>'数据-取费表'!B41</f>
        <v>5.5000000000000007E-2</v>
      </c>
      <c r="G54" s="2472"/>
      <c r="H54" s="2473"/>
      <c r="I54" s="2470"/>
      <c r="J54" s="2946">
        <v>3</v>
      </c>
      <c r="K54" s="3260" t="s">
        <v>2211</v>
      </c>
      <c r="L54" s="3260"/>
      <c r="M54" s="1745" t="e">
        <f t="shared" ca="1" si="0"/>
        <v>#N/A</v>
      </c>
      <c r="N54" s="2946" t="str">
        <f t="shared" si="0"/>
        <v>增值额×税（费）率</v>
      </c>
      <c r="O54" s="1747" t="str">
        <f t="shared" si="0"/>
        <v>——</v>
      </c>
    </row>
    <row r="55" spans="1:35" ht="24" hidden="1" customHeight="1">
      <c r="A55" s="3209" t="s">
        <v>2212</v>
      </c>
      <c r="B55" s="3210"/>
      <c r="C55" s="3210"/>
      <c r="D55" s="184" t="e">
        <f ca="1">IF(H55="个人住宅",0,ROUND(D45*I55,0))</f>
        <v>#N/A</v>
      </c>
      <c r="E55" s="11" t="s">
        <v>2213</v>
      </c>
      <c r="F55" s="183">
        <f>IF(H55="正常",I55,"免征")</f>
        <v>5.0000000000000001E-4</v>
      </c>
      <c r="G55" s="2472"/>
      <c r="H55" s="2469" t="s">
        <v>2214</v>
      </c>
      <c r="I55" s="185">
        <f>'数据-取费表'!B49</f>
        <v>5.0000000000000001E-4</v>
      </c>
      <c r="J55" s="2946" t="str">
        <f>IF(H59="非个人房产","",4)</f>
        <v/>
      </c>
      <c r="K55" s="3260" t="str">
        <f>IF(H59="非个人房产","——","个人所得税")</f>
        <v>——</v>
      </c>
      <c r="L55" s="3260"/>
      <c r="M55" s="1748" t="str">
        <f>D59</f>
        <v>——</v>
      </c>
      <c r="N55" s="2947" t="str">
        <f>E59</f>
        <v>——</v>
      </c>
      <c r="O55" s="1749" t="str">
        <f>F59</f>
        <v>——</v>
      </c>
    </row>
    <row r="56" spans="1:35" ht="24.75" hidden="1">
      <c r="A56" s="3209" t="s">
        <v>2215</v>
      </c>
      <c r="B56" s="3210"/>
      <c r="C56" s="3210"/>
      <c r="D56" s="184" t="e">
        <f ca="1">IF(H56="个人住宅",D57,D58)</f>
        <v>#N/A</v>
      </c>
      <c r="E56" s="11" t="s">
        <v>2216</v>
      </c>
      <c r="F56" s="183" t="str">
        <f>IF(H56="正常",F58,"免征")</f>
        <v>——</v>
      </c>
      <c r="G56" s="2474" t="s">
        <v>2217</v>
      </c>
      <c r="H56" s="2475" t="s">
        <v>2214</v>
      </c>
      <c r="I56" s="2476"/>
      <c r="J56" s="2946" t="str">
        <f>IF(项目基本情况!K6="上海银行",IF(J55="",4,J55+1),"")</f>
        <v/>
      </c>
      <c r="K56" s="3283" t="str">
        <f>IF(项目基本情况!K6="上海银行","其他处置费用","")</f>
        <v/>
      </c>
      <c r="L56" s="3284"/>
      <c r="M56" s="1745" t="str">
        <f>IF(项目基本情况!K6="上海银行",M69,"")</f>
        <v/>
      </c>
      <c r="N56" s="3286" t="str">
        <f>IF(项目基本情况!K6="上海银行","包含处置中涉及的律师、诉讼、拍卖、评估等费用","")</f>
        <v/>
      </c>
      <c r="O56" s="3287"/>
    </row>
    <row r="57" spans="1:35" ht="12.75" hidden="1">
      <c r="A57" s="182" t="s">
        <v>2190</v>
      </c>
      <c r="B57" s="3225" t="s">
        <v>2218</v>
      </c>
      <c r="C57" s="3234"/>
      <c r="D57" s="186">
        <v>0</v>
      </c>
      <c r="E57" s="23" t="s">
        <v>2192</v>
      </c>
      <c r="F57" s="154"/>
      <c r="G57" s="2472"/>
      <c r="H57" s="2476"/>
      <c r="I57" s="2476"/>
      <c r="J57" s="3260">
        <f>IF(AND(J55="",J56=""),4,IF(项目基本情况!K6="上海银行",结果表车!J56+1,结果表车!J55+1))</f>
        <v>4</v>
      </c>
      <c r="K57" s="3260" t="s">
        <v>2219</v>
      </c>
      <c r="L57" s="2477" t="s">
        <v>2220</v>
      </c>
      <c r="M57" s="1750"/>
      <c r="N57" s="1751">
        <f ca="1">SUMIF(M52:M56,"&lt;9e307")</f>
        <v>0</v>
      </c>
      <c r="O57" s="2478"/>
      <c r="P57" s="1744" t="e">
        <f ca="1">N57/M49</f>
        <v>#N/A</v>
      </c>
    </row>
    <row r="58" spans="1:35" ht="24.75" hidden="1">
      <c r="A58" s="182" t="s">
        <v>2201</v>
      </c>
      <c r="B58" s="3225" t="s">
        <v>2221</v>
      </c>
      <c r="C58" s="3226"/>
      <c r="D58" s="184" t="e">
        <f ca="1">IF(H58="转让取得",C81,C97)</f>
        <v>#N/A</v>
      </c>
      <c r="E58" s="11" t="s">
        <v>2216</v>
      </c>
      <c r="F58" s="24" t="s">
        <v>34</v>
      </c>
      <c r="G58" s="2472"/>
      <c r="H58" s="2475" t="s">
        <v>2222</v>
      </c>
      <c r="I58" s="2476"/>
      <c r="J58" s="3260"/>
      <c r="K58" s="3260"/>
      <c r="L58" s="2477" t="s">
        <v>2223</v>
      </c>
      <c r="M58" s="1752"/>
      <c r="N58" s="2479" t="str">
        <f ca="1">NUMBERSTRING(INT(N57*10000),2)&amp;"元整"</f>
        <v>零元整</v>
      </c>
      <c r="O58" s="2480"/>
    </row>
    <row r="59" spans="1:35" ht="24.75" hidden="1" thickBot="1">
      <c r="A59" s="3263" t="s">
        <v>2224</v>
      </c>
      <c r="B59" s="3264"/>
      <c r="C59" s="3264"/>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61">
        <f>J57+1</f>
        <v>5</v>
      </c>
      <c r="K59" s="3260" t="s">
        <v>2226</v>
      </c>
      <c r="L59" s="2946" t="s">
        <v>2220</v>
      </c>
      <c r="M59" s="1753"/>
      <c r="N59" s="1754" t="e">
        <f ca="1">M49-N57</f>
        <v>#N/A</v>
      </c>
      <c r="O59" s="2482"/>
    </row>
    <row r="60" spans="1:35" ht="12" hidden="1" customHeight="1">
      <c r="A60" s="2483"/>
      <c r="B60" s="2405"/>
      <c r="C60" s="2405"/>
      <c r="D60" s="2405"/>
      <c r="E60" s="2158"/>
      <c r="F60" s="2476"/>
      <c r="G60" s="2476"/>
      <c r="H60" s="2484"/>
      <c r="I60" s="137"/>
      <c r="J60" s="3262"/>
      <c r="K60" s="3260"/>
      <c r="L60" s="2477" t="s">
        <v>2223</v>
      </c>
      <c r="M60" s="1752"/>
      <c r="N60" s="2479" t="e">
        <f ca="1">NUMBERSTRING(INT(N59*10000),2)&amp;"元整"</f>
        <v>#N/A</v>
      </c>
      <c r="O60" s="2480"/>
    </row>
    <row r="61" spans="1:35" ht="13.5" hidden="1" thickBot="1">
      <c r="A61" s="3207" t="s">
        <v>2227</v>
      </c>
      <c r="B61" s="3207"/>
      <c r="C61" s="3207"/>
      <c r="D61" s="3207"/>
      <c r="E61" s="3207"/>
      <c r="F61" s="2476"/>
      <c r="G61" s="2476"/>
      <c r="H61" s="2484"/>
      <c r="I61" s="137"/>
      <c r="J61" s="2946">
        <f>J59+1</f>
        <v>6</v>
      </c>
      <c r="K61" s="3260" t="s">
        <v>2228</v>
      </c>
      <c r="L61" s="3260"/>
      <c r="M61" s="1755"/>
      <c r="N61" s="1756" t="e">
        <f ca="1">ROUND(N59*10000/'数据-汇总表'!E3,0)</f>
        <v>#N/A</v>
      </c>
      <c r="O61" s="2485"/>
    </row>
    <row r="62" spans="1:35" ht="12.75" hidden="1">
      <c r="A62" s="3223" t="s">
        <v>2229</v>
      </c>
      <c r="B62" s="3224"/>
      <c r="C62" s="2951"/>
      <c r="D62" s="2951" t="s">
        <v>2230</v>
      </c>
      <c r="E62" s="191" t="s">
        <v>2231</v>
      </c>
      <c r="F62" s="2476"/>
      <c r="G62" s="2476"/>
      <c r="H62" s="2484"/>
      <c r="I62" s="137"/>
    </row>
    <row r="63" spans="1:35" ht="12.75" hidden="1">
      <c r="A63" s="202" t="s">
        <v>775</v>
      </c>
      <c r="B63" s="192" t="s">
        <v>2232</v>
      </c>
      <c r="C63" s="193" t="e">
        <f ca="1">ROUND((C64+C65)/(1+'数据-取费表'!C42),0)</f>
        <v>#N/A</v>
      </c>
      <c r="D63" s="194"/>
      <c r="E63" s="195"/>
      <c r="F63" s="2476"/>
      <c r="G63" s="2476"/>
      <c r="H63" s="2484"/>
      <c r="I63" s="137"/>
      <c r="J63" s="3285" t="s">
        <v>2233</v>
      </c>
      <c r="K63" s="2942" t="s">
        <v>2234</v>
      </c>
      <c r="L63" s="1743" t="e">
        <f ca="1">IF(M49&gt;10000,M49*0.5%,IF(AND(M49&gt;1000,M49&lt;=10000),M49*1%,IF(AND(M49&gt;100,M49&lt;=1000),M49*3%,IF(AND(M49&gt;10,M49&lt;=100),M49*5%,M49*8%))))</f>
        <v>#N/A</v>
      </c>
      <c r="M63" s="24" t="e">
        <f ca="1">ROUND(L63,1)</f>
        <v>#N/A</v>
      </c>
      <c r="Z63" s="2410"/>
      <c r="AI63" s="2411"/>
    </row>
    <row r="64" spans="1:35" ht="14.25" hidden="1" customHeight="1">
      <c r="A64" s="196" t="s">
        <v>770</v>
      </c>
      <c r="B64" s="197" t="s">
        <v>2235</v>
      </c>
      <c r="C64" s="198" t="e">
        <f ca="1">D45</f>
        <v>#N/A</v>
      </c>
      <c r="D64" s="199" t="s">
        <v>32</v>
      </c>
      <c r="E64" s="200"/>
      <c r="F64" s="2476"/>
      <c r="G64" s="2476"/>
      <c r="H64" s="2484"/>
      <c r="I64" s="137"/>
      <c r="J64" s="3285"/>
      <c r="K64" s="2942" t="s">
        <v>2236</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2237</v>
      </c>
      <c r="Z64" s="2410"/>
      <c r="AI64" s="2411"/>
    </row>
    <row r="65" spans="1:35" ht="14.25" hidden="1" customHeight="1">
      <c r="A65" s="196" t="s">
        <v>771</v>
      </c>
      <c r="B65" s="197" t="s">
        <v>2238</v>
      </c>
      <c r="C65" s="201"/>
      <c r="D65" s="199"/>
      <c r="E65" s="200"/>
      <c r="F65" s="2476"/>
      <c r="G65" s="2476"/>
      <c r="H65" s="2484"/>
      <c r="I65" s="137"/>
      <c r="J65" s="3285"/>
      <c r="K65" s="2942" t="s">
        <v>2239</v>
      </c>
      <c r="L65" s="1743" t="e">
        <f ca="1">IF(M49&gt;1000,M49*0.1%,IF(AND(M49&gt;500,M49&lt;=1000),M49*0.5%,IF(AND(M49&gt;50,M49&lt;=500),M49*1%,IF(AND(M49&gt;1,M49&lt;=50),M49*1.5%))))</f>
        <v>#N/A</v>
      </c>
      <c r="M65" s="24" t="e">
        <f t="shared" ca="1" si="1"/>
        <v>#N/A</v>
      </c>
      <c r="N65" s="137" t="s">
        <v>2237</v>
      </c>
      <c r="Z65" s="2410"/>
      <c r="AI65" s="2411"/>
    </row>
    <row r="66" spans="1:35" ht="14.25" hidden="1" customHeight="1">
      <c r="A66" s="202" t="s">
        <v>772</v>
      </c>
      <c r="B66" s="203" t="s">
        <v>2240</v>
      </c>
      <c r="C66" s="204"/>
      <c r="D66" s="205" t="s">
        <v>32</v>
      </c>
      <c r="E66" s="1767" t="s">
        <v>1369</v>
      </c>
      <c r="F66" s="2476"/>
      <c r="G66" s="2476"/>
      <c r="H66" s="2484"/>
      <c r="I66" s="137"/>
      <c r="J66" s="3285"/>
      <c r="K66" s="2942" t="s">
        <v>2241</v>
      </c>
      <c r="L66" s="1743" t="e">
        <f ca="1">M49*0.5%</f>
        <v>#N/A</v>
      </c>
      <c r="M66" s="24" t="e">
        <f ca="1">IF(L66&gt;0.5,0.5,ROUND(L66,0))</f>
        <v>#N/A</v>
      </c>
      <c r="N66" s="137" t="s">
        <v>2242</v>
      </c>
      <c r="Z66" s="2410"/>
      <c r="AI66" s="2411"/>
    </row>
    <row r="67" spans="1:35" ht="14.25" hidden="1" customHeight="1">
      <c r="A67" s="202" t="s">
        <v>773</v>
      </c>
      <c r="B67" s="203" t="s">
        <v>2243</v>
      </c>
      <c r="C67" s="206" t="e">
        <f ca="1">C63-C66</f>
        <v>#N/A</v>
      </c>
      <c r="D67" s="199" t="s">
        <v>32</v>
      </c>
      <c r="E67" s="200"/>
      <c r="F67" s="2476"/>
      <c r="G67" s="2476"/>
      <c r="H67" s="2484"/>
      <c r="I67" s="137"/>
      <c r="J67" s="3285"/>
      <c r="K67" s="2942" t="s">
        <v>2244</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hidden="1" customHeight="1" thickBot="1">
      <c r="A68" s="207" t="s">
        <v>774</v>
      </c>
      <c r="B68" s="208" t="s">
        <v>2245</v>
      </c>
      <c r="C68" s="209" t="e">
        <f ca="1">IF(C67&lt;=0,0,ROUND(C67*D68,0))</f>
        <v>#N/A</v>
      </c>
      <c r="D68" s="210">
        <f>'数据-取费表'!B41</f>
        <v>5.5000000000000007E-2</v>
      </c>
      <c r="E68" s="211"/>
      <c r="F68" s="2476"/>
      <c r="G68" s="2476"/>
      <c r="H68" s="2484"/>
      <c r="I68" s="137"/>
      <c r="J68" s="3285"/>
      <c r="K68" s="2942" t="s">
        <v>2246</v>
      </c>
      <c r="L68" s="1743" t="e">
        <f ca="1">IF(M49&gt;10000,M49*0.5%,IF(AND(M49&gt;5000,M49&lt;=10000),M49*1%,IF(AND(M49&gt;1000,M49&lt;=5000),M49*2%,IF(AND(M49&gt;200,M49&lt;=1000),M49*3%,M49*5%))))</f>
        <v>#N/A</v>
      </c>
      <c r="M68" s="24" t="e">
        <f ca="1">ROUND(L68,1)</f>
        <v>#N/A</v>
      </c>
      <c r="Z68" s="2410"/>
      <c r="AI68" s="2411"/>
    </row>
    <row r="69" spans="1:35" s="2433" customFormat="1" ht="16.5" hidden="1" customHeight="1">
      <c r="A69" s="2487"/>
      <c r="B69" s="2488"/>
      <c r="C69" s="2489"/>
      <c r="D69" s="2490"/>
      <c r="E69" s="2491"/>
      <c r="F69" s="2158"/>
      <c r="G69" s="2158"/>
      <c r="H69" s="2157"/>
      <c r="I69" s="2405"/>
      <c r="J69" s="3285"/>
      <c r="K69" s="2942" t="s">
        <v>2247</v>
      </c>
      <c r="L69" s="2492"/>
      <c r="M69" s="24" t="e">
        <f ca="1">ROUND(SUM(M63:M68),0)</f>
        <v>#N/A</v>
      </c>
      <c r="N69" s="1744" t="e">
        <f ca="1">M69/M49</f>
        <v>#N/A</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hidden="1" thickBot="1">
      <c r="A70" s="3244" t="s">
        <v>2248</v>
      </c>
      <c r="B70" s="3245"/>
      <c r="C70" s="3245"/>
      <c r="D70" s="3245"/>
      <c r="E70" s="3245"/>
      <c r="F70" s="3245"/>
      <c r="G70" s="3245"/>
      <c r="H70" s="3245"/>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223" t="s">
        <v>2229</v>
      </c>
      <c r="B71" s="3224"/>
      <c r="C71" s="2951"/>
      <c r="D71" s="2951"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2" t="s">
        <v>775</v>
      </c>
      <c r="B72" s="203" t="s">
        <v>2249</v>
      </c>
      <c r="C72" s="206" t="e">
        <f ca="1">ROUND(D45/(1+'数据-取费表'!C42),0)</f>
        <v>#N/A</v>
      </c>
      <c r="D72" s="199" t="s">
        <v>32</v>
      </c>
      <c r="E72" s="2953"/>
      <c r="F72" s="2952"/>
      <c r="G72" s="2952"/>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2" t="s">
        <v>772</v>
      </c>
      <c r="B73" s="172" t="s">
        <v>2250</v>
      </c>
      <c r="C73" s="206" t="e">
        <f ca="1">C74+C78</f>
        <v>#N/A</v>
      </c>
      <c r="D73" s="199" t="s">
        <v>32</v>
      </c>
      <c r="E73" s="2953"/>
      <c r="F73" s="2952"/>
      <c r="G73" s="2952"/>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6" t="s">
        <v>770</v>
      </c>
      <c r="B74" s="197" t="s">
        <v>2251</v>
      </c>
      <c r="C74" s="199">
        <f>ROUND(IF(G77="2016年5月1日后购买",C75/(1+'数据-取费表'!C42)+C76+C77,C75+C76+C77),0)</f>
        <v>0</v>
      </c>
      <c r="D74" s="199" t="s">
        <v>32</v>
      </c>
      <c r="E74" s="2953"/>
      <c r="F74" s="2952"/>
      <c r="G74" s="2952"/>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6" t="s">
        <v>777</v>
      </c>
      <c r="B76" s="220" t="s">
        <v>2256</v>
      </c>
      <c r="C76" s="199">
        <f>IF(F75="购房发票",ROUND(C75*H75*D76,0),0)</f>
        <v>0</v>
      </c>
      <c r="D76" s="221">
        <v>0.05</v>
      </c>
      <c r="E76" s="3218" t="s">
        <v>2257</v>
      </c>
      <c r="F76" s="3195"/>
      <c r="G76" s="3195"/>
      <c r="H76" s="324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2943" t="s">
        <v>2259</v>
      </c>
      <c r="F77" s="223"/>
      <c r="G77" s="2500" t="s">
        <v>2260</v>
      </c>
      <c r="H77" s="295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6" t="s">
        <v>771</v>
      </c>
      <c r="B78" s="197" t="s">
        <v>2261</v>
      </c>
      <c r="C78" s="224" t="e">
        <f ca="1">ROUND(D45*D78/(1+'数据-取费表'!C42),0)</f>
        <v>#N/A</v>
      </c>
      <c r="D78" s="225">
        <f>'数据-取费表'!B43</f>
        <v>5.000000000000001E-3</v>
      </c>
      <c r="E78" s="3204" t="s">
        <v>2262</v>
      </c>
      <c r="F78" s="3205"/>
      <c r="G78" s="3205"/>
      <c r="H78" s="321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773</v>
      </c>
      <c r="B79" s="203" t="s">
        <v>2263</v>
      </c>
      <c r="C79" s="206" t="e">
        <f ca="1">C72-C73</f>
        <v>#N/A</v>
      </c>
      <c r="D79" s="199" t="s">
        <v>32</v>
      </c>
      <c r="E79" s="2953"/>
      <c r="F79" s="2952"/>
      <c r="G79" s="2952"/>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3" t="s">
        <v>2264</v>
      </c>
      <c r="C80" s="226" t="e">
        <f ca="1">IF(C79&lt;=0,0,C79/C73)</f>
        <v>#N/A</v>
      </c>
      <c r="D80" s="199" t="s">
        <v>32</v>
      </c>
      <c r="E80" s="2943" t="e">
        <f ca="1">IF(C80&gt;=200%,"增值额超过扣除项目金额200%",IF(C80&gt;=100%,"增值额超过扣除项目金额100%，未超过200%",IF(C80&gt;=50%,"增值额超过扣除项目金额50%，未超过100%",IF(C80&lt;50%,"增值额未超过扣除项目金额50%"))))</f>
        <v>#N/A</v>
      </c>
      <c r="F80" s="2952"/>
      <c r="G80" s="2952"/>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8" t="s">
        <v>2265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244" t="s">
        <v>2266</v>
      </c>
      <c r="B83" s="3245"/>
      <c r="C83" s="3245"/>
      <c r="D83" s="3245"/>
      <c r="E83" s="3245"/>
      <c r="F83" s="3245"/>
      <c r="G83" s="3245"/>
      <c r="H83" s="3245"/>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223" t="s">
        <v>2229</v>
      </c>
      <c r="B84" s="3224"/>
      <c r="C84" s="2951"/>
      <c r="D84" s="2951"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2" t="s">
        <v>775</v>
      </c>
      <c r="B85" s="203" t="s">
        <v>2249</v>
      </c>
      <c r="C85" s="206" t="e">
        <f ca="1">ROUND(D45/(1+'数据-取费表'!C42),0)</f>
        <v>#N/A</v>
      </c>
      <c r="D85" s="199" t="s">
        <v>32</v>
      </c>
      <c r="E85" s="2953"/>
      <c r="F85" s="2952"/>
      <c r="G85" s="2952"/>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2" t="s">
        <v>772</v>
      </c>
      <c r="B86" s="172" t="s">
        <v>2250</v>
      </c>
      <c r="C86" s="206" t="e">
        <f ca="1">IF(H88="仅含出让金",C87+C90+C91+C92+C93+C94,C87+C91+C92+C93+C94)</f>
        <v>#N/A</v>
      </c>
      <c r="D86" s="234"/>
      <c r="E86" s="2953"/>
      <c r="F86" s="2952"/>
      <c r="G86" s="2952"/>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6" t="s">
        <v>770</v>
      </c>
      <c r="B87" s="197" t="s">
        <v>2267</v>
      </c>
      <c r="C87" s="224">
        <f>C88+C89</f>
        <v>0</v>
      </c>
      <c r="D87" s="225"/>
      <c r="E87" s="2948"/>
      <c r="F87" s="2949"/>
      <c r="G87" s="2949"/>
      <c r="H87" s="295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6" t="s">
        <v>776</v>
      </c>
      <c r="B88" s="197" t="s">
        <v>2268</v>
      </c>
      <c r="C88" s="235"/>
      <c r="D88" s="225"/>
      <c r="E88" s="236" t="s">
        <v>2269</v>
      </c>
      <c r="F88" s="2949"/>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6" t="s">
        <v>777</v>
      </c>
      <c r="B89" s="197" t="s">
        <v>2258</v>
      </c>
      <c r="C89" s="224">
        <f>ROUND(C88*D89,0)</f>
        <v>0</v>
      </c>
      <c r="D89" s="225">
        <f>'数据-取费表'!B48+'数据-取费表'!B49</f>
        <v>3.0499999999999999E-2</v>
      </c>
      <c r="E89" s="236" t="s">
        <v>2271</v>
      </c>
      <c r="F89" s="2949"/>
      <c r="G89" s="2949"/>
      <c r="H89" s="295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6" t="s">
        <v>771</v>
      </c>
      <c r="B90" s="197" t="s">
        <v>2272</v>
      </c>
      <c r="C90" s="235"/>
      <c r="D90" s="225"/>
      <c r="E90" s="236" t="str">
        <f>IF(H88="-","土地取得成本中已包含该笔费用"," ")</f>
        <v xml:space="preserve"> </v>
      </c>
      <c r="F90" s="2949"/>
      <c r="G90" s="2949"/>
      <c r="H90" s="295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6" t="s">
        <v>2273</v>
      </c>
      <c r="B91" s="197" t="s">
        <v>2274</v>
      </c>
      <c r="C91" s="224">
        <f>IF(H91="——",成本法!C33,I91)</f>
        <v>0</v>
      </c>
      <c r="D91" s="225"/>
      <c r="E91" s="3204" t="s">
        <v>2275</v>
      </c>
      <c r="F91" s="3205"/>
      <c r="G91" s="3205"/>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6" t="s">
        <v>2277</v>
      </c>
      <c r="B92" s="197" t="s">
        <v>2278</v>
      </c>
      <c r="C92" s="224">
        <f>ROUND((C87+C90+C91)*D92,0)</f>
        <v>0</v>
      </c>
      <c r="D92" s="225">
        <v>0.1</v>
      </c>
      <c r="E92" s="3204" t="s">
        <v>2279</v>
      </c>
      <c r="F92" s="3205"/>
      <c r="G92" s="3205"/>
      <c r="H92" s="321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6" t="s">
        <v>2280</v>
      </c>
      <c r="B93" s="197" t="s">
        <v>2261</v>
      </c>
      <c r="C93" s="224" t="e">
        <f ca="1">ROUND(D45*D93/(1+'数据-取费表'!C42),0)</f>
        <v>#N/A</v>
      </c>
      <c r="D93" s="225">
        <f>'数据-取费表'!B43</f>
        <v>5.000000000000001E-3</v>
      </c>
      <c r="E93" s="3204" t="s">
        <v>2262</v>
      </c>
      <c r="F93" s="3205"/>
      <c r="G93" s="3205"/>
      <c r="H93" s="321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6" t="s">
        <v>2281</v>
      </c>
      <c r="B94" s="197" t="s">
        <v>2282</v>
      </c>
      <c r="C94" s="235">
        <f>ROUND((C87+C90+C91)*D94,0)</f>
        <v>0</v>
      </c>
      <c r="D94" s="225">
        <v>0.2</v>
      </c>
      <c r="E94" s="3215" t="s">
        <v>2283</v>
      </c>
      <c r="F94" s="3216"/>
      <c r="G94" s="3216"/>
      <c r="H94" s="321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773</v>
      </c>
      <c r="B95" s="203" t="s">
        <v>2263</v>
      </c>
      <c r="C95" s="206" t="e">
        <f ca="1">ROUND(C85-C86,0)</f>
        <v>#N/A</v>
      </c>
      <c r="D95" s="199" t="s">
        <v>32</v>
      </c>
      <c r="E95" s="2953"/>
      <c r="F95" s="2952"/>
      <c r="G95" s="2952"/>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3" t="s">
        <v>2264</v>
      </c>
      <c r="C96" s="226" t="e">
        <f ca="1">IF(C95&lt;=0,0,C95/C86)</f>
        <v>#N/A</v>
      </c>
      <c r="D96" s="199" t="s">
        <v>32</v>
      </c>
      <c r="E96" s="2943" t="e">
        <f ca="1">IF(C96&gt;=200%,"增值额超过扣除项目金额200%",IF(C96&gt;=100%,"增值额超过扣除项目金额100%，未超过200%",IF(C96&gt;=50%,"增值额超过扣除项目金额50%，未超过100%",IF(C96&lt;50%,"增值额未超过扣除项目金额50%"))))</f>
        <v>#N/A</v>
      </c>
      <c r="F96" s="2952"/>
      <c r="G96" s="2952"/>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8" t="s">
        <v>2265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06"/>
      <c r="E100" s="3170" t="s">
        <v>2286</v>
      </c>
      <c r="F100" s="3170"/>
      <c r="G100" s="3170"/>
      <c r="H100" s="3206"/>
      <c r="I100" s="137"/>
    </row>
    <row r="101" spans="1:35" ht="18.75" customHeight="1">
      <c r="A101" s="3268" t="s">
        <v>2287</v>
      </c>
      <c r="B101" s="3269"/>
      <c r="C101" s="734" t="str">
        <f>C4</f>
        <v>比较法-车位</v>
      </c>
      <c r="D101" s="735" t="str">
        <f>D4</f>
        <v>收益法车</v>
      </c>
      <c r="E101" s="3282" t="s">
        <v>2288</v>
      </c>
      <c r="F101" s="3236"/>
      <c r="G101" s="2507" t="s">
        <v>2289</v>
      </c>
      <c r="H101" s="1041" t="e">
        <f ca="1">H118</f>
        <v>#N/A</v>
      </c>
      <c r="I101" s="137"/>
    </row>
    <row r="102" spans="1:35" ht="18.75" customHeight="1">
      <c r="A102" s="3238" t="s">
        <v>2290</v>
      </c>
      <c r="B102" s="2507" t="s">
        <v>2289</v>
      </c>
      <c r="C102" s="734">
        <f ca="1">C19</f>
        <v>0</v>
      </c>
      <c r="D102" s="735" t="e">
        <f ca="1">D19</f>
        <v>#N/A</v>
      </c>
      <c r="E102" s="3282"/>
      <c r="F102" s="3236"/>
      <c r="G102" s="2507" t="s">
        <v>2291</v>
      </c>
      <c r="H102" s="370" t="e">
        <f ca="1">I118</f>
        <v>#N/A</v>
      </c>
      <c r="I102" s="137"/>
    </row>
    <row r="103" spans="1:35" ht="42.75" customHeight="1">
      <c r="A103" s="3238"/>
      <c r="B103" s="2507" t="s">
        <v>2291</v>
      </c>
      <c r="C103" s="736" t="e">
        <f ca="1">C20</f>
        <v>#DIV/0!</v>
      </c>
      <c r="D103" s="737">
        <f ca="1">D20</f>
        <v>0</v>
      </c>
      <c r="E103" s="3277" t="s">
        <v>2292</v>
      </c>
      <c r="F103" s="3278"/>
      <c r="G103" s="2508" t="s">
        <v>2293</v>
      </c>
      <c r="H103" s="1041">
        <f>IF(D36="正常操作",H104+H105+H106,H105+H106)</f>
        <v>0</v>
      </c>
      <c r="I103" s="137"/>
    </row>
    <row r="104" spans="1:35" ht="18.75" customHeight="1">
      <c r="A104" s="3238" t="s">
        <v>2294</v>
      </c>
      <c r="B104" s="2509" t="s">
        <v>2289</v>
      </c>
      <c r="C104" s="738" t="e">
        <f ca="1">H118</f>
        <v>#N/A</v>
      </c>
      <c r="D104" s="739"/>
      <c r="E104" s="2257" t="s">
        <v>2295</v>
      </c>
      <c r="F104" s="2249"/>
      <c r="G104" s="2508" t="s">
        <v>2293</v>
      </c>
      <c r="H104" s="1042">
        <f>IF(D36="同一抵押权人同一抵押物续贷",C36&amp;"（未扣减，详见特别提示）",C36)</f>
        <v>0</v>
      </c>
      <c r="I104" s="137"/>
    </row>
    <row r="105" spans="1:35" ht="18.75" customHeight="1" thickBot="1">
      <c r="A105" s="3239"/>
      <c r="B105" s="2510" t="s">
        <v>2291</v>
      </c>
      <c r="C105" s="740" t="e">
        <f ca="1">I118</f>
        <v>#N/A</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5" t="str">
        <f>IF(项目基本情况!E8="已注销","——","3.房地产抵押价值")</f>
        <v>3.房地产抵押价值</v>
      </c>
      <c r="F107" s="3236"/>
      <c r="G107" s="2507" t="s">
        <v>2289</v>
      </c>
      <c r="H107" s="1041" t="e">
        <f ca="1">IF(E107="——","——",H101-H103)</f>
        <v>#N/A</v>
      </c>
      <c r="I107" s="137"/>
    </row>
    <row r="108" spans="1:35" ht="18.75" customHeight="1">
      <c r="A108" s="137"/>
      <c r="B108" s="137"/>
      <c r="C108" s="137"/>
      <c r="D108" s="137"/>
      <c r="E108" s="3235"/>
      <c r="F108" s="3236"/>
      <c r="G108" s="2507" t="s">
        <v>2291</v>
      </c>
      <c r="H108" s="370" t="e">
        <f ca="1">ROUND(H107*10000/'数据-汇总表'!E3,0)</f>
        <v>#N/A</v>
      </c>
      <c r="I108" s="137"/>
    </row>
    <row r="109" spans="1:35" ht="18.75" customHeight="1">
      <c r="A109" s="137"/>
      <c r="B109" s="137"/>
      <c r="C109" s="137"/>
      <c r="D109" s="137"/>
      <c r="E109" s="3235" t="str">
        <f>IF(项目基本情况!E8="已注销及未注销","4.抵押担保权已注销时的房地产抵押价值",IF(项目基本情况!E8="已注销","3.抵押担保权已注销时的房地产抵押价值","——"))</f>
        <v>——</v>
      </c>
      <c r="F109" s="3236"/>
      <c r="G109" s="2507" t="s">
        <v>2289</v>
      </c>
      <c r="H109" s="347" t="str">
        <f>IF(E109="——","——",H101-H105-H106)</f>
        <v>——</v>
      </c>
      <c r="I109" s="137"/>
    </row>
    <row r="110" spans="1:35" ht="18.75" customHeight="1">
      <c r="A110" s="137"/>
      <c r="B110" s="137"/>
      <c r="C110" s="137"/>
      <c r="D110" s="137"/>
      <c r="E110" s="3235"/>
      <c r="F110" s="3236"/>
      <c r="G110" s="2507" t="s">
        <v>2291</v>
      </c>
      <c r="H110" s="370" t="str">
        <f>IF(H109="——","——",ROUND(H109*10000/'数据-汇总表'!E3,0))</f>
        <v>——</v>
      </c>
      <c r="I110" s="137"/>
    </row>
    <row r="111" spans="1:35" ht="18.75" customHeight="1">
      <c r="A111" s="137"/>
      <c r="B111" s="137"/>
      <c r="C111" s="137"/>
      <c r="D111" s="137"/>
      <c r="E111" s="3270" t="str">
        <f>IF(项目基本情况!E9="抵押净值",IF(OR(项目基本情况!E8="已注销",项目基本情况!E8="房地产抵押价值"),"4.抵押净值","5.抵押净值"),"——")</f>
        <v>——</v>
      </c>
      <c r="F111" s="3271"/>
      <c r="G111" s="2507" t="s">
        <v>2289</v>
      </c>
      <c r="H111" s="1041" t="str">
        <f>IF(E111="——","——",N59)</f>
        <v>——</v>
      </c>
      <c r="I111" s="137"/>
    </row>
    <row r="112" spans="1:35" ht="18.75" customHeight="1" thickBot="1">
      <c r="A112" s="137"/>
      <c r="B112" s="137"/>
      <c r="C112" s="137"/>
      <c r="D112" s="137"/>
      <c r="E112" s="3272"/>
      <c r="F112" s="3273"/>
      <c r="G112" s="2512" t="s">
        <v>2291</v>
      </c>
      <c r="H112" s="788" t="str">
        <f>IF(E111="——","——",N61)</f>
        <v>——</v>
      </c>
      <c r="I112" s="137"/>
    </row>
    <row r="113" spans="1:11" ht="18.75" customHeight="1">
      <c r="A113" s="137"/>
      <c r="B113" s="137"/>
      <c r="C113" s="137"/>
      <c r="D113" s="137"/>
      <c r="E113" s="3240" t="s">
        <v>2297</v>
      </c>
      <c r="F113" s="3240"/>
      <c r="G113" s="3240"/>
      <c r="H113" s="3240"/>
      <c r="I113" s="137"/>
    </row>
    <row r="114" spans="1:11" ht="3.75" customHeight="1">
      <c r="A114" s="2405"/>
      <c r="B114" s="2405"/>
      <c r="C114" s="2405"/>
      <c r="D114" s="2405"/>
      <c r="E114" s="2483"/>
      <c r="F114" s="2483"/>
      <c r="G114" s="2483"/>
      <c r="H114" s="2483"/>
      <c r="I114" s="2405"/>
    </row>
    <row r="115" spans="1:11" ht="18.75" customHeight="1">
      <c r="A115" s="3253" t="s">
        <v>2299</v>
      </c>
      <c r="B115" s="3254"/>
      <c r="C115" s="3254"/>
      <c r="D115" s="3254"/>
      <c r="E115" s="3254"/>
      <c r="F115" s="3254"/>
      <c r="G115" s="3254"/>
      <c r="H115" s="3254"/>
      <c r="I115" s="3255"/>
    </row>
    <row r="116" spans="1:11" ht="27" customHeight="1">
      <c r="A116" s="3120" t="s">
        <v>2300</v>
      </c>
      <c r="B116" s="3241" t="s">
        <v>2301</v>
      </c>
      <c r="C116" s="3241" t="s">
        <v>2302</v>
      </c>
      <c r="D116" s="3257" t="s">
        <v>2303</v>
      </c>
      <c r="E116" s="3258"/>
      <c r="F116" s="3249" t="s">
        <v>2304</v>
      </c>
      <c r="G116" s="3249"/>
      <c r="H116" s="3120" t="s">
        <v>2305</v>
      </c>
      <c r="I116" s="3120"/>
    </row>
    <row r="117" spans="1:11" ht="18.75" customHeight="1">
      <c r="A117" s="3120"/>
      <c r="B117" s="3242"/>
      <c r="C117" s="3242"/>
      <c r="D117" s="2938" t="s">
        <v>2306</v>
      </c>
      <c r="E117" s="2938" t="s">
        <v>2307</v>
      </c>
      <c r="F117" s="2938" t="s">
        <v>2306</v>
      </c>
      <c r="G117" s="2938" t="s">
        <v>2308</v>
      </c>
      <c r="H117" s="2938" t="s">
        <v>2306</v>
      </c>
      <c r="I117" s="2938" t="s">
        <v>2308</v>
      </c>
    </row>
    <row r="118" spans="1:11" ht="24.75" customHeight="1">
      <c r="A118" s="2513" t="str">
        <f>项目基本情况!S2</f>
        <v>北京市通州区砖厂南里40、41、207号楼商业用房房地产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120" t="s">
        <v>2309</v>
      </c>
      <c r="B119" s="3120"/>
      <c r="C119" s="3120"/>
      <c r="D119" s="3246" t="e">
        <f ca="1">NUMBERSTRING(INT(D118*10000),2)&amp;"元整"</f>
        <v>#N/A</v>
      </c>
      <c r="E119" s="3248"/>
      <c r="F119" s="3246" t="e">
        <f ca="1">NUMBERSTRING(INT(F118*10000),2)&amp;"元整"</f>
        <v>#N/A</v>
      </c>
      <c r="G119" s="3248"/>
      <c r="H119" s="3246" t="e">
        <f ca="1">NUMBERSTRING(INT(H118*10000),2)&amp;"元整"</f>
        <v>#N/A</v>
      </c>
      <c r="I119" s="3248"/>
    </row>
    <row r="120" spans="1:11" ht="18.75" customHeight="1">
      <c r="A120" s="3274" t="str">
        <f>IF(项目基本情况!B9="房地产市场价值","",MID(E103,3,LEN(E103)-2))</f>
        <v>估价师知悉的法定优先受偿款</v>
      </c>
      <c r="B120" s="3275"/>
      <c r="C120" s="3276"/>
      <c r="D120" s="3274">
        <f>H103</f>
        <v>0</v>
      </c>
      <c r="E120" s="3275"/>
      <c r="F120" s="3275"/>
      <c r="G120" s="3275"/>
      <c r="H120" s="3275"/>
      <c r="I120" s="3276"/>
      <c r="K120" s="2410" t="str">
        <f>IF(D120=0,"故，本次评估不存在"&amp;A120,"故，本次评估"&amp;A120&amp;"为人民币"&amp;D120&amp;"万元整。")</f>
        <v>故，本次评估不存在估价师知悉的法定优先受偿款</v>
      </c>
    </row>
    <row r="121" spans="1:11" ht="18.75" customHeight="1">
      <c r="A121" s="3250" t="s">
        <v>2309</v>
      </c>
      <c r="B121" s="3251"/>
      <c r="C121" s="3252"/>
      <c r="D121" s="3246" t="str">
        <f>IF(D120=0,"零元整",NUMBERSTRING(INT(D120*10000),2)&amp;"元整")</f>
        <v>零元整</v>
      </c>
      <c r="E121" s="3247"/>
      <c r="F121" s="3247"/>
      <c r="G121" s="3247"/>
      <c r="H121" s="3247"/>
      <c r="I121" s="3248"/>
    </row>
    <row r="122" spans="1:11" ht="18.75" customHeight="1">
      <c r="A122" s="3237" t="str">
        <f>IF(项目基本情况!B9="房地产市场价值","",MID(E107,3,LEN(E107)-2))</f>
        <v>房地产抵押价值</v>
      </c>
      <c r="B122" s="3237"/>
      <c r="C122" s="3237"/>
      <c r="D122" s="3274" t="e">
        <f ca="1">H107</f>
        <v>#N/A</v>
      </c>
      <c r="E122" s="3275"/>
      <c r="F122" s="3275"/>
      <c r="G122" s="3275"/>
      <c r="H122" s="3275"/>
      <c r="I122" s="3276"/>
    </row>
    <row r="123" spans="1:11" ht="18.75" customHeight="1">
      <c r="A123" s="3120" t="s">
        <v>2309</v>
      </c>
      <c r="B123" s="3120"/>
      <c r="C123" s="3120"/>
      <c r="D123" s="3246" t="e">
        <f ca="1">NUMBERSTRING(INT(D122*10000),2)&amp;"元整"</f>
        <v>#N/A</v>
      </c>
      <c r="E123" s="3247"/>
      <c r="F123" s="3247"/>
      <c r="G123" s="3247"/>
      <c r="H123" s="3247"/>
      <c r="I123" s="3248"/>
    </row>
    <row r="124" spans="1:11" ht="18.75" customHeight="1">
      <c r="A124" s="3237" t="str">
        <f>IF(项目基本情况!B9="房地产市场价值","",MID(E109,3,LEN(E109)-2))</f>
        <v/>
      </c>
      <c r="B124" s="3237"/>
      <c r="C124" s="3237"/>
      <c r="D124" s="3274" t="str">
        <f>H109</f>
        <v>——</v>
      </c>
      <c r="E124" s="3275"/>
      <c r="F124" s="3275"/>
      <c r="G124" s="3275"/>
      <c r="H124" s="3275"/>
      <c r="I124" s="3276"/>
    </row>
    <row r="125" spans="1:11" ht="18.75" customHeight="1">
      <c r="A125" s="3120" t="s">
        <v>2309</v>
      </c>
      <c r="B125" s="3120"/>
      <c r="C125" s="3120"/>
      <c r="D125" s="3246" t="e">
        <f>NUMBERSTRING(INT(D124*10000),2)&amp;"元整"</f>
        <v>#VALUE!</v>
      </c>
      <c r="E125" s="3247"/>
      <c r="F125" s="3247"/>
      <c r="G125" s="3247"/>
      <c r="H125" s="3247"/>
      <c r="I125" s="3248"/>
    </row>
    <row r="126" spans="1:11" ht="18.75" customHeight="1">
      <c r="A126" s="3237" t="str">
        <f>IF(项目基本情况!B9="房地产市场价值","",MID(E111,3,LEN(E111)-2))</f>
        <v/>
      </c>
      <c r="B126" s="3237"/>
      <c r="C126" s="3237"/>
      <c r="D126" s="3274" t="str">
        <f>H111</f>
        <v>——</v>
      </c>
      <c r="E126" s="3275"/>
      <c r="F126" s="3275"/>
      <c r="G126" s="3275"/>
      <c r="H126" s="3275"/>
      <c r="I126" s="3276"/>
    </row>
    <row r="127" spans="1:11" ht="18.75" customHeight="1">
      <c r="A127" s="3120" t="s">
        <v>2309</v>
      </c>
      <c r="B127" s="3120"/>
      <c r="C127" s="3120"/>
      <c r="D127" s="3246" t="e">
        <f>NUMBERSTRING(INT(D126*10000),2)&amp;"元整"</f>
        <v>#VALUE!</v>
      </c>
      <c r="E127" s="3247"/>
      <c r="F127" s="3247"/>
      <c r="G127" s="3247"/>
      <c r="H127" s="3247"/>
      <c r="I127" s="3248"/>
    </row>
    <row r="128" spans="1:11" ht="21.75" customHeight="1">
      <c r="A128" s="3256" t="s">
        <v>2310</v>
      </c>
      <c r="B128" s="3256"/>
      <c r="C128" s="3256"/>
      <c r="D128" s="3256"/>
      <c r="E128" s="3256"/>
      <c r="F128" s="3256"/>
      <c r="G128" s="3256"/>
      <c r="H128" s="3256"/>
      <c r="I128" s="325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t="s">
        <v>3050</v>
      </c>
      <c r="C1" s="1614" t="s">
        <v>2522</v>
      </c>
      <c r="D1" s="1615" t="s">
        <v>48</v>
      </c>
      <c r="E1" s="1616"/>
      <c r="F1" s="2573" t="s">
        <v>3056</v>
      </c>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2">
        <f>IF(C2="——",IF(B37="元/平方米",ROUND(C39*D3/10000,0),ROUND(F3*C39/10000,0)),IF(B37="元/平方米",ROUND(C39*D3/10000,0),ROUND(F3*C39/10000,0))-D2)</f>
        <v>0</v>
      </c>
      <c r="C2" s="2575" t="s">
        <v>70</v>
      </c>
      <c r="D2" s="1118" t="e">
        <f ca="1">SUMIF(INDIRECT("'"&amp;F2&amp;"'"&amp;"!A:A"),"承租人权益价值",INDIRECT("'"&amp;F2&amp;"'"&amp;"!c:c"))</f>
        <v>#REF!</v>
      </c>
      <c r="E2" s="2576" t="s">
        <v>2320</v>
      </c>
      <c r="F2" s="2577"/>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2321</v>
      </c>
      <c r="B3" s="608" t="e">
        <f>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38" t="s">
        <v>2640</v>
      </c>
      <c r="AC4" s="3345" t="s">
        <v>2641</v>
      </c>
    </row>
    <row r="5" spans="1:29" ht="15">
      <c r="A5" s="403"/>
      <c r="B5" s="404"/>
      <c r="C5" s="3329" t="s">
        <v>3069</v>
      </c>
      <c r="D5" s="3398"/>
      <c r="E5" s="3340" t="s">
        <v>3204</v>
      </c>
      <c r="F5" s="3401"/>
      <c r="G5" s="3329" t="s">
        <v>3205</v>
      </c>
      <c r="H5" s="3398"/>
      <c r="I5" s="3329" t="s">
        <v>3206</v>
      </c>
      <c r="J5" s="3398"/>
      <c r="K5" s="609"/>
      <c r="L5" s="1124"/>
      <c r="M5" s="1125"/>
      <c r="N5" s="1125"/>
      <c r="O5" s="1125"/>
      <c r="P5" s="3348"/>
      <c r="Q5" s="3316"/>
      <c r="R5" s="3321"/>
      <c r="S5" s="3322"/>
      <c r="T5" s="3321"/>
      <c r="U5" s="3322"/>
      <c r="V5" s="3326"/>
      <c r="W5" s="3326"/>
      <c r="X5" s="1807"/>
      <c r="Y5" s="3321"/>
      <c r="Z5" s="3322"/>
      <c r="AA5" s="3338"/>
      <c r="AB5" s="3338"/>
      <c r="AC5" s="3338"/>
    </row>
    <row r="6" spans="1:29" ht="15.75" thickBot="1">
      <c r="A6" s="405"/>
      <c r="B6" s="406"/>
      <c r="C6" s="3396" t="s">
        <v>3090</v>
      </c>
      <c r="D6" s="3397"/>
      <c r="E6" s="3399" t="s">
        <v>3090</v>
      </c>
      <c r="F6" s="3400"/>
      <c r="G6" s="3396" t="s">
        <v>3176</v>
      </c>
      <c r="H6" s="3397"/>
      <c r="I6" s="3396" t="s">
        <v>3090</v>
      </c>
      <c r="J6" s="3397"/>
      <c r="K6" s="609" t="s">
        <v>2539</v>
      </c>
      <c r="L6" s="1124"/>
      <c r="M6" s="1125"/>
      <c r="N6" s="1125"/>
      <c r="O6" s="1125"/>
      <c r="P6" s="3349"/>
      <c r="Q6" s="3318"/>
      <c r="R6" s="3321"/>
      <c r="S6" s="3322"/>
      <c r="T6" s="3323"/>
      <c r="U6" s="3324"/>
      <c r="V6" s="3326"/>
      <c r="W6" s="3326"/>
      <c r="X6" s="1807"/>
      <c r="Y6" s="3323"/>
      <c r="Z6" s="3324"/>
      <c r="AA6" s="3339"/>
      <c r="AB6" s="3339"/>
      <c r="AC6" s="3339"/>
    </row>
    <row r="7" spans="1:29" s="116" customFormat="1" ht="15.75" thickBot="1">
      <c r="A7" s="407" t="s">
        <v>2540</v>
      </c>
      <c r="B7" s="408"/>
      <c r="C7" s="409">
        <f>'数据-取费表'!B2</f>
        <v>43185</v>
      </c>
      <c r="D7" s="410">
        <v>100</v>
      </c>
      <c r="E7" s="411">
        <v>43070</v>
      </c>
      <c r="F7" s="412">
        <f>SUMIF(48:48,YEAR(E7)&amp;"-"&amp;MONTH(E7),49:49)</f>
        <v>99.5</v>
      </c>
      <c r="G7" s="411">
        <v>43132</v>
      </c>
      <c r="H7" s="410">
        <f>SUMIF(48:48,YEAR(G7)&amp;"-"&amp;MONTH(G7),49:49)</f>
        <v>100</v>
      </c>
      <c r="I7" s="2681">
        <v>43101</v>
      </c>
      <c r="J7" s="410">
        <f>SUMIF(48:48,YEAR(I7)&amp;"-"&amp;MONTH(I7),49:49)</f>
        <v>100</v>
      </c>
      <c r="K7" s="610"/>
      <c r="L7" s="1126"/>
      <c r="M7" s="1127"/>
      <c r="N7" s="1127"/>
      <c r="O7" s="1127"/>
      <c r="P7" s="3333" t="s">
        <v>2541</v>
      </c>
      <c r="Q7" s="3334"/>
      <c r="R7" s="768" t="s">
        <v>17</v>
      </c>
      <c r="S7" s="769">
        <f t="shared" ref="S7:S14" si="0">F7</f>
        <v>99.5</v>
      </c>
      <c r="T7" s="768" t="s">
        <v>17</v>
      </c>
      <c r="U7" s="769">
        <f t="shared" ref="U7:U14" si="1">H7</f>
        <v>100</v>
      </c>
      <c r="V7" s="768" t="s">
        <v>17</v>
      </c>
      <c r="W7" s="769">
        <f t="shared" ref="W7:W14" si="2">J7</f>
        <v>100</v>
      </c>
      <c r="X7" s="770"/>
      <c r="Y7" s="3333" t="s">
        <v>2541</v>
      </c>
      <c r="Z7" s="3332"/>
      <c r="AA7" s="771">
        <f>D7/F7</f>
        <v>1.0050251256281406</v>
      </c>
      <c r="AB7" s="771">
        <f>D7/H7</f>
        <v>1</v>
      </c>
      <c r="AC7" s="771">
        <f>D7/J7</f>
        <v>1</v>
      </c>
    </row>
    <row r="8" spans="1:29" s="116" customFormat="1" ht="15.75" thickBot="1">
      <c r="A8" s="407" t="s">
        <v>2542</v>
      </c>
      <c r="B8" s="408"/>
      <c r="C8" s="413" t="s">
        <v>3091</v>
      </c>
      <c r="D8" s="410">
        <v>100</v>
      </c>
      <c r="E8" s="413" t="s">
        <v>3091</v>
      </c>
      <c r="F8" s="412">
        <f>SUMIF(51:51,E8,52:52)-SUMIF(51:51,C8,52:52)+100</f>
        <v>100</v>
      </c>
      <c r="G8" s="3020" t="s">
        <v>3073</v>
      </c>
      <c r="H8" s="410">
        <f>SUMIF(51:51,G8,52:52)-SUMIF(51:51,C8,52:52)+100</f>
        <v>100</v>
      </c>
      <c r="I8" s="413" t="s">
        <v>3091</v>
      </c>
      <c r="J8" s="410">
        <f>SUMIF(51:51,I8,52:52)-SUMIF(51:51,C8,52:52)+100</f>
        <v>100</v>
      </c>
      <c r="K8" s="610"/>
      <c r="L8" s="1126"/>
      <c r="M8" s="1127"/>
      <c r="N8" s="1127"/>
      <c r="O8" s="1127"/>
      <c r="P8" s="3333" t="s">
        <v>2544</v>
      </c>
      <c r="Q8" s="3332"/>
      <c r="R8" s="768" t="s">
        <v>17</v>
      </c>
      <c r="S8" s="769">
        <f t="shared" si="0"/>
        <v>100</v>
      </c>
      <c r="T8" s="768" t="s">
        <v>17</v>
      </c>
      <c r="U8" s="769">
        <f t="shared" si="1"/>
        <v>100</v>
      </c>
      <c r="V8" s="768" t="s">
        <v>17</v>
      </c>
      <c r="W8" s="769">
        <f t="shared" si="2"/>
        <v>100</v>
      </c>
      <c r="X8" s="770"/>
      <c r="Y8" s="3333" t="s">
        <v>2544</v>
      </c>
      <c r="Z8" s="3332"/>
      <c r="AA8" s="771">
        <f t="shared" ref="AA8:AA36" si="3">D8/F8</f>
        <v>1</v>
      </c>
      <c r="AB8" s="771">
        <f t="shared" ref="AB8:AB36" si="4">D8/H8</f>
        <v>1</v>
      </c>
      <c r="AC8" s="771">
        <f t="shared" ref="AC8:AC36" si="5">D8/J8</f>
        <v>1</v>
      </c>
    </row>
    <row r="9" spans="1:29" s="116" customFormat="1">
      <c r="A9" s="67" t="s">
        <v>2545</v>
      </c>
      <c r="B9" s="639" t="s">
        <v>2546</v>
      </c>
      <c r="C9" s="415" t="s">
        <v>3092</v>
      </c>
      <c r="D9" s="134">
        <v>100</v>
      </c>
      <c r="E9" s="418" t="s">
        <v>3093</v>
      </c>
      <c r="F9" s="134">
        <f>SUMIF(53:53,E9,54:54)-SUMIF(53:53,C9,54:54)+100</f>
        <v>100</v>
      </c>
      <c r="G9" s="3021" t="s">
        <v>3050</v>
      </c>
      <c r="H9" s="134">
        <f>SUMIF(53:53,G9,54:54)-SUMIF(53:53,C9,54:54)+100</f>
        <v>100</v>
      </c>
      <c r="I9" s="416" t="s">
        <v>3093</v>
      </c>
      <c r="J9" s="134">
        <f>SUMIF(53:53,I9,54:54)-SUMIF(53:53,C9,54:54)+100</f>
        <v>100</v>
      </c>
      <c r="K9" s="610"/>
      <c r="L9" s="1126"/>
      <c r="M9" s="1127"/>
      <c r="N9" s="1127"/>
      <c r="O9" s="1127"/>
      <c r="P9" s="3292" t="s">
        <v>2547</v>
      </c>
      <c r="Q9" s="1789" t="str">
        <f t="shared" ref="Q9:Q14" si="6">B9</f>
        <v>用途</v>
      </c>
      <c r="R9" s="768" t="s">
        <v>17</v>
      </c>
      <c r="S9" s="769">
        <f t="shared" si="0"/>
        <v>100</v>
      </c>
      <c r="T9" s="768" t="s">
        <v>17</v>
      </c>
      <c r="U9" s="769">
        <f t="shared" si="1"/>
        <v>100</v>
      </c>
      <c r="V9" s="768" t="s">
        <v>17</v>
      </c>
      <c r="W9" s="769">
        <f t="shared" si="2"/>
        <v>100</v>
      </c>
      <c r="X9" s="770"/>
      <c r="Y9" s="3120" t="s">
        <v>2548</v>
      </c>
      <c r="Z9" s="55" t="str">
        <f t="shared" ref="Z9:Z14" si="7">Q9</f>
        <v>用途</v>
      </c>
      <c r="AA9" s="771">
        <f t="shared" si="3"/>
        <v>1</v>
      </c>
      <c r="AB9" s="771">
        <f t="shared" si="4"/>
        <v>1</v>
      </c>
      <c r="AC9" s="771">
        <f t="shared" si="5"/>
        <v>1</v>
      </c>
    </row>
    <row r="10" spans="1:29" s="426" customFormat="1" ht="27">
      <c r="A10" s="640"/>
      <c r="B10" s="641" t="s">
        <v>2549</v>
      </c>
      <c r="C10" s="422" t="s">
        <v>3075</v>
      </c>
      <c r="D10" s="135">
        <v>100</v>
      </c>
      <c r="E10" s="422" t="s">
        <v>3076</v>
      </c>
      <c r="F10" s="135">
        <f>SUMIF(55:55,E10,56:56)-SUMIF(55:55,C10,56:56)+100</f>
        <v>102</v>
      </c>
      <c r="G10" s="422" t="s">
        <v>3075</v>
      </c>
      <c r="H10" s="135">
        <f>SUMIF(55:55,G10,56:56)-SUMIF(55:55,C10,56:56)+100</f>
        <v>100</v>
      </c>
      <c r="I10" s="422" t="s">
        <v>3076</v>
      </c>
      <c r="J10" s="135">
        <f>SUMIF(55:55,I10,56:56)-SUMIF(55:55,C10,56:56)+100</f>
        <v>102</v>
      </c>
      <c r="K10" s="611">
        <f>'比较法-办公'!K10</f>
        <v>2</v>
      </c>
      <c r="L10" s="1129"/>
      <c r="M10" s="1130"/>
      <c r="N10" s="1130"/>
      <c r="O10" s="1130"/>
      <c r="P10" s="3292"/>
      <c r="Q10" s="1789" t="str">
        <f t="shared" si="6"/>
        <v>土地使用年限（年）</v>
      </c>
      <c r="R10" s="768" t="s">
        <v>17</v>
      </c>
      <c r="S10" s="769">
        <f t="shared" si="0"/>
        <v>102</v>
      </c>
      <c r="T10" s="768" t="s">
        <v>17</v>
      </c>
      <c r="U10" s="769">
        <f t="shared" si="1"/>
        <v>100</v>
      </c>
      <c r="V10" s="768" t="s">
        <v>17</v>
      </c>
      <c r="W10" s="769">
        <f t="shared" si="2"/>
        <v>102</v>
      </c>
      <c r="X10" s="770"/>
      <c r="Y10" s="3120"/>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292"/>
      <c r="Q11" s="1789">
        <f t="shared" si="6"/>
        <v>111</v>
      </c>
      <c r="R11" s="768" t="s">
        <v>17</v>
      </c>
      <c r="S11" s="769">
        <f t="shared" si="0"/>
        <v>100</v>
      </c>
      <c r="T11" s="768" t="s">
        <v>17</v>
      </c>
      <c r="U11" s="769">
        <f t="shared" si="1"/>
        <v>100</v>
      </c>
      <c r="V11" s="768" t="s">
        <v>17</v>
      </c>
      <c r="W11" s="769">
        <f t="shared" si="2"/>
        <v>100</v>
      </c>
      <c r="X11" s="770"/>
      <c r="Y11" s="3120"/>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292"/>
      <c r="Q12" s="1789">
        <f t="shared" si="6"/>
        <v>111</v>
      </c>
      <c r="R12" s="768" t="s">
        <v>17</v>
      </c>
      <c r="S12" s="769">
        <f t="shared" si="0"/>
        <v>100</v>
      </c>
      <c r="T12" s="768" t="s">
        <v>17</v>
      </c>
      <c r="U12" s="769">
        <f t="shared" si="1"/>
        <v>100</v>
      </c>
      <c r="V12" s="768" t="s">
        <v>17</v>
      </c>
      <c r="W12" s="769">
        <f t="shared" si="2"/>
        <v>100</v>
      </c>
      <c r="X12" s="770"/>
      <c r="Y12" s="3120"/>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292"/>
      <c r="Q13" s="1789">
        <f t="shared" si="6"/>
        <v>111</v>
      </c>
      <c r="R13" s="768" t="s">
        <v>17</v>
      </c>
      <c r="S13" s="769">
        <f t="shared" si="0"/>
        <v>100</v>
      </c>
      <c r="T13" s="768" t="s">
        <v>17</v>
      </c>
      <c r="U13" s="769">
        <f t="shared" si="1"/>
        <v>100</v>
      </c>
      <c r="V13" s="768" t="s">
        <v>17</v>
      </c>
      <c r="W13" s="769">
        <f t="shared" si="2"/>
        <v>100</v>
      </c>
      <c r="X13" s="770"/>
      <c r="Y13" s="3120"/>
      <c r="Z13" s="55">
        <f t="shared" si="7"/>
        <v>111</v>
      </c>
      <c r="AA13" s="771">
        <f t="shared" si="3"/>
        <v>1</v>
      </c>
      <c r="AB13" s="771">
        <f t="shared" si="4"/>
        <v>1</v>
      </c>
      <c r="AC13" s="771">
        <f t="shared" si="5"/>
        <v>1</v>
      </c>
    </row>
    <row r="14" spans="1:29" ht="108">
      <c r="A14" s="400" t="s">
        <v>2551</v>
      </c>
      <c r="B14" s="628" t="s">
        <v>2701</v>
      </c>
      <c r="C14" s="2679" t="str">
        <f>IF(B1="工业",估价对象房地状况!G4,估价对象房地状况!C6)</f>
        <v>估价对象周边道路状况、周边有810、910、938等多路及地铁八通线经过，综合评价交通便捷度较好</v>
      </c>
      <c r="D14" s="440">
        <v>100</v>
      </c>
      <c r="E14" s="2970" t="s">
        <v>3201</v>
      </c>
      <c r="F14" s="442">
        <f>SUMIF(63:63,E15,64:64)-SUMIF(63:63,C15,64:64)+100</f>
        <v>96</v>
      </c>
      <c r="G14" s="2970" t="s">
        <v>3203</v>
      </c>
      <c r="H14" s="440">
        <f>SUMIF(63:63,G15,64:64)-SUMIF(63:63,C15,64:64)+100</f>
        <v>98</v>
      </c>
      <c r="I14" s="2970" t="s">
        <v>3208</v>
      </c>
      <c r="J14" s="440">
        <f>SUMIF(63:63,I15,64:64)-SUMIF(63:63,C15,64:64)+100</f>
        <v>98</v>
      </c>
      <c r="K14" s="613">
        <v>2</v>
      </c>
      <c r="L14" s="1134"/>
      <c r="M14" s="1125"/>
      <c r="N14" s="1125"/>
      <c r="O14" s="1125"/>
      <c r="P14" s="3299" t="s">
        <v>2552</v>
      </c>
      <c r="Q14" s="1804" t="str">
        <f t="shared" si="6"/>
        <v>交通便捷度</v>
      </c>
      <c r="R14" s="772" t="s">
        <v>17</v>
      </c>
      <c r="S14" s="773">
        <f t="shared" si="0"/>
        <v>96</v>
      </c>
      <c r="T14" s="772" t="s">
        <v>17</v>
      </c>
      <c r="U14" s="773">
        <f t="shared" si="1"/>
        <v>98</v>
      </c>
      <c r="V14" s="772" t="s">
        <v>17</v>
      </c>
      <c r="W14" s="773">
        <f t="shared" si="2"/>
        <v>98</v>
      </c>
      <c r="X14" s="1807"/>
      <c r="Y14" s="3299" t="s">
        <v>2552</v>
      </c>
      <c r="Z14" s="1808" t="str">
        <f t="shared" si="7"/>
        <v>交通便捷度</v>
      </c>
      <c r="AA14" s="1805">
        <f t="shared" si="3"/>
        <v>1.0416666666666667</v>
      </c>
      <c r="AB14" s="1805">
        <f t="shared" si="4"/>
        <v>1.0204081632653061</v>
      </c>
      <c r="AC14" s="1805">
        <f t="shared" si="5"/>
        <v>1.0204081632653061</v>
      </c>
    </row>
    <row r="15" spans="1:29" ht="15.75" thickBot="1">
      <c r="A15" s="403"/>
      <c r="B15" s="646"/>
      <c r="C15" s="446" t="s">
        <v>3078</v>
      </c>
      <c r="D15" s="447"/>
      <c r="E15" s="446" t="s">
        <v>3094</v>
      </c>
      <c r="F15" s="448"/>
      <c r="G15" s="446" t="s">
        <v>3077</v>
      </c>
      <c r="H15" s="449"/>
      <c r="I15" s="446" t="s">
        <v>3077</v>
      </c>
      <c r="J15" s="447"/>
      <c r="K15" s="614"/>
      <c r="L15" s="1134"/>
      <c r="M15" s="1125"/>
      <c r="N15" s="1125"/>
      <c r="O15" s="1125"/>
      <c r="P15" s="3300"/>
      <c r="Q15" s="1804"/>
      <c r="R15" s="772"/>
      <c r="S15" s="773"/>
      <c r="T15" s="772"/>
      <c r="U15" s="773"/>
      <c r="V15" s="772"/>
      <c r="W15" s="773"/>
      <c r="X15" s="1807"/>
      <c r="Y15" s="3300"/>
      <c r="Z15" s="1808"/>
      <c r="AA15" s="1805">
        <v>1</v>
      </c>
      <c r="AB15" s="1805">
        <v>1</v>
      </c>
      <c r="AC15" s="1805">
        <v>1</v>
      </c>
    </row>
    <row r="16" spans="1:29" ht="81">
      <c r="A16" s="403"/>
      <c r="B16" s="630" t="s">
        <v>2680</v>
      </c>
      <c r="C16" s="2596" t="str">
        <f>IF(B1="工业",估价对象房地状况!G5,估价对象房地状况!C7)</f>
        <v>周边有银行、购物场所、餐饮等配套设施，公共服务设施状况一般。</v>
      </c>
      <c r="D16" s="454">
        <v>100</v>
      </c>
      <c r="E16" s="2970" t="s">
        <v>3202</v>
      </c>
      <c r="F16" s="457">
        <f>SUMIF(65:65,E17,66:66)-SUMIF(65:65,C17,66:66)+100</f>
        <v>97</v>
      </c>
      <c r="G16" s="2970" t="s">
        <v>3101</v>
      </c>
      <c r="H16" s="454">
        <f>SUMIF(65:65,G17,66:66)-SUMIF(65:65,C17,66:66)+100</f>
        <v>100</v>
      </c>
      <c r="I16" s="2970" t="s">
        <v>3101</v>
      </c>
      <c r="J16" s="454">
        <f>SUMIF(65:65,I17,66:66)-SUMIF(65:65,C17,66:66)+100</f>
        <v>100</v>
      </c>
      <c r="K16" s="613">
        <f>'比较法-办公'!K19</f>
        <v>3</v>
      </c>
      <c r="L16" s="1134"/>
      <c r="M16" s="1125"/>
      <c r="N16" s="1125"/>
      <c r="O16" s="1125"/>
      <c r="P16" s="3300"/>
      <c r="Q16" s="1804" t="str">
        <f>B16</f>
        <v>公共配套设施</v>
      </c>
      <c r="R16" s="772" t="s">
        <v>17</v>
      </c>
      <c r="S16" s="773">
        <f>F16</f>
        <v>97</v>
      </c>
      <c r="T16" s="772" t="s">
        <v>17</v>
      </c>
      <c r="U16" s="773">
        <f>H16</f>
        <v>100</v>
      </c>
      <c r="V16" s="772" t="s">
        <v>17</v>
      </c>
      <c r="W16" s="773">
        <f>J16</f>
        <v>100</v>
      </c>
      <c r="X16" s="1807"/>
      <c r="Y16" s="3300"/>
      <c r="Z16" s="1808" t="str">
        <f>Q16</f>
        <v>公共配套设施</v>
      </c>
      <c r="AA16" s="1805">
        <f t="shared" si="3"/>
        <v>1.0309278350515463</v>
      </c>
      <c r="AB16" s="1805">
        <f t="shared" si="4"/>
        <v>1</v>
      </c>
      <c r="AC16" s="1805">
        <f t="shared" si="5"/>
        <v>1</v>
      </c>
    </row>
    <row r="17" spans="1:29" ht="15">
      <c r="A17" s="403"/>
      <c r="B17" s="631"/>
      <c r="C17" s="2594" t="s">
        <v>3077</v>
      </c>
      <c r="D17" s="447"/>
      <c r="E17" s="446" t="s">
        <v>3095</v>
      </c>
      <c r="F17" s="448"/>
      <c r="G17" s="2594" t="s">
        <v>3077</v>
      </c>
      <c r="H17" s="447"/>
      <c r="I17" s="446" t="s">
        <v>3102</v>
      </c>
      <c r="J17" s="447"/>
      <c r="K17" s="614"/>
      <c r="L17" s="1134"/>
      <c r="M17" s="1125"/>
      <c r="N17" s="1125"/>
      <c r="O17" s="1125"/>
      <c r="P17" s="3300"/>
      <c r="Q17" s="1804"/>
      <c r="R17" s="772"/>
      <c r="S17" s="773"/>
      <c r="T17" s="772"/>
      <c r="U17" s="773"/>
      <c r="V17" s="772"/>
      <c r="W17" s="773"/>
      <c r="X17" s="1807"/>
      <c r="Y17" s="3300"/>
      <c r="Z17" s="1808"/>
      <c r="AA17" s="1805">
        <v>1</v>
      </c>
      <c r="AB17" s="1805">
        <v>1</v>
      </c>
      <c r="AC17" s="1805">
        <v>1</v>
      </c>
    </row>
    <row r="18" spans="1:29" ht="15">
      <c r="A18" s="403"/>
      <c r="B18" s="632" t="s">
        <v>2681</v>
      </c>
      <c r="C18" s="2596"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4"/>
      <c r="M18" s="1125"/>
      <c r="N18" s="1125"/>
      <c r="O18" s="1125"/>
      <c r="P18" s="3300"/>
      <c r="Q18" s="1804" t="str">
        <f>B18</f>
        <v>基础设施水平</v>
      </c>
      <c r="R18" s="772" t="s">
        <v>17</v>
      </c>
      <c r="S18" s="773">
        <f>F18</f>
        <v>100</v>
      </c>
      <c r="T18" s="772" t="s">
        <v>17</v>
      </c>
      <c r="U18" s="773">
        <f>H18</f>
        <v>100</v>
      </c>
      <c r="V18" s="772" t="s">
        <v>17</v>
      </c>
      <c r="W18" s="773">
        <f>J18</f>
        <v>100</v>
      </c>
      <c r="X18" s="1807"/>
      <c r="Y18" s="3300"/>
      <c r="Z18" s="1808" t="str">
        <f>Q18</f>
        <v>基础设施水平</v>
      </c>
      <c r="AA18" s="1805">
        <f t="shared" ref="AA18" si="8">D18/F18</f>
        <v>1</v>
      </c>
      <c r="AB18" s="1805">
        <f t="shared" ref="AB18" si="9">D18/H18</f>
        <v>1</v>
      </c>
      <c r="AC18" s="1805">
        <f t="shared" ref="AC18" si="10">D18/J18</f>
        <v>1</v>
      </c>
    </row>
    <row r="19" spans="1:29" ht="15">
      <c r="A19" s="403"/>
      <c r="B19" s="632"/>
      <c r="C19" s="2597" t="s">
        <v>3054</v>
      </c>
      <c r="D19" s="449"/>
      <c r="E19" s="2987" t="s">
        <v>3054</v>
      </c>
      <c r="F19" s="452"/>
      <c r="G19" s="2594" t="s">
        <v>3054</v>
      </c>
      <c r="H19" s="447"/>
      <c r="I19" s="2987" t="s">
        <v>3054</v>
      </c>
      <c r="J19" s="447"/>
      <c r="K19" s="1377"/>
      <c r="L19" s="1134"/>
      <c r="M19" s="1125"/>
      <c r="N19" s="1125"/>
      <c r="O19" s="1125"/>
      <c r="P19" s="3300"/>
      <c r="Q19" s="1804"/>
      <c r="R19" s="772"/>
      <c r="S19" s="773"/>
      <c r="T19" s="772"/>
      <c r="U19" s="773"/>
      <c r="V19" s="772"/>
      <c r="W19" s="773"/>
      <c r="X19" s="1807"/>
      <c r="Y19" s="3300"/>
      <c r="Z19" s="1808"/>
      <c r="AA19" s="1805">
        <v>1</v>
      </c>
      <c r="AB19" s="1805">
        <v>1</v>
      </c>
      <c r="AC19" s="1805">
        <v>1</v>
      </c>
    </row>
    <row r="20" spans="1:29" ht="81">
      <c r="A20" s="403"/>
      <c r="B20" s="630" t="s">
        <v>2702</v>
      </c>
      <c r="C20" s="2596" t="str">
        <f>IF(B1="工业",估价对象房地状况!G7,估价对象房地状况!C9)</f>
        <v>区域自然环境：梨园主题公园；人文环境：无；综合评价环境状况一般</v>
      </c>
      <c r="D20" s="454">
        <v>100</v>
      </c>
      <c r="E20" s="2972" t="s">
        <v>3096</v>
      </c>
      <c r="F20" s="457">
        <f>SUMIF(69:69,E21,70:70)-SUMIF(69:69,C21,70:70)+100</f>
        <v>98</v>
      </c>
      <c r="G20" s="2972" t="s">
        <v>3177</v>
      </c>
      <c r="H20" s="449">
        <f>SUMIF(69:69,G21,70:70)-SUMIF(69:69,C21,70:70)+100</f>
        <v>100</v>
      </c>
      <c r="I20" s="2972" t="s">
        <v>3207</v>
      </c>
      <c r="J20" s="449">
        <f>SUMIF(69:69,I21,70:70)-SUMIF(69:69,C21,70:70)+100</f>
        <v>98</v>
      </c>
      <c r="K20" s="613">
        <f>'比较法-办公'!K23</f>
        <v>2</v>
      </c>
      <c r="L20" s="1134"/>
      <c r="M20" s="1125"/>
      <c r="N20" s="1125"/>
      <c r="O20" s="1125"/>
      <c r="P20" s="3300"/>
      <c r="Q20" s="1804" t="str">
        <f>B20</f>
        <v>自然及人文环境</v>
      </c>
      <c r="R20" s="772" t="s">
        <v>17</v>
      </c>
      <c r="S20" s="773">
        <f>F20</f>
        <v>98</v>
      </c>
      <c r="T20" s="772" t="s">
        <v>17</v>
      </c>
      <c r="U20" s="773">
        <f>H20</f>
        <v>100</v>
      </c>
      <c r="V20" s="772" t="s">
        <v>17</v>
      </c>
      <c r="W20" s="773">
        <f>J20</f>
        <v>98</v>
      </c>
      <c r="X20" s="1807"/>
      <c r="Y20" s="3300"/>
      <c r="Z20" s="1808" t="str">
        <f>Q20</f>
        <v>自然及人文环境</v>
      </c>
      <c r="AA20" s="1805">
        <f t="shared" si="3"/>
        <v>1.0204081632653061</v>
      </c>
      <c r="AB20" s="1805">
        <f t="shared" si="4"/>
        <v>1</v>
      </c>
      <c r="AC20" s="1805">
        <f t="shared" si="5"/>
        <v>1.0204081632653061</v>
      </c>
    </row>
    <row r="21" spans="1:29" ht="15">
      <c r="A21" s="403"/>
      <c r="B21" s="631"/>
      <c r="C21" s="446" t="s">
        <v>3077</v>
      </c>
      <c r="D21" s="447"/>
      <c r="E21" s="446" t="s">
        <v>3094</v>
      </c>
      <c r="F21" s="448"/>
      <c r="G21" s="446" t="s">
        <v>3077</v>
      </c>
      <c r="H21" s="447"/>
      <c r="I21" s="446" t="s">
        <v>3094</v>
      </c>
      <c r="J21" s="447"/>
      <c r="K21" s="614"/>
      <c r="L21" s="1134"/>
      <c r="M21" s="1125"/>
      <c r="N21" s="1125"/>
      <c r="O21" s="1125"/>
      <c r="P21" s="3300"/>
      <c r="Q21" s="1804"/>
      <c r="R21" s="772"/>
      <c r="S21" s="773"/>
      <c r="T21" s="772"/>
      <c r="U21" s="773"/>
      <c r="V21" s="772"/>
      <c r="W21" s="773"/>
      <c r="X21" s="1807"/>
      <c r="Y21" s="3300"/>
      <c r="Z21" s="1808"/>
      <c r="AA21" s="1805">
        <v>1</v>
      </c>
      <c r="AB21" s="1805">
        <v>1</v>
      </c>
      <c r="AC21" s="1805">
        <v>1</v>
      </c>
    </row>
    <row r="22" spans="1:29" ht="15">
      <c r="A22" s="403"/>
      <c r="B22" s="630" t="s">
        <v>2703</v>
      </c>
      <c r="C22" s="615" t="s">
        <v>3052</v>
      </c>
      <c r="D22" s="449">
        <v>100</v>
      </c>
      <c r="E22" s="615" t="s">
        <v>3052</v>
      </c>
      <c r="F22" s="460">
        <f>SUMIF(71:71,E22,72:72)-SUMIF(71:71,C22,72:72)+100</f>
        <v>100</v>
      </c>
      <c r="G22" s="615" t="s">
        <v>3052</v>
      </c>
      <c r="H22" s="434">
        <f>SUMIF(71:71,G22,72:72)-SUMIF(71:71,C22,72:72)+100</f>
        <v>100</v>
      </c>
      <c r="I22" s="615" t="s">
        <v>3052</v>
      </c>
      <c r="J22" s="434">
        <f>SUMIF(71:71,I22,72:72)-SUMIF(71:71,C22,72:72)+100</f>
        <v>100</v>
      </c>
      <c r="K22" s="611">
        <v>2</v>
      </c>
      <c r="L22" s="1134"/>
      <c r="M22" s="1125"/>
      <c r="N22" s="1125"/>
      <c r="O22" s="1125"/>
      <c r="P22" s="3300"/>
      <c r="Q22" s="1804" t="str">
        <f>B22</f>
        <v>楼层</v>
      </c>
      <c r="R22" s="772" t="s">
        <v>17</v>
      </c>
      <c r="S22" s="773">
        <f>F22</f>
        <v>100</v>
      </c>
      <c r="T22" s="772" t="s">
        <v>17</v>
      </c>
      <c r="U22" s="773">
        <f>H22</f>
        <v>100</v>
      </c>
      <c r="V22" s="772" t="s">
        <v>17</v>
      </c>
      <c r="W22" s="773">
        <f>J22</f>
        <v>100</v>
      </c>
      <c r="X22" s="1807"/>
      <c r="Y22" s="3300"/>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00"/>
      <c r="Q23" s="1804">
        <f>B23</f>
        <v>111</v>
      </c>
      <c r="R23" s="772" t="s">
        <v>17</v>
      </c>
      <c r="S23" s="773">
        <f>F23</f>
        <v>100</v>
      </c>
      <c r="T23" s="772" t="s">
        <v>17</v>
      </c>
      <c r="U23" s="773">
        <f>H23</f>
        <v>100</v>
      </c>
      <c r="V23" s="772" t="s">
        <v>17</v>
      </c>
      <c r="W23" s="773">
        <f>J23</f>
        <v>100</v>
      </c>
      <c r="X23" s="1807"/>
      <c r="Y23" s="3300"/>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00"/>
      <c r="Q24" s="1804">
        <f t="shared" ref="Q24:Q36" si="11">B24</f>
        <v>111</v>
      </c>
      <c r="R24" s="772" t="s">
        <v>17</v>
      </c>
      <c r="S24" s="773">
        <f>F24</f>
        <v>100</v>
      </c>
      <c r="T24" s="772" t="s">
        <v>17</v>
      </c>
      <c r="U24" s="773">
        <f>H24</f>
        <v>100</v>
      </c>
      <c r="V24" s="772" t="s">
        <v>17</v>
      </c>
      <c r="W24" s="773">
        <f>J24</f>
        <v>100</v>
      </c>
      <c r="X24" s="1807"/>
      <c r="Y24" s="3300"/>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00"/>
      <c r="Q25" s="1789">
        <f t="shared" si="11"/>
        <v>111</v>
      </c>
      <c r="R25" s="768" t="s">
        <v>17</v>
      </c>
      <c r="S25" s="769">
        <f>F25</f>
        <v>100</v>
      </c>
      <c r="T25" s="768" t="s">
        <v>17</v>
      </c>
      <c r="U25" s="769">
        <f>H25</f>
        <v>100</v>
      </c>
      <c r="V25" s="768" t="s">
        <v>17</v>
      </c>
      <c r="W25" s="769">
        <f>J25</f>
        <v>100</v>
      </c>
      <c r="X25" s="770"/>
      <c r="Y25" s="3300"/>
      <c r="Z25" s="55">
        <f>Q25</f>
        <v>111</v>
      </c>
      <c r="AA25" s="1805">
        <f>D25/F25</f>
        <v>1</v>
      </c>
      <c r="AB25" s="1805">
        <f>D25/H25</f>
        <v>1</v>
      </c>
      <c r="AC25" s="1805">
        <f>D25/J25</f>
        <v>1</v>
      </c>
    </row>
    <row r="26" spans="1:29" ht="15">
      <c r="A26" s="651" t="s">
        <v>2555</v>
      </c>
      <c r="B26" s="69" t="s">
        <v>2704</v>
      </c>
      <c r="C26" s="446" t="s">
        <v>27</v>
      </c>
      <c r="D26" s="447">
        <v>100</v>
      </c>
      <c r="E26" s="446" t="s">
        <v>3097</v>
      </c>
      <c r="F26" s="448">
        <f>SUMIF(79:79,E26,80:80)-SUMIF(79:79,C26,80:80)+100</f>
        <v>97</v>
      </c>
      <c r="G26" s="3022" t="s">
        <v>3175</v>
      </c>
      <c r="H26" s="447">
        <f>SUMIF(79:79,G26,80:80)-SUMIF(79:79,C26,80:80)+100</f>
        <v>103</v>
      </c>
      <c r="I26" s="446" t="s">
        <v>3103</v>
      </c>
      <c r="J26" s="447">
        <f>SUMIF(79:79,I26,80:80)-SUMIF(79:79,C26,80:80)+100</f>
        <v>97</v>
      </c>
      <c r="K26" s="611">
        <v>3</v>
      </c>
      <c r="L26" s="1134"/>
      <c r="M26" s="1125"/>
      <c r="N26" s="1125"/>
      <c r="O26" s="1125"/>
      <c r="P26" s="3395" t="s">
        <v>2557</v>
      </c>
      <c r="Q26" s="1804" t="str">
        <f t="shared" si="11"/>
        <v>配套类型</v>
      </c>
      <c r="R26" s="772" t="s">
        <v>17</v>
      </c>
      <c r="S26" s="773">
        <f t="shared" ref="S26:S36" si="12">F26</f>
        <v>97</v>
      </c>
      <c r="T26" s="772" t="s">
        <v>17</v>
      </c>
      <c r="U26" s="773">
        <f t="shared" ref="U26:U36" si="13">H26</f>
        <v>103</v>
      </c>
      <c r="V26" s="772" t="s">
        <v>17</v>
      </c>
      <c r="W26" s="773">
        <f t="shared" ref="W26:W36" si="14">J26</f>
        <v>97</v>
      </c>
      <c r="X26" s="1807"/>
      <c r="Y26" s="3304" t="s">
        <v>2557</v>
      </c>
      <c r="Z26" s="1808" t="str">
        <f t="shared" ref="Z26:Z36" si="15">Q26</f>
        <v>配套类型</v>
      </c>
      <c r="AA26" s="1805">
        <f t="shared" si="3"/>
        <v>1.0309278350515463</v>
      </c>
      <c r="AB26" s="1805">
        <f t="shared" si="4"/>
        <v>0.970873786407767</v>
      </c>
      <c r="AC26" s="1805">
        <f t="shared" si="5"/>
        <v>1.0309278350515463</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04"/>
      <c r="Q27" s="774" t="str">
        <f t="shared" si="11"/>
        <v>项目停车位配比</v>
      </c>
      <c r="R27" s="775" t="s">
        <v>17</v>
      </c>
      <c r="S27" s="776">
        <f t="shared" si="12"/>
        <v>100</v>
      </c>
      <c r="T27" s="775" t="s">
        <v>17</v>
      </c>
      <c r="U27" s="776">
        <f t="shared" si="13"/>
        <v>100</v>
      </c>
      <c r="V27" s="775" t="s">
        <v>17</v>
      </c>
      <c r="W27" s="776">
        <f t="shared" si="14"/>
        <v>100</v>
      </c>
      <c r="X27" s="777"/>
      <c r="Y27" s="3304"/>
      <c r="Z27" s="778" t="str">
        <f t="shared" si="15"/>
        <v>项目停车位配比</v>
      </c>
      <c r="AA27" s="1805">
        <f t="shared" si="3"/>
        <v>1</v>
      </c>
      <c r="AB27" s="1805">
        <f t="shared" si="4"/>
        <v>1</v>
      </c>
      <c r="AC27" s="1805">
        <f t="shared" si="5"/>
        <v>1</v>
      </c>
    </row>
    <row r="28" spans="1:29" ht="15">
      <c r="A28" s="655"/>
      <c r="B28" s="653" t="s">
        <v>2706</v>
      </c>
      <c r="C28" s="459" t="s">
        <v>3178</v>
      </c>
      <c r="D28" s="434">
        <v>100</v>
      </c>
      <c r="E28" s="459" t="s">
        <v>3098</v>
      </c>
      <c r="F28" s="460">
        <f>SUMIF(83:83,E28,84:84)-SUMIF(83:83,C28,84:84)+100</f>
        <v>100</v>
      </c>
      <c r="G28" s="459" t="s">
        <v>3098</v>
      </c>
      <c r="H28" s="434">
        <f>SUMIF(83:83,G28,84:84)-SUMIF(83:83,C28,84:84)+100</f>
        <v>100</v>
      </c>
      <c r="I28" s="459" t="s">
        <v>3098</v>
      </c>
      <c r="J28" s="434">
        <f>SUMIF(83:83,I28,84:84)-SUMIF(83:83,C28,84:84)+100</f>
        <v>100</v>
      </c>
      <c r="K28" s="611">
        <v>3</v>
      </c>
      <c r="L28" s="1134"/>
      <c r="M28" s="1125"/>
      <c r="N28" s="1125"/>
      <c r="O28" s="1125"/>
      <c r="P28" s="3304"/>
      <c r="Q28" s="1804" t="str">
        <f t="shared" si="11"/>
        <v>公共部分装修</v>
      </c>
      <c r="R28" s="772" t="s">
        <v>17</v>
      </c>
      <c r="S28" s="773">
        <f t="shared" si="12"/>
        <v>100</v>
      </c>
      <c r="T28" s="772" t="s">
        <v>17</v>
      </c>
      <c r="U28" s="773">
        <f t="shared" si="13"/>
        <v>100</v>
      </c>
      <c r="V28" s="772" t="s">
        <v>17</v>
      </c>
      <c r="W28" s="773">
        <f t="shared" si="14"/>
        <v>100</v>
      </c>
      <c r="X28" s="1807"/>
      <c r="Y28" s="3304"/>
      <c r="Z28" s="1808" t="str">
        <f t="shared" si="15"/>
        <v>公共部分装修</v>
      </c>
      <c r="AA28" s="1805">
        <f t="shared" si="3"/>
        <v>1</v>
      </c>
      <c r="AB28" s="1805">
        <f t="shared" si="4"/>
        <v>1</v>
      </c>
      <c r="AC28" s="1805">
        <f t="shared" si="5"/>
        <v>1</v>
      </c>
    </row>
    <row r="29" spans="1:29" ht="15">
      <c r="A29" s="655"/>
      <c r="B29" s="653" t="s">
        <v>2707</v>
      </c>
      <c r="C29" s="799">
        <f>'数据-取费表'!N6</f>
        <v>0.95</v>
      </c>
      <c r="D29" s="434">
        <v>100</v>
      </c>
      <c r="E29" s="799">
        <f>ROUND(1-(1-0%)*(2017-2013)/60,2)</f>
        <v>0.93</v>
      </c>
      <c r="F29" s="460">
        <f>LOOKUP(E29,86:86,87:87)-LOOKUP(C29,86:86,87:87)+100</f>
        <v>100</v>
      </c>
      <c r="G29" s="473">
        <f>ROUND(1-(2018-2010)/60,2)</f>
        <v>0.87</v>
      </c>
      <c r="H29" s="460">
        <f>LOOKUP(G29,86:86,87:87)-LOOKUP(C29,86:86,87:87)+100</f>
        <v>98</v>
      </c>
      <c r="I29" s="799">
        <f>ROUND(1-(1-0%)*(2017-2010)/60,2)</f>
        <v>0.88</v>
      </c>
      <c r="J29" s="434">
        <f>LOOKUP(I29,86:86,87:87)-LOOKUP(C29,86:86,87:87)+100</f>
        <v>98</v>
      </c>
      <c r="K29" s="611">
        <f>'比较法-办公'!K37</f>
        <v>2</v>
      </c>
      <c r="L29" s="1134"/>
      <c r="M29" s="1125"/>
      <c r="N29" s="1125"/>
      <c r="O29" s="1125"/>
      <c r="P29" s="3304"/>
      <c r="Q29" s="1804" t="str">
        <f t="shared" si="11"/>
        <v>成新率</v>
      </c>
      <c r="R29" s="772" t="s">
        <v>17</v>
      </c>
      <c r="S29" s="773">
        <f t="shared" si="12"/>
        <v>100</v>
      </c>
      <c r="T29" s="772" t="s">
        <v>17</v>
      </c>
      <c r="U29" s="773">
        <f t="shared" si="13"/>
        <v>98</v>
      </c>
      <c r="V29" s="772" t="s">
        <v>17</v>
      </c>
      <c r="W29" s="773">
        <f t="shared" si="14"/>
        <v>98</v>
      </c>
      <c r="X29" s="1807"/>
      <c r="Y29" s="3304"/>
      <c r="Z29" s="1808" t="str">
        <f t="shared" si="15"/>
        <v>成新率</v>
      </c>
      <c r="AA29" s="1805">
        <f t="shared" si="3"/>
        <v>1</v>
      </c>
      <c r="AB29" s="1805">
        <f t="shared" si="4"/>
        <v>1.0204081632653061</v>
      </c>
      <c r="AC29" s="1805">
        <f t="shared" si="5"/>
        <v>1.0204081632653061</v>
      </c>
    </row>
    <row r="30" spans="1:29" ht="15">
      <c r="A30" s="655"/>
      <c r="B30" s="653" t="s">
        <v>2708</v>
      </c>
      <c r="C30" s="656" t="s">
        <v>3084</v>
      </c>
      <c r="D30" s="434">
        <v>100</v>
      </c>
      <c r="E30" s="656" t="s">
        <v>3099</v>
      </c>
      <c r="F30" s="460">
        <f>SUMIF(88:88,E30,89:89)-SUMIF(88:88,C30,89:89)+100</f>
        <v>100</v>
      </c>
      <c r="G30" s="656"/>
      <c r="H30" s="434">
        <f>SUMIF(88:88,E30,89:89)-SUMIF(88:88,C30,89:89)+100</f>
        <v>100</v>
      </c>
      <c r="I30" s="656" t="s">
        <v>3099</v>
      </c>
      <c r="J30" s="434">
        <f>SUMIF(88:88,E30,89:89)-SUMIF(88:88,C30,89:89)+100</f>
        <v>100</v>
      </c>
      <c r="K30" s="611">
        <v>3</v>
      </c>
      <c r="L30" s="1134"/>
      <c r="M30" s="1125"/>
      <c r="N30" s="1125"/>
      <c r="O30" s="1125"/>
      <c r="P30" s="3304"/>
      <c r="Q30" s="1804" t="str">
        <f t="shared" si="11"/>
        <v>物业等级</v>
      </c>
      <c r="R30" s="772" t="s">
        <v>17</v>
      </c>
      <c r="S30" s="773">
        <f t="shared" si="12"/>
        <v>100</v>
      </c>
      <c r="T30" s="772" t="s">
        <v>17</v>
      </c>
      <c r="U30" s="773">
        <f t="shared" si="13"/>
        <v>100</v>
      </c>
      <c r="V30" s="772" t="s">
        <v>17</v>
      </c>
      <c r="W30" s="773">
        <f t="shared" si="14"/>
        <v>100</v>
      </c>
      <c r="X30" s="1807"/>
      <c r="Y30" s="3304"/>
      <c r="Z30" s="1808" t="str">
        <f t="shared" si="15"/>
        <v>物业等级</v>
      </c>
      <c r="AA30" s="1805">
        <f t="shared" si="3"/>
        <v>1</v>
      </c>
      <c r="AB30" s="1805">
        <f t="shared" si="4"/>
        <v>1</v>
      </c>
      <c r="AC30" s="1805">
        <f t="shared" si="5"/>
        <v>1</v>
      </c>
    </row>
    <row r="31" spans="1:29" s="116" customFormat="1" ht="15">
      <c r="A31" s="657"/>
      <c r="B31" s="653" t="s">
        <v>2709</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6"/>
      <c r="M31" s="1127"/>
      <c r="N31" s="1127"/>
      <c r="O31" s="1127"/>
      <c r="P31" s="3304"/>
      <c r="Q31" s="1789" t="str">
        <f t="shared" si="11"/>
        <v>停车位面积</v>
      </c>
      <c r="R31" s="768" t="s">
        <v>17</v>
      </c>
      <c r="S31" s="769">
        <f t="shared" si="12"/>
        <v>100</v>
      </c>
      <c r="T31" s="768" t="s">
        <v>17</v>
      </c>
      <c r="U31" s="769">
        <f t="shared" si="13"/>
        <v>100</v>
      </c>
      <c r="V31" s="768" t="s">
        <v>17</v>
      </c>
      <c r="W31" s="769">
        <f t="shared" si="14"/>
        <v>100</v>
      </c>
      <c r="X31" s="770"/>
      <c r="Y31" s="3304"/>
      <c r="Z31" s="55" t="str">
        <f t="shared" si="15"/>
        <v>停车位面积</v>
      </c>
      <c r="AA31" s="771">
        <f t="shared" si="3"/>
        <v>1</v>
      </c>
      <c r="AB31" s="771">
        <f t="shared" si="4"/>
        <v>1</v>
      </c>
      <c r="AC31" s="771">
        <f t="shared" si="5"/>
        <v>1</v>
      </c>
    </row>
    <row r="32" spans="1:29" ht="15">
      <c r="A32" s="655"/>
      <c r="B32" s="653" t="s">
        <v>2710</v>
      </c>
      <c r="C32" s="459" t="s">
        <v>3104</v>
      </c>
      <c r="D32" s="434">
        <v>100</v>
      </c>
      <c r="E32" s="459" t="s">
        <v>3100</v>
      </c>
      <c r="F32" s="460">
        <f>SUMIF(93:93,E32,94:94)-SUMIF(93:93,C32,94:94)+100</f>
        <v>100</v>
      </c>
      <c r="G32" s="459" t="s">
        <v>3104</v>
      </c>
      <c r="H32" s="434">
        <f>SUMIF(93:93,G32,94:94)-SUMIF(93:93,C32,94:94)+100</f>
        <v>100</v>
      </c>
      <c r="I32" s="459" t="s">
        <v>3104</v>
      </c>
      <c r="J32" s="434">
        <f>SUMIF(93:93,I32,94:94)-SUMIF(93:93,C32,94:94)+100</f>
        <v>100</v>
      </c>
      <c r="K32" s="611">
        <v>5</v>
      </c>
      <c r="L32" s="1134"/>
      <c r="M32" s="1125"/>
      <c r="N32" s="1125"/>
      <c r="O32" s="1125"/>
      <c r="P32" s="3304" t="s">
        <v>2557</v>
      </c>
      <c r="Q32" s="1804" t="str">
        <f t="shared" si="11"/>
        <v>车位类型</v>
      </c>
      <c r="R32" s="772" t="s">
        <v>17</v>
      </c>
      <c r="S32" s="773">
        <f t="shared" si="12"/>
        <v>100</v>
      </c>
      <c r="T32" s="772" t="s">
        <v>17</v>
      </c>
      <c r="U32" s="773">
        <f t="shared" si="13"/>
        <v>100</v>
      </c>
      <c r="V32" s="772" t="s">
        <v>17</v>
      </c>
      <c r="W32" s="773">
        <f t="shared" si="14"/>
        <v>100</v>
      </c>
      <c r="X32" s="1807"/>
      <c r="Y32" s="3304" t="s">
        <v>2557</v>
      </c>
      <c r="Z32" s="1808" t="str">
        <f t="shared" si="15"/>
        <v>车位类型</v>
      </c>
      <c r="AA32" s="1805">
        <f t="shared" si="3"/>
        <v>1</v>
      </c>
      <c r="AB32" s="1805">
        <f t="shared" si="4"/>
        <v>1</v>
      </c>
      <c r="AC32" s="1805">
        <f t="shared" si="5"/>
        <v>1</v>
      </c>
    </row>
    <row r="33" spans="1:29" ht="15">
      <c r="A33" s="655"/>
      <c r="B33" s="653" t="s">
        <v>2711</v>
      </c>
      <c r="C33" s="459" t="s">
        <v>3043</v>
      </c>
      <c r="D33" s="434">
        <v>100</v>
      </c>
      <c r="E33" s="459" t="s">
        <v>3043</v>
      </c>
      <c r="F33" s="460">
        <f>SUMIF(95:95,E33,96:96)-SUMIF(95:95,C33,96:96)+100</f>
        <v>100</v>
      </c>
      <c r="G33" s="459" t="s">
        <v>3043</v>
      </c>
      <c r="H33" s="434">
        <f>SUMIF(95:95,G33,96:96)-SUMIF(95:95,C33,96:96)+100</f>
        <v>100</v>
      </c>
      <c r="I33" s="459" t="s">
        <v>3043</v>
      </c>
      <c r="J33" s="434">
        <f>SUMIF(95:95,I33,96:96)-SUMIF(95:95,C33,96:96)+100</f>
        <v>100</v>
      </c>
      <c r="K33" s="611">
        <v>1</v>
      </c>
      <c r="L33" s="1134"/>
      <c r="M33" s="1125"/>
      <c r="N33" s="1125"/>
      <c r="O33" s="1125"/>
      <c r="P33" s="3304"/>
      <c r="Q33" s="1804" t="str">
        <f t="shared" si="11"/>
        <v>是否直接入户</v>
      </c>
      <c r="R33" s="772" t="s">
        <v>17</v>
      </c>
      <c r="S33" s="773">
        <f t="shared" si="12"/>
        <v>100</v>
      </c>
      <c r="T33" s="772" t="s">
        <v>17</v>
      </c>
      <c r="U33" s="773">
        <f t="shared" si="13"/>
        <v>100</v>
      </c>
      <c r="V33" s="772" t="s">
        <v>17</v>
      </c>
      <c r="W33" s="773">
        <f t="shared" si="14"/>
        <v>100</v>
      </c>
      <c r="X33" s="1807"/>
      <c r="Y33" s="3304"/>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04"/>
      <c r="Q34" s="1804">
        <f t="shared" si="11"/>
        <v>111</v>
      </c>
      <c r="R34" s="772" t="s">
        <v>17</v>
      </c>
      <c r="S34" s="773">
        <f t="shared" si="12"/>
        <v>100</v>
      </c>
      <c r="T34" s="772" t="s">
        <v>17</v>
      </c>
      <c r="U34" s="773">
        <f t="shared" si="13"/>
        <v>100</v>
      </c>
      <c r="V34" s="772" t="s">
        <v>17</v>
      </c>
      <c r="W34" s="773">
        <f t="shared" si="14"/>
        <v>100</v>
      </c>
      <c r="X34" s="1807"/>
      <c r="Y34" s="3304"/>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04"/>
      <c r="Q35" s="774">
        <f t="shared" si="11"/>
        <v>111</v>
      </c>
      <c r="R35" s="775" t="s">
        <v>17</v>
      </c>
      <c r="S35" s="776">
        <f t="shared" si="12"/>
        <v>100</v>
      </c>
      <c r="T35" s="775" t="s">
        <v>17</v>
      </c>
      <c r="U35" s="776">
        <f t="shared" si="13"/>
        <v>100</v>
      </c>
      <c r="V35" s="775" t="s">
        <v>17</v>
      </c>
      <c r="W35" s="776">
        <f t="shared" si="14"/>
        <v>100</v>
      </c>
      <c r="X35" s="777"/>
      <c r="Y35" s="3304"/>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04"/>
      <c r="Q36" s="1804">
        <f t="shared" si="11"/>
        <v>111</v>
      </c>
      <c r="R36" s="772" t="s">
        <v>17</v>
      </c>
      <c r="S36" s="773">
        <f t="shared" si="12"/>
        <v>100</v>
      </c>
      <c r="T36" s="772" t="s">
        <v>17</v>
      </c>
      <c r="U36" s="773">
        <f t="shared" si="13"/>
        <v>100</v>
      </c>
      <c r="V36" s="772" t="s">
        <v>17</v>
      </c>
      <c r="W36" s="773">
        <f t="shared" si="14"/>
        <v>100</v>
      </c>
      <c r="X36" s="1807"/>
      <c r="Y36" s="3304"/>
      <c r="Z36" s="1808">
        <f t="shared" si="15"/>
        <v>111</v>
      </c>
      <c r="AA36" s="1805">
        <f t="shared" si="3"/>
        <v>1</v>
      </c>
      <c r="AB36" s="1805">
        <f t="shared" si="4"/>
        <v>1</v>
      </c>
      <c r="AC36" s="1805">
        <f t="shared" si="5"/>
        <v>1</v>
      </c>
    </row>
    <row r="37" spans="1:29" ht="15">
      <c r="A37" s="478" t="s">
        <v>2712</v>
      </c>
      <c r="B37" s="2680" t="s">
        <v>2713</v>
      </c>
      <c r="C37" s="1401" t="s">
        <v>1</v>
      </c>
      <c r="D37" s="1402"/>
      <c r="E37" s="1403">
        <v>500000</v>
      </c>
      <c r="F37" s="1404"/>
      <c r="G37" s="1403">
        <v>540000</v>
      </c>
      <c r="H37" s="1406"/>
      <c r="I37" s="1403">
        <v>450000</v>
      </c>
      <c r="J37" s="1406"/>
      <c r="K37" s="618"/>
      <c r="L37" s="1137"/>
      <c r="M37" s="1138"/>
      <c r="N37" s="1125"/>
      <c r="O37" s="1138"/>
      <c r="P37" s="3292" t="str">
        <f>A37</f>
        <v>成交单价</v>
      </c>
      <c r="Q37" s="3292"/>
      <c r="R37" s="3293">
        <f>E37</f>
        <v>500000</v>
      </c>
      <c r="S37" s="3293"/>
      <c r="T37" s="3293">
        <f>G37</f>
        <v>540000</v>
      </c>
      <c r="U37" s="3293"/>
      <c r="V37" s="3293">
        <f>I37</f>
        <v>450000</v>
      </c>
      <c r="W37" s="3293"/>
      <c r="X37" s="757"/>
      <c r="Y37" s="779"/>
      <c r="Z37" s="757"/>
      <c r="AA37" s="757"/>
      <c r="AB37" s="757"/>
      <c r="AC37" s="757"/>
    </row>
    <row r="38" spans="1:29" ht="15.75" thickBot="1">
      <c r="A38" s="485" t="s">
        <v>2714</v>
      </c>
      <c r="B38" s="486" t="str">
        <f>B37</f>
        <v>元/车位</v>
      </c>
      <c r="C38" s="1407">
        <f>R39</f>
        <v>528560</v>
      </c>
      <c r="D38" s="1408"/>
      <c r="E38" s="1409">
        <f>R38</f>
        <v>556552</v>
      </c>
      <c r="F38" s="1409"/>
      <c r="G38" s="1407">
        <f>T38</f>
        <v>545889</v>
      </c>
      <c r="H38" s="1408"/>
      <c r="I38" s="1409">
        <f>V38</f>
        <v>483239</v>
      </c>
      <c r="J38" s="1408"/>
      <c r="K38" s="619"/>
      <c r="L38" s="1137"/>
      <c r="M38" s="1138"/>
      <c r="N38" s="1138"/>
      <c r="O38" s="1138"/>
      <c r="P38" s="3292" t="str">
        <f>A38</f>
        <v>比较价值（元/平方米）</v>
      </c>
      <c r="Q38" s="3292"/>
      <c r="R38" s="3293">
        <f>IF(F1="售价",ROUND(PRODUCT(R37,AA7:AA36),0),ROUND(PRODUCT(R37,AA7:AA36),1))</f>
        <v>556552</v>
      </c>
      <c r="S38" s="3293"/>
      <c r="T38" s="3293">
        <f>IF(F1="售价",ROUND(PRODUCT(T37,AB7:AB36),0),ROUND(PRODUCT(T37,AB7:AB36),1))</f>
        <v>545889</v>
      </c>
      <c r="U38" s="3293"/>
      <c r="V38" s="3293">
        <f>IF(F1="售价",ROUND(PRODUCT(V37,AC7:AC36),0),ROUND(PRODUCT(V37,AC7:AC36),1))</f>
        <v>483239</v>
      </c>
      <c r="W38" s="3293"/>
      <c r="X38" s="757"/>
      <c r="Y38" s="757"/>
      <c r="Z38" s="757"/>
      <c r="AA38" s="757"/>
      <c r="AB38" s="757"/>
      <c r="AC38" s="757"/>
    </row>
    <row r="39" spans="1:29" ht="15.75" thickBot="1">
      <c r="A39" s="491" t="s">
        <v>2715</v>
      </c>
      <c r="B39" s="492"/>
      <c r="C39" s="1411">
        <f>R39</f>
        <v>528560</v>
      </c>
      <c r="D39" s="1411"/>
      <c r="E39" s="1411"/>
      <c r="F39" s="1411"/>
      <c r="G39" s="1411"/>
      <c r="H39" s="1411"/>
      <c r="I39" s="1411"/>
      <c r="J39" s="1411"/>
      <c r="K39" s="620"/>
      <c r="L39" s="1137"/>
      <c r="M39" s="1138"/>
      <c r="N39" s="1138"/>
      <c r="O39" s="1138"/>
      <c r="P39" s="3342" t="str">
        <f>A39</f>
        <v>估价对象XX用房的比较价值（楼面单价，元/平方米）</v>
      </c>
      <c r="Q39" s="3343"/>
      <c r="R39" s="3344">
        <f>IF(F1="售价",ROUND(AVERAGE(R38:V38),0),ROUND(AVERAGE(R38:V38),1))</f>
        <v>528560</v>
      </c>
      <c r="S39" s="3344"/>
      <c r="T39" s="3344"/>
      <c r="U39" s="3344"/>
      <c r="V39" s="3344"/>
      <c r="W39" s="3344"/>
      <c r="X39" s="757"/>
      <c r="Y39" s="757"/>
      <c r="Z39" s="757"/>
      <c r="AA39" s="757"/>
      <c r="AB39" s="757"/>
      <c r="AC39" s="757"/>
    </row>
    <row r="40" spans="1:29">
      <c r="A40" s="1138"/>
      <c r="B40" s="1138"/>
      <c r="C40" s="1138"/>
      <c r="D40" s="1138"/>
      <c r="E40" s="1138"/>
      <c r="F40" s="1138"/>
      <c r="G40" s="1141"/>
      <c r="H40" s="1138"/>
      <c r="I40" s="1138"/>
      <c r="J40" s="1138"/>
      <c r="K40" s="1101"/>
      <c r="L40" s="1102"/>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f>IF(E37&lt;E38,E38/E37-1,E37/E38-1)</f>
        <v>0.11310400000000009</v>
      </c>
      <c r="F42" s="499" t="str">
        <f>IF(OR(E42&gt;=0.3,E42&lt;=-0.3),"超过30%","")</f>
        <v/>
      </c>
      <c r="G42" s="498">
        <f>IF(G37&lt;G38,G38/G37-1,G37/G38-1)</f>
        <v>1.0905555555555502E-2</v>
      </c>
      <c r="H42" s="499" t="str">
        <f>IF(OR(G42&gt;=0.3,G42&lt;=-0.3),"超过30%","")</f>
        <v/>
      </c>
      <c r="I42" s="498">
        <f>IF(I37&lt;I38,I38/I37-1,I37/I38-1)</f>
        <v>7.386444444444451E-2</v>
      </c>
      <c r="J42" s="499" t="str">
        <f>IF(OR(I42&gt;=0.3,I42&lt;=-0.3),"超过30%","")</f>
        <v/>
      </c>
      <c r="K42" s="1101"/>
      <c r="L42" s="1102"/>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f>IF(E38&lt;G38,G38/E38-1,E38/G38-1)</f>
        <v>1.9533275079732348E-2</v>
      </c>
      <c r="F43" s="499" t="str">
        <f>IF(OR(E43&gt;=0.2,E43&lt;=-0.2),"超过20%","")</f>
        <v/>
      </c>
      <c r="G43" s="498">
        <f>IF(G38&lt;I38,I38/G38-1,G38/I38-1)</f>
        <v>0.12964599297656032</v>
      </c>
      <c r="H43" s="499" t="str">
        <f>IF(OR(G43&gt;=0.2,G43&lt;=-0.2),"超过20%","")</f>
        <v/>
      </c>
      <c r="I43" s="498">
        <f>IF(I38&lt;E38,E38/I38-1,I38/E38-1)</f>
        <v>0.15171167890008874</v>
      </c>
      <c r="J43" s="499" t="str">
        <f>IF(OR(I43&gt;=0.2,I43&lt;=-0.2),"超过20%","")</f>
        <v/>
      </c>
      <c r="K43" s="1101"/>
      <c r="L43" s="1102"/>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8" t="str">
        <f>YEAR(C7)&amp;"-"&amp;MONTH(C7)</f>
        <v>2018-3</v>
      </c>
      <c r="D48" s="1569">
        <f>EDATE(C48,-1)</f>
        <v>43132</v>
      </c>
      <c r="E48" s="1569">
        <f t="shared" ref="E48:O48" si="16">EDATE(D48,-1)</f>
        <v>43101</v>
      </c>
      <c r="F48" s="1569">
        <f t="shared" si="16"/>
        <v>43070</v>
      </c>
      <c r="G48" s="1569">
        <f t="shared" si="16"/>
        <v>43040</v>
      </c>
      <c r="H48" s="1569">
        <f t="shared" si="16"/>
        <v>43009</v>
      </c>
      <c r="I48" s="1569">
        <f t="shared" si="16"/>
        <v>42979</v>
      </c>
      <c r="J48" s="1569">
        <f t="shared" si="16"/>
        <v>42948</v>
      </c>
      <c r="K48" s="1569">
        <f t="shared" si="16"/>
        <v>42917</v>
      </c>
      <c r="L48" s="1569">
        <f t="shared" si="16"/>
        <v>42887</v>
      </c>
      <c r="M48" s="1569">
        <f t="shared" si="16"/>
        <v>42856</v>
      </c>
      <c r="N48" s="1569">
        <f t="shared" si="16"/>
        <v>42826</v>
      </c>
      <c r="O48" s="1569">
        <f t="shared" si="16"/>
        <v>42795</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100</v>
      </c>
      <c r="F49" s="511">
        <v>99.5</v>
      </c>
      <c r="G49" s="511">
        <v>99.5</v>
      </c>
      <c r="H49" s="511">
        <v>99.5</v>
      </c>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t="str">
        <f>C9</f>
        <v>车库</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98</v>
      </c>
      <c r="E64" s="543">
        <f>D64-$K14</f>
        <v>96</v>
      </c>
      <c r="F64" s="543">
        <f>E64-$K14</f>
        <v>94</v>
      </c>
      <c r="G64" s="543">
        <f>F64-$K14</f>
        <v>92</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97</v>
      </c>
      <c r="E66" s="543">
        <f>D66-$K16</f>
        <v>94</v>
      </c>
      <c r="F66" s="543">
        <f>E66-$K16</f>
        <v>91</v>
      </c>
      <c r="G66" s="543">
        <f>F66-$K16</f>
        <v>88</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99</v>
      </c>
      <c r="E68" s="543">
        <f>D68-$K18</f>
        <v>98</v>
      </c>
      <c r="F68" s="543">
        <f>E68-$K18</f>
        <v>97</v>
      </c>
      <c r="G68" s="543">
        <f>F68-$K18</f>
        <v>96</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98</v>
      </c>
      <c r="E70" s="543">
        <f>D70-$K20</f>
        <v>96</v>
      </c>
      <c r="F70" s="543">
        <f>E70-$K20</f>
        <v>94</v>
      </c>
      <c r="G70" s="543">
        <f>F70-$K20</f>
        <v>92</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98</v>
      </c>
      <c r="E72" s="543">
        <f>D72-$K22</f>
        <v>96</v>
      </c>
      <c r="F72" s="543">
        <f>E72-$K22</f>
        <v>94</v>
      </c>
      <c r="G72" s="543">
        <f>F72-$K22</f>
        <v>92</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2989" t="s">
        <v>183</v>
      </c>
      <c r="D79" s="3023" t="s">
        <v>3179</v>
      </c>
      <c r="E79" s="3023" t="s">
        <v>3180</v>
      </c>
      <c r="F79" s="3023"/>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t="s">
        <v>3187</v>
      </c>
      <c r="D81" s="660" t="s">
        <v>3188</v>
      </c>
      <c r="E81" s="660" t="s">
        <v>3189</v>
      </c>
      <c r="F81" s="660" t="s">
        <v>3190</v>
      </c>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v>100</v>
      </c>
      <c r="D82" s="535">
        <v>102</v>
      </c>
      <c r="E82" s="535">
        <v>104</v>
      </c>
      <c r="F82" s="535">
        <v>106</v>
      </c>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t="s">
        <v>3185</v>
      </c>
      <c r="D83" s="553" t="s">
        <v>3186</v>
      </c>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v>20</v>
      </c>
      <c r="D91" s="594">
        <v>30</v>
      </c>
      <c r="E91" s="594">
        <v>45</v>
      </c>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100</v>
      </c>
      <c r="D92" s="535">
        <v>102</v>
      </c>
      <c r="E92" s="535">
        <v>104</v>
      </c>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t="s">
        <v>3181</v>
      </c>
      <c r="D93" s="553" t="s">
        <v>3182</v>
      </c>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t="s">
        <v>3183</v>
      </c>
      <c r="D95" s="529" t="s">
        <v>3184</v>
      </c>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99</v>
      </c>
      <c r="E96" s="543">
        <f>D96-$K33</f>
        <v>98</v>
      </c>
      <c r="F96" s="543">
        <f>E96-$K33</f>
        <v>97</v>
      </c>
      <c r="G96" s="543">
        <f>F96-$K33</f>
        <v>96</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IF(C2="——",ROUND(C37*D3/10000,0),ROUND(C37*D3/10000,0)-D2)</f>
        <v>#DIV/0!</v>
      </c>
      <c r="C2" s="2575"/>
      <c r="D2" s="1118" t="e">
        <f ca="1">SUMIF(INDIRECT("'"&amp;F2&amp;"'"&amp;"!A:A"),"承租人权益价值",INDIRECT("'"&amp;F2&amp;"'"&amp;"!c:c"))</f>
        <v>#REF!</v>
      </c>
      <c r="E2" s="2576" t="s">
        <v>2320</v>
      </c>
      <c r="F2" s="2577"/>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38" t="s">
        <v>2640</v>
      </c>
      <c r="AC4" s="3345" t="s">
        <v>2641</v>
      </c>
    </row>
    <row r="5" spans="1:29" ht="15">
      <c r="A5" s="403"/>
      <c r="B5" s="404"/>
      <c r="C5" s="3356" t="s">
        <v>2534</v>
      </c>
      <c r="D5" s="3355"/>
      <c r="E5" s="3394" t="s">
        <v>2535</v>
      </c>
      <c r="F5" s="3361"/>
      <c r="G5" s="3356" t="s">
        <v>2536</v>
      </c>
      <c r="H5" s="3355"/>
      <c r="I5" s="3356" t="s">
        <v>2537</v>
      </c>
      <c r="J5" s="3355"/>
      <c r="K5" s="609"/>
      <c r="L5" s="1124"/>
      <c r="M5" s="1125"/>
      <c r="N5" s="1125"/>
      <c r="O5" s="1125"/>
      <c r="P5" s="3348"/>
      <c r="Q5" s="3316"/>
      <c r="R5" s="3321"/>
      <c r="S5" s="3322"/>
      <c r="T5" s="3321"/>
      <c r="U5" s="3322"/>
      <c r="V5" s="3326"/>
      <c r="W5" s="3326"/>
      <c r="X5" s="1807"/>
      <c r="Y5" s="3321"/>
      <c r="Z5" s="3322"/>
      <c r="AA5" s="3338"/>
      <c r="AB5" s="3338"/>
      <c r="AC5" s="3338"/>
    </row>
    <row r="6" spans="1:29" ht="15.75" thickBot="1">
      <c r="A6" s="405"/>
      <c r="B6" s="406"/>
      <c r="C6" s="3357" t="s">
        <v>2538</v>
      </c>
      <c r="D6" s="3353"/>
      <c r="E6" s="3393" t="s">
        <v>2538</v>
      </c>
      <c r="F6" s="3359"/>
      <c r="G6" s="3357" t="s">
        <v>2538</v>
      </c>
      <c r="H6" s="3353"/>
      <c r="I6" s="3357" t="s">
        <v>2538</v>
      </c>
      <c r="J6" s="3353"/>
      <c r="K6" s="609" t="s">
        <v>2539</v>
      </c>
      <c r="L6" s="1124"/>
      <c r="M6" s="1125"/>
      <c r="N6" s="1125"/>
      <c r="O6" s="1125"/>
      <c r="P6" s="3349"/>
      <c r="Q6" s="3318"/>
      <c r="R6" s="3321"/>
      <c r="S6" s="3322"/>
      <c r="T6" s="3323"/>
      <c r="U6" s="3324"/>
      <c r="V6" s="3326"/>
      <c r="W6" s="3326"/>
      <c r="X6" s="1807"/>
      <c r="Y6" s="3323"/>
      <c r="Z6" s="3324"/>
      <c r="AA6" s="3339"/>
      <c r="AB6" s="3339"/>
      <c r="AC6" s="3339"/>
    </row>
    <row r="7" spans="1:29" s="116" customFormat="1" ht="15.75" thickBot="1">
      <c r="A7" s="407" t="s">
        <v>2540</v>
      </c>
      <c r="B7" s="408"/>
      <c r="C7" s="409">
        <f>'数据-取费表'!B2</f>
        <v>43185</v>
      </c>
      <c r="D7" s="410">
        <v>100</v>
      </c>
      <c r="E7" s="411"/>
      <c r="F7" s="412">
        <f>SUMIF(46:46,YEAR(E7)&amp;"-"&amp;MONTH(E7),47:47)</f>
        <v>0</v>
      </c>
      <c r="G7" s="2681"/>
      <c r="H7" s="410">
        <f>SUMIF(46:46,YEAR(G7)&amp;"-"&amp;MONTH(G7),47:47)</f>
        <v>0</v>
      </c>
      <c r="I7" s="411"/>
      <c r="J7" s="410">
        <f>SUMIF(46:46,YEAR(I7)&amp;"-"&amp;MONTH(I7),47:47)</f>
        <v>0</v>
      </c>
      <c r="K7" s="610"/>
      <c r="L7" s="1126"/>
      <c r="M7" s="1127"/>
      <c r="N7" s="1127"/>
      <c r="O7" s="1127"/>
      <c r="P7" s="3333" t="s">
        <v>2541</v>
      </c>
      <c r="Q7" s="3334"/>
      <c r="R7" s="768" t="s">
        <v>17</v>
      </c>
      <c r="S7" s="769">
        <f t="shared" ref="S7:S14" si="0">F7</f>
        <v>0</v>
      </c>
      <c r="T7" s="768" t="s">
        <v>17</v>
      </c>
      <c r="U7" s="769">
        <f t="shared" ref="U7:U14" si="1">H7</f>
        <v>0</v>
      </c>
      <c r="V7" s="768" t="s">
        <v>17</v>
      </c>
      <c r="W7" s="769">
        <f t="shared" ref="W7:W14" si="2">J7</f>
        <v>0</v>
      </c>
      <c r="X7" s="770"/>
      <c r="Y7" s="3333" t="s">
        <v>2541</v>
      </c>
      <c r="Z7" s="3332"/>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33" t="s">
        <v>2544</v>
      </c>
      <c r="Q8" s="3332"/>
      <c r="R8" s="768" t="s">
        <v>17</v>
      </c>
      <c r="S8" s="769">
        <f t="shared" si="0"/>
        <v>0</v>
      </c>
      <c r="T8" s="768" t="s">
        <v>17</v>
      </c>
      <c r="U8" s="769">
        <f t="shared" si="1"/>
        <v>0</v>
      </c>
      <c r="V8" s="768" t="s">
        <v>17</v>
      </c>
      <c r="W8" s="769">
        <f t="shared" si="2"/>
        <v>0</v>
      </c>
      <c r="X8" s="770"/>
      <c r="Y8" s="3333" t="s">
        <v>2544</v>
      </c>
      <c r="Z8" s="3332"/>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292" t="s">
        <v>2547</v>
      </c>
      <c r="Q9" s="1789" t="str">
        <f t="shared" ref="Q9:Q14" si="6">B9</f>
        <v>用途</v>
      </c>
      <c r="R9" s="768" t="s">
        <v>17</v>
      </c>
      <c r="S9" s="769">
        <f t="shared" si="0"/>
        <v>100</v>
      </c>
      <c r="T9" s="768" t="s">
        <v>17</v>
      </c>
      <c r="U9" s="769">
        <f t="shared" si="1"/>
        <v>100</v>
      </c>
      <c r="V9" s="768" t="s">
        <v>17</v>
      </c>
      <c r="W9" s="769">
        <f t="shared" si="2"/>
        <v>100</v>
      </c>
      <c r="X9" s="770"/>
      <c r="Y9" s="3120"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292"/>
      <c r="Q10" s="1789" t="str">
        <f t="shared" si="6"/>
        <v>土地使用年限（年）</v>
      </c>
      <c r="R10" s="768" t="s">
        <v>17</v>
      </c>
      <c r="S10" s="769">
        <f t="shared" si="0"/>
        <v>100</v>
      </c>
      <c r="T10" s="768" t="s">
        <v>17</v>
      </c>
      <c r="U10" s="769">
        <f t="shared" si="1"/>
        <v>100</v>
      </c>
      <c r="V10" s="768" t="s">
        <v>17</v>
      </c>
      <c r="W10" s="769">
        <f t="shared" si="2"/>
        <v>100</v>
      </c>
      <c r="X10" s="770"/>
      <c r="Y10" s="3120"/>
      <c r="Z10" s="55" t="str">
        <f t="shared" si="7"/>
        <v>土地使用年限（年）</v>
      </c>
      <c r="AA10" s="771">
        <f t="shared" si="3"/>
        <v>1</v>
      </c>
      <c r="AB10" s="771">
        <f t="shared" si="4"/>
        <v>1</v>
      </c>
      <c r="AC10" s="771">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292"/>
      <c r="Q11" s="1789">
        <f t="shared" si="6"/>
        <v>111</v>
      </c>
      <c r="R11" s="768" t="s">
        <v>17</v>
      </c>
      <c r="S11" s="769">
        <f t="shared" si="0"/>
        <v>100</v>
      </c>
      <c r="T11" s="768" t="s">
        <v>17</v>
      </c>
      <c r="U11" s="769">
        <f t="shared" si="1"/>
        <v>100</v>
      </c>
      <c r="V11" s="768" t="s">
        <v>17</v>
      </c>
      <c r="W11" s="769">
        <f t="shared" si="2"/>
        <v>100</v>
      </c>
      <c r="X11" s="770"/>
      <c r="Y11" s="3120"/>
      <c r="Z11" s="55">
        <f t="shared" si="7"/>
        <v>111</v>
      </c>
      <c r="AA11" s="771">
        <f t="shared" si="3"/>
        <v>1</v>
      </c>
      <c r="AB11" s="771">
        <f t="shared" si="4"/>
        <v>1</v>
      </c>
      <c r="AC11" s="771">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292"/>
      <c r="Q12" s="1789">
        <f t="shared" si="6"/>
        <v>111</v>
      </c>
      <c r="R12" s="768" t="s">
        <v>17</v>
      </c>
      <c r="S12" s="769">
        <f t="shared" si="0"/>
        <v>100</v>
      </c>
      <c r="T12" s="768" t="s">
        <v>17</v>
      </c>
      <c r="U12" s="769">
        <f t="shared" si="1"/>
        <v>100</v>
      </c>
      <c r="V12" s="768" t="s">
        <v>17</v>
      </c>
      <c r="W12" s="769">
        <f t="shared" si="2"/>
        <v>100</v>
      </c>
      <c r="X12" s="770"/>
      <c r="Y12" s="3120"/>
      <c r="Z12" s="55">
        <f t="shared" si="7"/>
        <v>111</v>
      </c>
      <c r="AA12" s="771">
        <f>D12/F12</f>
        <v>1</v>
      </c>
      <c r="AB12" s="771">
        <f>D12/H12</f>
        <v>1</v>
      </c>
      <c r="AC12" s="771">
        <f>D12/J12</f>
        <v>1</v>
      </c>
    </row>
    <row r="13" spans="1:29" ht="15.75" thickBot="1">
      <c r="A13" s="427"/>
      <c r="B13" s="2589">
        <v>111</v>
      </c>
      <c r="C13" s="433"/>
      <c r="D13" s="434">
        <v>100</v>
      </c>
      <c r="E13" s="468"/>
      <c r="F13" s="424">
        <f>SUMIF(59:59,E13,60:60)-SUMIF(59:59,C13,60:60)+100</f>
        <v>100</v>
      </c>
      <c r="G13" s="2682"/>
      <c r="H13" s="437">
        <f>SUMIF(59:59,G13,60:60)-SUMIF(59:59,C13,60:60)+100</f>
        <v>100</v>
      </c>
      <c r="I13" s="468"/>
      <c r="J13" s="434">
        <f>SUMIF(59:59,I13,60:60)-SUMIF(59:59,C13,60:60)+100</f>
        <v>100</v>
      </c>
      <c r="K13" s="612"/>
      <c r="L13" s="1134"/>
      <c r="M13" s="1125"/>
      <c r="N13" s="1125"/>
      <c r="O13" s="1133"/>
      <c r="P13" s="3292"/>
      <c r="Q13" s="1789">
        <f t="shared" si="6"/>
        <v>111</v>
      </c>
      <c r="R13" s="768" t="s">
        <v>17</v>
      </c>
      <c r="S13" s="769">
        <f t="shared" si="0"/>
        <v>100</v>
      </c>
      <c r="T13" s="768" t="s">
        <v>17</v>
      </c>
      <c r="U13" s="769">
        <f t="shared" si="1"/>
        <v>100</v>
      </c>
      <c r="V13" s="768" t="s">
        <v>17</v>
      </c>
      <c r="W13" s="769">
        <f t="shared" si="2"/>
        <v>100</v>
      </c>
      <c r="X13" s="770"/>
      <c r="Y13" s="3120"/>
      <c r="Z13" s="55">
        <f t="shared" si="7"/>
        <v>111</v>
      </c>
      <c r="AA13" s="771">
        <f t="shared" si="3"/>
        <v>1</v>
      </c>
      <c r="AB13" s="771">
        <f t="shared" si="4"/>
        <v>1</v>
      </c>
      <c r="AC13" s="771">
        <f t="shared" si="5"/>
        <v>1</v>
      </c>
    </row>
    <row r="14" spans="1:29" ht="99.75">
      <c r="A14" s="439" t="s">
        <v>2551</v>
      </c>
      <c r="B14" s="68" t="s">
        <v>2701</v>
      </c>
      <c r="C14" s="2679" t="str">
        <f>IF(B1="工业",估价对象房地状况!G4,估价对象房地状况!C6)</f>
        <v>估价对象周边道路状况、周边有810、910、938等多路及地铁八通线经过，综合评价交通便捷度较好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99" t="s">
        <v>2552</v>
      </c>
      <c r="Q14" s="1804" t="str">
        <f t="shared" si="6"/>
        <v>交通便捷度</v>
      </c>
      <c r="R14" s="772" t="s">
        <v>17</v>
      </c>
      <c r="S14" s="773">
        <f t="shared" si="0"/>
        <v>100</v>
      </c>
      <c r="T14" s="772" t="s">
        <v>17</v>
      </c>
      <c r="U14" s="773">
        <f t="shared" si="1"/>
        <v>100</v>
      </c>
      <c r="V14" s="772" t="s">
        <v>17</v>
      </c>
      <c r="W14" s="773">
        <f t="shared" si="2"/>
        <v>100</v>
      </c>
      <c r="X14" s="1807"/>
      <c r="Y14" s="3299" t="s">
        <v>2552</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300"/>
      <c r="Q15" s="1804"/>
      <c r="R15" s="772"/>
      <c r="S15" s="773"/>
      <c r="T15" s="772"/>
      <c r="U15" s="773"/>
      <c r="V15" s="772"/>
      <c r="W15" s="773"/>
      <c r="X15" s="1807"/>
      <c r="Y15" s="3300"/>
      <c r="Z15" s="1808"/>
      <c r="AA15" s="1805">
        <v>1</v>
      </c>
      <c r="AB15" s="1805">
        <v>1</v>
      </c>
      <c r="AC15" s="1805">
        <v>1</v>
      </c>
    </row>
    <row r="16" spans="1:29" ht="71.25">
      <c r="A16" s="427"/>
      <c r="B16" s="450" t="s">
        <v>2680</v>
      </c>
      <c r="C16" s="2596" t="str">
        <f>IF(B1="工业",估价对象房地状况!G5,估价对象房地状况!C7)</f>
        <v>周边有银行、购物场所、餐饮等配套设施，公共服务设施状况一般。</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00"/>
      <c r="Q16" s="1804" t="str">
        <f>B16</f>
        <v>公共配套设施</v>
      </c>
      <c r="R16" s="772" t="s">
        <v>17</v>
      </c>
      <c r="S16" s="773">
        <f>F16</f>
        <v>100</v>
      </c>
      <c r="T16" s="772" t="s">
        <v>17</v>
      </c>
      <c r="U16" s="773">
        <f>H16</f>
        <v>100</v>
      </c>
      <c r="V16" s="772" t="s">
        <v>17</v>
      </c>
      <c r="W16" s="773">
        <f>J16</f>
        <v>100</v>
      </c>
      <c r="X16" s="1807"/>
      <c r="Y16" s="3300"/>
      <c r="Z16" s="1808" t="str">
        <f>Q16</f>
        <v>公共配套设施</v>
      </c>
      <c r="AA16" s="1805">
        <f t="shared" si="3"/>
        <v>1</v>
      </c>
      <c r="AB16" s="1805">
        <f t="shared" si="4"/>
        <v>1</v>
      </c>
      <c r="AC16" s="1805">
        <f t="shared" si="5"/>
        <v>1</v>
      </c>
    </row>
    <row r="17" spans="1:29" ht="15">
      <c r="A17" s="427"/>
      <c r="B17" s="455"/>
      <c r="C17" s="2597"/>
      <c r="D17" s="447"/>
      <c r="E17" s="446"/>
      <c r="F17" s="448"/>
      <c r="G17" s="446"/>
      <c r="H17" s="447"/>
      <c r="I17" s="446"/>
      <c r="J17" s="447"/>
      <c r="K17" s="614"/>
      <c r="L17" s="1134"/>
      <c r="M17" s="1125"/>
      <c r="N17" s="1125"/>
      <c r="O17" s="1133"/>
      <c r="P17" s="3300"/>
      <c r="Q17" s="1804"/>
      <c r="R17" s="772"/>
      <c r="S17" s="773"/>
      <c r="T17" s="772"/>
      <c r="U17" s="773"/>
      <c r="V17" s="772"/>
      <c r="W17" s="773"/>
      <c r="X17" s="1807"/>
      <c r="Y17" s="3300"/>
      <c r="Z17" s="1808"/>
      <c r="AA17" s="1805">
        <v>1</v>
      </c>
      <c r="AB17" s="1805">
        <v>1</v>
      </c>
      <c r="AC17" s="1805">
        <v>1</v>
      </c>
    </row>
    <row r="18" spans="1:29" ht="15">
      <c r="A18" s="427"/>
      <c r="B18" s="1378" t="s">
        <v>2681</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00"/>
      <c r="Q18" s="1804" t="str">
        <f>B18</f>
        <v>基础设施水平</v>
      </c>
      <c r="R18" s="772" t="s">
        <v>17</v>
      </c>
      <c r="S18" s="773">
        <f>F18</f>
        <v>100</v>
      </c>
      <c r="T18" s="772" t="s">
        <v>17</v>
      </c>
      <c r="U18" s="773">
        <f>H18</f>
        <v>100</v>
      </c>
      <c r="V18" s="772" t="s">
        <v>17</v>
      </c>
      <c r="W18" s="773">
        <f>J18</f>
        <v>100</v>
      </c>
      <c r="X18" s="1807"/>
      <c r="Y18" s="3300"/>
      <c r="Z18" s="1808" t="str">
        <f>Q18</f>
        <v>基础设施水平</v>
      </c>
      <c r="AA18" s="1805">
        <f t="shared" ref="AA18" si="8">D18/F18</f>
        <v>1</v>
      </c>
      <c r="AB18" s="1805">
        <f t="shared" ref="AB18" si="9">D18/H18</f>
        <v>1</v>
      </c>
      <c r="AC18" s="1805">
        <f t="shared" ref="AC18" si="10">D18/J18</f>
        <v>1</v>
      </c>
    </row>
    <row r="19" spans="1:29" ht="15">
      <c r="A19" s="427"/>
      <c r="B19" s="1378"/>
      <c r="C19" s="2597"/>
      <c r="D19" s="449"/>
      <c r="E19" s="2597"/>
      <c r="F19" s="452"/>
      <c r="G19" s="2597"/>
      <c r="H19" s="447"/>
      <c r="I19" s="446"/>
      <c r="J19" s="447"/>
      <c r="K19" s="1377"/>
      <c r="L19" s="1134"/>
      <c r="M19" s="1125"/>
      <c r="N19" s="1125"/>
      <c r="O19" s="1133"/>
      <c r="P19" s="3300"/>
      <c r="Q19" s="1804"/>
      <c r="R19" s="772"/>
      <c r="S19" s="773"/>
      <c r="T19" s="772"/>
      <c r="U19" s="773"/>
      <c r="V19" s="772"/>
      <c r="W19" s="773"/>
      <c r="X19" s="1807"/>
      <c r="Y19" s="3300"/>
      <c r="Z19" s="1808"/>
      <c r="AA19" s="1805">
        <v>1</v>
      </c>
      <c r="AB19" s="1805">
        <v>1</v>
      </c>
      <c r="AC19" s="1805">
        <v>1</v>
      </c>
    </row>
    <row r="20" spans="1:29" ht="71.25">
      <c r="A20" s="427"/>
      <c r="B20" s="450" t="s">
        <v>2702</v>
      </c>
      <c r="C20" s="2596" t="str">
        <f>IF(B1="工业",估价对象房地状况!G7,估价对象房地状况!C9)</f>
        <v>区域自然环境：梨园主题公园；人文环境：无；综合评价环境状况一般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00"/>
      <c r="Q20" s="1804" t="str">
        <f>B20</f>
        <v>自然及人文环境</v>
      </c>
      <c r="R20" s="772" t="s">
        <v>17</v>
      </c>
      <c r="S20" s="773">
        <f>F20</f>
        <v>100</v>
      </c>
      <c r="T20" s="772" t="s">
        <v>17</v>
      </c>
      <c r="U20" s="773">
        <f>H20</f>
        <v>100</v>
      </c>
      <c r="V20" s="772" t="s">
        <v>17</v>
      </c>
      <c r="W20" s="773">
        <f>J20</f>
        <v>100</v>
      </c>
      <c r="X20" s="1807"/>
      <c r="Y20" s="3300"/>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300"/>
      <c r="Q21" s="1804"/>
      <c r="R21" s="772"/>
      <c r="S21" s="773"/>
      <c r="T21" s="772"/>
      <c r="U21" s="773"/>
      <c r="V21" s="772"/>
      <c r="W21" s="773"/>
      <c r="X21" s="1807"/>
      <c r="Y21" s="3300"/>
      <c r="Z21" s="1808"/>
      <c r="AA21" s="1805">
        <v>1</v>
      </c>
      <c r="AB21" s="1805">
        <v>1</v>
      </c>
      <c r="AC21" s="1805">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00"/>
      <c r="Q22" s="1804" t="str">
        <f>B22</f>
        <v>楼层</v>
      </c>
      <c r="R22" s="772" t="s">
        <v>17</v>
      </c>
      <c r="S22" s="773">
        <f>F22</f>
        <v>100</v>
      </c>
      <c r="T22" s="772" t="s">
        <v>17</v>
      </c>
      <c r="U22" s="773">
        <f>H22</f>
        <v>100</v>
      </c>
      <c r="V22" s="772" t="s">
        <v>17</v>
      </c>
      <c r="W22" s="773">
        <f>J22</f>
        <v>100</v>
      </c>
      <c r="X22" s="1807"/>
      <c r="Y22" s="3300"/>
      <c r="Z22" s="1808" t="str">
        <f>Q22</f>
        <v>楼层</v>
      </c>
      <c r="AA22" s="1805">
        <f t="shared" si="3"/>
        <v>1</v>
      </c>
      <c r="AB22" s="1805">
        <f t="shared" si="4"/>
        <v>1</v>
      </c>
      <c r="AC22" s="1805">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00"/>
      <c r="Q23" s="1804">
        <f>B23</f>
        <v>111</v>
      </c>
      <c r="R23" s="772" t="s">
        <v>17</v>
      </c>
      <c r="S23" s="773">
        <f>F23</f>
        <v>100</v>
      </c>
      <c r="T23" s="772" t="s">
        <v>17</v>
      </c>
      <c r="U23" s="773">
        <f>H23</f>
        <v>100</v>
      </c>
      <c r="V23" s="772" t="s">
        <v>17</v>
      </c>
      <c r="W23" s="773">
        <f>J23</f>
        <v>100</v>
      </c>
      <c r="X23" s="1807"/>
      <c r="Y23" s="3300"/>
      <c r="Z23" s="1808">
        <f>Q23</f>
        <v>111</v>
      </c>
      <c r="AA23" s="1805">
        <f t="shared" si="3"/>
        <v>1</v>
      </c>
      <c r="AB23" s="1805">
        <f t="shared" si="4"/>
        <v>1</v>
      </c>
      <c r="AC23" s="1805">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00"/>
      <c r="Q24" s="1804">
        <f t="shared" ref="Q24:Q34" si="11">B24</f>
        <v>111</v>
      </c>
      <c r="R24" s="772" t="s">
        <v>17</v>
      </c>
      <c r="S24" s="773">
        <f>F24</f>
        <v>100</v>
      </c>
      <c r="T24" s="772" t="s">
        <v>17</v>
      </c>
      <c r="U24" s="773">
        <f>H24</f>
        <v>100</v>
      </c>
      <c r="V24" s="772" t="s">
        <v>17</v>
      </c>
      <c r="W24" s="773">
        <f>J24</f>
        <v>100</v>
      </c>
      <c r="X24" s="1807"/>
      <c r="Y24" s="3300"/>
      <c r="Z24" s="1808">
        <f>Q24</f>
        <v>111</v>
      </c>
      <c r="AA24" s="1805">
        <f t="shared" si="3"/>
        <v>1</v>
      </c>
      <c r="AB24" s="1805">
        <f t="shared" si="4"/>
        <v>1</v>
      </c>
      <c r="AC24" s="1805">
        <f t="shared" si="5"/>
        <v>1</v>
      </c>
    </row>
    <row r="25" spans="1:29" s="116" customFormat="1" ht="15.75" thickBot="1">
      <c r="A25" s="430"/>
      <c r="B25" s="2589">
        <v>111</v>
      </c>
      <c r="C25" s="2683"/>
      <c r="D25" s="664">
        <v>100</v>
      </c>
      <c r="E25" s="2683"/>
      <c r="F25" s="665">
        <f>SUMIF(75:75,E25,76:76)-SUMIF(75:75,C25,76:76)+100</f>
        <v>100</v>
      </c>
      <c r="G25" s="2683"/>
      <c r="H25" s="664">
        <f>SUMIF(75:75,G25,76:76)-SUMIF(75:75,C25,76:76)+100</f>
        <v>100</v>
      </c>
      <c r="I25" s="2683"/>
      <c r="J25" s="664">
        <f>SUMIF(75:75,I25,76:76)-SUMIF(75:75,C25,76:76)+100</f>
        <v>100</v>
      </c>
      <c r="K25" s="612"/>
      <c r="L25" s="1126"/>
      <c r="M25" s="1127"/>
      <c r="N25" s="1127"/>
      <c r="O25" s="1128"/>
      <c r="P25" s="3300"/>
      <c r="Q25" s="1789">
        <f t="shared" si="11"/>
        <v>111</v>
      </c>
      <c r="R25" s="768" t="s">
        <v>17</v>
      </c>
      <c r="S25" s="769">
        <f>F25</f>
        <v>100</v>
      </c>
      <c r="T25" s="768" t="s">
        <v>17</v>
      </c>
      <c r="U25" s="769">
        <f>H25</f>
        <v>100</v>
      </c>
      <c r="V25" s="768" t="s">
        <v>17</v>
      </c>
      <c r="W25" s="769">
        <f>J25</f>
        <v>100</v>
      </c>
      <c r="X25" s="770"/>
      <c r="Y25" s="3300"/>
      <c r="Z25" s="55">
        <f>Q25</f>
        <v>111</v>
      </c>
      <c r="AA25" s="1805">
        <f>D25/F25</f>
        <v>1</v>
      </c>
      <c r="AB25" s="1805">
        <f>D25/H25</f>
        <v>1</v>
      </c>
      <c r="AC25" s="1805">
        <f>D25/J25</f>
        <v>1</v>
      </c>
    </row>
    <row r="26" spans="1:29" ht="15">
      <c r="A26" s="465" t="s">
        <v>2555</v>
      </c>
      <c r="B26" s="70" t="s">
        <v>2706</v>
      </c>
      <c r="C26" s="2665"/>
      <c r="D26" s="466">
        <v>100</v>
      </c>
      <c r="E26" s="2665"/>
      <c r="F26" s="666">
        <f>SUMIF(77:77,E26,78:78)-SUMIF(77:77,C26,78:78)+100</f>
        <v>100</v>
      </c>
      <c r="G26" s="2665"/>
      <c r="H26" s="466">
        <f>SUMIF(77:77,G26,78:78)-SUMIF(77:77,C26,78:78)+100</f>
        <v>100</v>
      </c>
      <c r="I26" s="2665"/>
      <c r="J26" s="466">
        <f>SUMIF(77:77,I26,78:78)-SUMIF(77:77,C26,78:78)+100</f>
        <v>100</v>
      </c>
      <c r="K26" s="611"/>
      <c r="L26" s="1134"/>
      <c r="M26" s="1125"/>
      <c r="N26" s="1125"/>
      <c r="O26" s="1133"/>
      <c r="P26" s="3395" t="s">
        <v>2557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04" t="s">
        <v>2557</v>
      </c>
      <c r="Z26" s="1808" t="str">
        <f t="shared" ref="Z26:Z34" si="15">Q26</f>
        <v>公共部分装修</v>
      </c>
      <c r="AA26" s="1805">
        <f t="shared" si="3"/>
        <v>1</v>
      </c>
      <c r="AB26" s="1805">
        <f t="shared" si="4"/>
        <v>1</v>
      </c>
      <c r="AC26" s="1805">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04"/>
      <c r="Q27" s="774" t="str">
        <f t="shared" si="11"/>
        <v>成新率</v>
      </c>
      <c r="R27" s="775" t="s">
        <v>17</v>
      </c>
      <c r="S27" s="776" t="e">
        <f t="shared" si="12"/>
        <v>#N/A</v>
      </c>
      <c r="T27" s="775" t="s">
        <v>17</v>
      </c>
      <c r="U27" s="776" t="e">
        <f t="shared" si="13"/>
        <v>#N/A</v>
      </c>
      <c r="V27" s="775" t="s">
        <v>17</v>
      </c>
      <c r="W27" s="776" t="e">
        <f t="shared" si="14"/>
        <v>#N/A</v>
      </c>
      <c r="X27" s="777"/>
      <c r="Y27" s="3304"/>
      <c r="Z27" s="778" t="str">
        <f t="shared" si="15"/>
        <v>成新率</v>
      </c>
      <c r="AA27" s="1805" t="e">
        <f t="shared" si="3"/>
        <v>#N/A</v>
      </c>
      <c r="AB27" s="1805" t="e">
        <f t="shared" si="4"/>
        <v>#N/A</v>
      </c>
      <c r="AC27" s="1805"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04"/>
      <c r="Q28" s="1804" t="str">
        <f t="shared" si="11"/>
        <v>物业等级</v>
      </c>
      <c r="R28" s="772" t="s">
        <v>17</v>
      </c>
      <c r="S28" s="773">
        <f t="shared" si="12"/>
        <v>100</v>
      </c>
      <c r="T28" s="772" t="s">
        <v>17</v>
      </c>
      <c r="U28" s="773">
        <f t="shared" si="13"/>
        <v>100</v>
      </c>
      <c r="V28" s="772" t="s">
        <v>17</v>
      </c>
      <c r="W28" s="773">
        <f t="shared" si="14"/>
        <v>100</v>
      </c>
      <c r="X28" s="1807"/>
      <c r="Y28" s="3304"/>
      <c r="Z28" s="1808" t="str">
        <f t="shared" si="15"/>
        <v>物业等级</v>
      </c>
      <c r="AA28" s="1805">
        <f t="shared" si="3"/>
        <v>1</v>
      </c>
      <c r="AB28" s="1805">
        <f t="shared" si="4"/>
        <v>1</v>
      </c>
      <c r="AC28" s="1805">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04"/>
      <c r="Q29" s="1804" t="str">
        <f t="shared" si="11"/>
        <v>有无电梯</v>
      </c>
      <c r="R29" s="772" t="s">
        <v>17</v>
      </c>
      <c r="S29" s="773">
        <f t="shared" si="12"/>
        <v>100</v>
      </c>
      <c r="T29" s="772" t="s">
        <v>17</v>
      </c>
      <c r="U29" s="773">
        <f t="shared" si="13"/>
        <v>100</v>
      </c>
      <c r="V29" s="772" t="s">
        <v>17</v>
      </c>
      <c r="W29" s="773">
        <f t="shared" si="14"/>
        <v>100</v>
      </c>
      <c r="X29" s="1807"/>
      <c r="Y29" s="3304"/>
      <c r="Z29" s="1808" t="str">
        <f t="shared" si="15"/>
        <v>有无电梯</v>
      </c>
      <c r="AA29" s="1805">
        <f t="shared" si="3"/>
        <v>1</v>
      </c>
      <c r="AB29" s="1805">
        <f t="shared" si="4"/>
        <v>1</v>
      </c>
      <c r="AC29" s="1805">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04"/>
      <c r="Q30" s="1804" t="str">
        <f t="shared" si="11"/>
        <v>建筑面积</v>
      </c>
      <c r="R30" s="772" t="s">
        <v>17</v>
      </c>
      <c r="S30" s="773" t="e">
        <f t="shared" si="12"/>
        <v>#N/A</v>
      </c>
      <c r="T30" s="772" t="s">
        <v>17</v>
      </c>
      <c r="U30" s="773" t="e">
        <f t="shared" si="13"/>
        <v>#N/A</v>
      </c>
      <c r="V30" s="772" t="s">
        <v>17</v>
      </c>
      <c r="W30" s="773" t="e">
        <f t="shared" si="14"/>
        <v>#N/A</v>
      </c>
      <c r="X30" s="1807"/>
      <c r="Y30" s="3304"/>
      <c r="Z30" s="1808" t="str">
        <f t="shared" si="15"/>
        <v>建筑面积</v>
      </c>
      <c r="AA30" s="1805" t="e">
        <f t="shared" si="3"/>
        <v>#N/A</v>
      </c>
      <c r="AB30" s="1805" t="e">
        <f t="shared" si="4"/>
        <v>#N/A</v>
      </c>
      <c r="AC30" s="1805"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04"/>
      <c r="Q31" s="1789" t="str">
        <f t="shared" si="11"/>
        <v>是否封闭</v>
      </c>
      <c r="R31" s="768" t="s">
        <v>17</v>
      </c>
      <c r="S31" s="769">
        <f t="shared" si="12"/>
        <v>100</v>
      </c>
      <c r="T31" s="768" t="s">
        <v>17</v>
      </c>
      <c r="U31" s="769">
        <f t="shared" si="13"/>
        <v>100</v>
      </c>
      <c r="V31" s="768" t="s">
        <v>17</v>
      </c>
      <c r="W31" s="769">
        <f t="shared" si="14"/>
        <v>100</v>
      </c>
      <c r="X31" s="770"/>
      <c r="Y31" s="3304"/>
      <c r="Z31" s="55" t="str">
        <f t="shared" si="15"/>
        <v>是否封闭</v>
      </c>
      <c r="AA31" s="771">
        <f t="shared" si="3"/>
        <v>1</v>
      </c>
      <c r="AB31" s="771">
        <f t="shared" si="4"/>
        <v>1</v>
      </c>
      <c r="AC31" s="771">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04" t="s">
        <v>2557</v>
      </c>
      <c r="Q32" s="1804">
        <f t="shared" si="11"/>
        <v>111</v>
      </c>
      <c r="R32" s="772" t="s">
        <v>17</v>
      </c>
      <c r="S32" s="773">
        <f t="shared" si="12"/>
        <v>100</v>
      </c>
      <c r="T32" s="772" t="s">
        <v>17</v>
      </c>
      <c r="U32" s="773">
        <f t="shared" si="13"/>
        <v>100</v>
      </c>
      <c r="V32" s="772" t="s">
        <v>17</v>
      </c>
      <c r="W32" s="773">
        <f t="shared" si="14"/>
        <v>100</v>
      </c>
      <c r="X32" s="1807"/>
      <c r="Y32" s="3304" t="s">
        <v>2557</v>
      </c>
      <c r="Z32" s="1808">
        <f t="shared" si="15"/>
        <v>111</v>
      </c>
      <c r="AA32" s="1805">
        <f t="shared" si="3"/>
        <v>1</v>
      </c>
      <c r="AB32" s="1805">
        <f t="shared" si="4"/>
        <v>1</v>
      </c>
      <c r="AC32" s="1805">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04"/>
      <c r="Q33" s="1804">
        <f t="shared" si="11"/>
        <v>111</v>
      </c>
      <c r="R33" s="772" t="s">
        <v>17</v>
      </c>
      <c r="S33" s="773">
        <f t="shared" si="12"/>
        <v>100</v>
      </c>
      <c r="T33" s="772" t="s">
        <v>17</v>
      </c>
      <c r="U33" s="773">
        <f t="shared" si="13"/>
        <v>100</v>
      </c>
      <c r="V33" s="772" t="s">
        <v>17</v>
      </c>
      <c r="W33" s="773">
        <f t="shared" si="14"/>
        <v>100</v>
      </c>
      <c r="X33" s="1807"/>
      <c r="Y33" s="3304"/>
      <c r="Z33" s="1808">
        <f t="shared" si="15"/>
        <v>111</v>
      </c>
      <c r="AA33" s="1805">
        <f t="shared" si="3"/>
        <v>1</v>
      </c>
      <c r="AB33" s="1805">
        <f t="shared" si="4"/>
        <v>1</v>
      </c>
      <c r="AC33" s="1805">
        <f t="shared" si="5"/>
        <v>1</v>
      </c>
    </row>
    <row r="34" spans="1:29" ht="15.75" thickBot="1">
      <c r="A34" s="477"/>
      <c r="B34" s="2591">
        <v>111</v>
      </c>
      <c r="C34" s="436"/>
      <c r="D34" s="437">
        <v>100</v>
      </c>
      <c r="E34" s="2682"/>
      <c r="F34" s="438">
        <f>SUMIF(95:95,E34,96:96)-SUMIF(95:95,C34,96:96)+100</f>
        <v>100</v>
      </c>
      <c r="G34" s="2682"/>
      <c r="H34" s="437">
        <f>SUMIF(95:95,G34,96:96)-SUMIF(95:95,C34,96:96)+100</f>
        <v>100</v>
      </c>
      <c r="I34" s="2682"/>
      <c r="J34" s="437">
        <f>SUMIF(95:95,I34,96:96)-SUMIF(95:95,C34,96:96)+100</f>
        <v>100</v>
      </c>
      <c r="K34" s="612"/>
      <c r="L34" s="1134"/>
      <c r="M34" s="1125"/>
      <c r="N34" s="1125"/>
      <c r="O34" s="1133"/>
      <c r="P34" s="3304"/>
      <c r="Q34" s="1804">
        <f t="shared" si="11"/>
        <v>111</v>
      </c>
      <c r="R34" s="772" t="s">
        <v>17</v>
      </c>
      <c r="S34" s="773">
        <f t="shared" si="12"/>
        <v>100</v>
      </c>
      <c r="T34" s="772" t="s">
        <v>17</v>
      </c>
      <c r="U34" s="773">
        <f t="shared" si="13"/>
        <v>100</v>
      </c>
      <c r="V34" s="772" t="s">
        <v>17</v>
      </c>
      <c r="W34" s="773">
        <f t="shared" si="14"/>
        <v>100</v>
      </c>
      <c r="X34" s="1807"/>
      <c r="Y34" s="3304"/>
      <c r="Z34" s="1808">
        <f t="shared" si="15"/>
        <v>111</v>
      </c>
      <c r="AA34" s="1805">
        <f t="shared" si="3"/>
        <v>1</v>
      </c>
      <c r="AB34" s="1805">
        <f t="shared" si="4"/>
        <v>1</v>
      </c>
      <c r="AC34" s="1805">
        <f t="shared" si="5"/>
        <v>1</v>
      </c>
    </row>
    <row r="35" spans="1:29" ht="15">
      <c r="A35" s="478" t="s">
        <v>2569</v>
      </c>
      <c r="B35" s="479"/>
      <c r="C35" s="1401" t="s">
        <v>1</v>
      </c>
      <c r="D35" s="1402"/>
      <c r="E35" s="1403"/>
      <c r="F35" s="1404"/>
      <c r="G35" s="1405"/>
      <c r="H35" s="1406"/>
      <c r="I35" s="1403"/>
      <c r="J35" s="1406"/>
      <c r="K35" s="781"/>
      <c r="L35" s="1137"/>
      <c r="M35" s="1138"/>
      <c r="N35" s="1125"/>
      <c r="O35" s="1138"/>
      <c r="P35" s="3292" t="str">
        <f>A35</f>
        <v>成交单价（元/平方米）</v>
      </c>
      <c r="Q35" s="3292"/>
      <c r="R35" s="3293">
        <f>E35</f>
        <v>0</v>
      </c>
      <c r="S35" s="3293"/>
      <c r="T35" s="3293">
        <f>G35</f>
        <v>0</v>
      </c>
      <c r="U35" s="3293"/>
      <c r="V35" s="3293">
        <f>I35</f>
        <v>0</v>
      </c>
      <c r="W35" s="3293"/>
      <c r="X35" s="757"/>
      <c r="Y35" s="779"/>
      <c r="Z35" s="757"/>
      <c r="AA35" s="757"/>
      <c r="AB35" s="757"/>
      <c r="AC35" s="757"/>
    </row>
    <row r="36" spans="1:29" ht="15.75" thickBot="1">
      <c r="A36" s="485" t="s">
        <v>2661</v>
      </c>
      <c r="B36" s="486"/>
      <c r="C36" s="1407" t="e">
        <f>R37</f>
        <v>#DIV/0!</v>
      </c>
      <c r="D36" s="1408"/>
      <c r="E36" s="1409" t="e">
        <f>R36</f>
        <v>#DIV/0!</v>
      </c>
      <c r="F36" s="1409"/>
      <c r="G36" s="1407" t="e">
        <f>T36</f>
        <v>#DIV/0!</v>
      </c>
      <c r="H36" s="1408"/>
      <c r="I36" s="1409" t="e">
        <f>V36</f>
        <v>#DIV/0!</v>
      </c>
      <c r="J36" s="1408"/>
      <c r="K36" s="782"/>
      <c r="L36" s="1137"/>
      <c r="M36" s="1138"/>
      <c r="N36" s="1125"/>
      <c r="O36" s="1138"/>
      <c r="P36" s="3292" t="str">
        <f>A36</f>
        <v>比较价值（元/平方米）</v>
      </c>
      <c r="Q36" s="3292"/>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757"/>
      <c r="Y36" s="757"/>
      <c r="Z36" s="757"/>
      <c r="AA36" s="757"/>
      <c r="AB36" s="757"/>
      <c r="AC36" s="757"/>
    </row>
    <row r="37" spans="1:29" ht="15.75" thickBot="1">
      <c r="A37" s="491" t="s">
        <v>2662</v>
      </c>
      <c r="B37" s="492"/>
      <c r="C37" s="1411" t="e">
        <f>R37</f>
        <v>#DIV/0!</v>
      </c>
      <c r="D37" s="1411"/>
      <c r="E37" s="1411"/>
      <c r="F37" s="1411"/>
      <c r="G37" s="1411"/>
      <c r="H37" s="1411"/>
      <c r="I37" s="1411"/>
      <c r="J37" s="1411"/>
      <c r="K37" s="783"/>
      <c r="L37" s="1137"/>
      <c r="M37" s="1138"/>
      <c r="N37" s="1138"/>
      <c r="O37" s="1138"/>
      <c r="P37" s="3342" t="str">
        <f>A37</f>
        <v>估价对象XX用房的比较价值（楼面单价，元/平方米）</v>
      </c>
      <c r="Q37" s="3343"/>
      <c r="R37" s="3344" t="e">
        <f>IF(F1="售价",ROUND(AVERAGE(R36:V36),0),ROUND(AVERAGE(R36:V36),1))</f>
        <v>#DIV/0!</v>
      </c>
      <c r="S37" s="3344"/>
      <c r="T37" s="3344"/>
      <c r="U37" s="3344"/>
      <c r="V37" s="3344"/>
      <c r="W37" s="3344"/>
      <c r="X37" s="757"/>
      <c r="Y37" s="757"/>
      <c r="Z37" s="757"/>
      <c r="AA37" s="757"/>
      <c r="AB37" s="757"/>
      <c r="AC37" s="757"/>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68" t="str">
        <f>YEAR(C7)&amp;"-"&amp;MONTH(C7)</f>
        <v>2018-3</v>
      </c>
      <c r="D46" s="1569">
        <f>EDATE(C46,-1)</f>
        <v>43132</v>
      </c>
      <c r="E46" s="1569">
        <f t="shared" ref="E46:O46" si="16">EDATE(D46,-1)</f>
        <v>43101</v>
      </c>
      <c r="F46" s="1569">
        <f t="shared" si="16"/>
        <v>43070</v>
      </c>
      <c r="G46" s="1569">
        <f t="shared" si="16"/>
        <v>43040</v>
      </c>
      <c r="H46" s="1569">
        <f t="shared" si="16"/>
        <v>43009</v>
      </c>
      <c r="I46" s="1569">
        <f t="shared" si="16"/>
        <v>42979</v>
      </c>
      <c r="J46" s="1569">
        <f t="shared" si="16"/>
        <v>42948</v>
      </c>
      <c r="K46" s="1569">
        <f t="shared" si="16"/>
        <v>42917</v>
      </c>
      <c r="L46" s="1569">
        <f t="shared" si="16"/>
        <v>42887</v>
      </c>
      <c r="M46" s="1569">
        <f t="shared" si="16"/>
        <v>42856</v>
      </c>
      <c r="N46" s="1569">
        <f t="shared" si="16"/>
        <v>42826</v>
      </c>
      <c r="O46" s="1569">
        <f t="shared" si="16"/>
        <v>42795</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38" t="s">
        <v>2640</v>
      </c>
      <c r="AC4" s="3345" t="s">
        <v>2641</v>
      </c>
    </row>
    <row r="5" spans="1:30" ht="15">
      <c r="A5" s="403"/>
      <c r="B5" s="404"/>
      <c r="C5" s="3356" t="s">
        <v>2534</v>
      </c>
      <c r="D5" s="3355"/>
      <c r="E5" s="3394" t="s">
        <v>2535</v>
      </c>
      <c r="F5" s="3361"/>
      <c r="G5" s="3356" t="s">
        <v>2536</v>
      </c>
      <c r="H5" s="3355"/>
      <c r="I5" s="3356" t="s">
        <v>2537</v>
      </c>
      <c r="J5" s="3355"/>
      <c r="K5" s="609"/>
      <c r="L5" s="1124"/>
      <c r="M5" s="1125"/>
      <c r="N5" s="1125"/>
      <c r="O5" s="1125"/>
      <c r="P5" s="3348"/>
      <c r="Q5" s="3316"/>
      <c r="R5" s="3321"/>
      <c r="S5" s="3322"/>
      <c r="T5" s="3321"/>
      <c r="U5" s="3322"/>
      <c r="V5" s="3326"/>
      <c r="W5" s="3326"/>
      <c r="X5" s="1807"/>
      <c r="Y5" s="3321"/>
      <c r="Z5" s="3322"/>
      <c r="AA5" s="3338"/>
      <c r="AB5" s="3338"/>
      <c r="AC5" s="3338"/>
    </row>
    <row r="6" spans="1:30" ht="15.75" thickBot="1">
      <c r="A6" s="405"/>
      <c r="B6" s="406"/>
      <c r="C6" s="3357" t="s">
        <v>2538</v>
      </c>
      <c r="D6" s="3353"/>
      <c r="E6" s="3393" t="s">
        <v>2538</v>
      </c>
      <c r="F6" s="3359"/>
      <c r="G6" s="3357" t="s">
        <v>2538</v>
      </c>
      <c r="H6" s="3353"/>
      <c r="I6" s="3357" t="s">
        <v>2538</v>
      </c>
      <c r="J6" s="3353"/>
      <c r="K6" s="609" t="s">
        <v>2539</v>
      </c>
      <c r="L6" s="1124"/>
      <c r="M6" s="1125"/>
      <c r="N6" s="1125"/>
      <c r="O6" s="1125"/>
      <c r="P6" s="3349"/>
      <c r="Q6" s="3318"/>
      <c r="R6" s="3321"/>
      <c r="S6" s="3322"/>
      <c r="T6" s="3323"/>
      <c r="U6" s="3324"/>
      <c r="V6" s="3326"/>
      <c r="W6" s="3326"/>
      <c r="X6" s="1807"/>
      <c r="Y6" s="3323"/>
      <c r="Z6" s="3324"/>
      <c r="AA6" s="3339"/>
      <c r="AB6" s="3339"/>
      <c r="AC6" s="3339"/>
    </row>
    <row r="7" spans="1:30" s="116" customFormat="1" ht="15.75" thickBot="1">
      <c r="A7" s="407" t="s">
        <v>2540</v>
      </c>
      <c r="B7" s="408"/>
      <c r="C7" s="409">
        <f>'数据-取费表'!B2</f>
        <v>43185</v>
      </c>
      <c r="D7" s="410">
        <v>100</v>
      </c>
      <c r="E7" s="411">
        <v>42309</v>
      </c>
      <c r="F7" s="412">
        <f>SUMIF(70:70,YEAR(E7)&amp;"-"&amp;INT((MONTH(E7)+2)/3),71:71)</f>
        <v>0</v>
      </c>
      <c r="G7" s="2681">
        <v>42309</v>
      </c>
      <c r="H7" s="410">
        <f>SUMIF(70:70,YEAR(G7)&amp;"-"&amp;INT((MONTH(G7)+2)/3),71:71)</f>
        <v>0</v>
      </c>
      <c r="I7" s="2681">
        <v>42036</v>
      </c>
      <c r="J7" s="410">
        <f>SUMIF(70:70,YEAR(I7)&amp;"-"&amp;INT((MONTH(I7)+2)/3),71:71)</f>
        <v>0</v>
      </c>
      <c r="K7" s="610"/>
      <c r="L7" s="1126"/>
      <c r="M7" s="1127"/>
      <c r="N7" s="1127"/>
      <c r="O7" s="1127"/>
      <c r="P7" s="3333" t="s">
        <v>2541</v>
      </c>
      <c r="Q7" s="3334"/>
      <c r="R7" s="768" t="s">
        <v>17</v>
      </c>
      <c r="S7" s="769">
        <f t="shared" ref="S7:S15" si="0">F7</f>
        <v>0</v>
      </c>
      <c r="T7" s="768" t="s">
        <v>17</v>
      </c>
      <c r="U7" s="769">
        <f t="shared" ref="U7:U15" si="1">H7</f>
        <v>0</v>
      </c>
      <c r="V7" s="768" t="s">
        <v>17</v>
      </c>
      <c r="W7" s="769">
        <f t="shared" ref="W7:W15" si="2">J7</f>
        <v>0</v>
      </c>
      <c r="X7" s="770"/>
      <c r="Y7" s="3333" t="s">
        <v>2541</v>
      </c>
      <c r="Z7" s="3332"/>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33" t="s">
        <v>2544</v>
      </c>
      <c r="Q8" s="3332"/>
      <c r="R8" s="768" t="s">
        <v>17</v>
      </c>
      <c r="S8" s="769">
        <f t="shared" si="0"/>
        <v>0</v>
      </c>
      <c r="T8" s="768" t="s">
        <v>17</v>
      </c>
      <c r="U8" s="769">
        <f t="shared" si="1"/>
        <v>0</v>
      </c>
      <c r="V8" s="768" t="s">
        <v>17</v>
      </c>
      <c r="W8" s="769">
        <f t="shared" si="2"/>
        <v>0</v>
      </c>
      <c r="X8" s="770"/>
      <c r="Y8" s="3333" t="s">
        <v>2544</v>
      </c>
      <c r="Z8" s="3332"/>
      <c r="AA8" s="771" t="e">
        <f t="shared" ref="AA8:AA45" si="3">D8/F8</f>
        <v>#DIV/0!</v>
      </c>
      <c r="AB8" s="771" t="e">
        <f t="shared" ref="AB8:AB45" si="4">D8/H8</f>
        <v>#DIV/0!</v>
      </c>
      <c r="AC8" s="771" t="e">
        <f t="shared" ref="AC8:AC45" si="5">D8/J8</f>
        <v>#DIV/0!</v>
      </c>
    </row>
    <row r="9" spans="1:30" s="116" customFormat="1">
      <c r="A9" s="414" t="s">
        <v>2545</v>
      </c>
      <c r="B9" s="70" t="s">
        <v>2546</v>
      </c>
      <c r="C9" s="2684"/>
      <c r="D9" s="134">
        <v>100</v>
      </c>
      <c r="E9" s="2684"/>
      <c r="F9" s="134">
        <f>SUMIF(75:75,E9,76:76)-SUMIF(75:75,C9,76:76)+100</f>
        <v>100</v>
      </c>
      <c r="G9" s="2684"/>
      <c r="H9" s="134">
        <f>SUMIF(75:75,G9,76:76)-SUMIF(75:75,C9,76:76)+100</f>
        <v>100</v>
      </c>
      <c r="I9" s="2684"/>
      <c r="J9" s="134">
        <f>SUMIF(75:75,I9,76:76)-SUMIF(75:75,C9,76:76)+100</f>
        <v>100</v>
      </c>
      <c r="K9" s="610"/>
      <c r="L9" s="1126"/>
      <c r="M9" s="1127"/>
      <c r="N9" s="1127"/>
      <c r="O9" s="1128"/>
      <c r="P9" s="3292"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29"/>
      <c r="M10" s="1130"/>
      <c r="N10" s="1130"/>
      <c r="O10" s="1131"/>
      <c r="P10" s="3292"/>
      <c r="Q10" s="1789" t="str">
        <f t="shared" si="6"/>
        <v>土地使用年限（年）</v>
      </c>
      <c r="R10" s="768" t="s">
        <v>17</v>
      </c>
      <c r="S10" s="769">
        <f t="shared" si="0"/>
        <v>106</v>
      </c>
      <c r="T10" s="768" t="s">
        <v>17</v>
      </c>
      <c r="U10" s="769">
        <f t="shared" si="1"/>
        <v>106</v>
      </c>
      <c r="V10" s="768" t="s">
        <v>17</v>
      </c>
      <c r="W10" s="769">
        <f t="shared" si="2"/>
        <v>106</v>
      </c>
      <c r="X10" s="770"/>
      <c r="Y10" s="3120"/>
      <c r="Z10" s="55" t="str">
        <f t="shared" si="7"/>
        <v>土地使用年限（年）</v>
      </c>
      <c r="AA10" s="771">
        <f t="shared" si="3"/>
        <v>0.94339622641509435</v>
      </c>
      <c r="AB10" s="771">
        <f t="shared" si="4"/>
        <v>0.94339622641509435</v>
      </c>
      <c r="AC10" s="771">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292"/>
      <c r="Q11" s="1789" t="str">
        <f t="shared" si="6"/>
        <v>容积率</v>
      </c>
      <c r="R11" s="768" t="s">
        <v>17</v>
      </c>
      <c r="S11" s="769" t="e">
        <f t="shared" si="0"/>
        <v>#N/A</v>
      </c>
      <c r="T11" s="768" t="s">
        <v>17</v>
      </c>
      <c r="U11" s="769" t="e">
        <f t="shared" si="1"/>
        <v>#N/A</v>
      </c>
      <c r="V11" s="768" t="s">
        <v>17</v>
      </c>
      <c r="W11" s="769" t="e">
        <f t="shared" si="2"/>
        <v>#N/A</v>
      </c>
      <c r="X11" s="770"/>
      <c r="Y11" s="3120"/>
      <c r="Z11" s="55" t="str">
        <f t="shared" si="7"/>
        <v>容积率</v>
      </c>
      <c r="AA11" s="771" t="e">
        <f t="shared" si="3"/>
        <v>#N/A</v>
      </c>
      <c r="AB11" s="771" t="e">
        <f t="shared" si="4"/>
        <v>#N/A</v>
      </c>
      <c r="AC11" s="771" t="e">
        <f t="shared" si="5"/>
        <v>#N/A</v>
      </c>
    </row>
    <row r="12" spans="1:30" s="116" customFormat="1" ht="15">
      <c r="A12" s="430"/>
      <c r="B12" s="2589" t="s">
        <v>2739</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292"/>
      <c r="Q12" s="1789" t="str">
        <f t="shared" si="6"/>
        <v>配建</v>
      </c>
      <c r="R12" s="768" t="s">
        <v>17</v>
      </c>
      <c r="S12" s="769">
        <f t="shared" si="0"/>
        <v>100</v>
      </c>
      <c r="T12" s="768" t="s">
        <v>17</v>
      </c>
      <c r="U12" s="769">
        <f t="shared" si="1"/>
        <v>100</v>
      </c>
      <c r="V12" s="768" t="s">
        <v>17</v>
      </c>
      <c r="W12" s="769">
        <f t="shared" si="2"/>
        <v>100</v>
      </c>
      <c r="X12" s="770"/>
      <c r="Y12" s="3120"/>
      <c r="Z12" s="55" t="str">
        <f t="shared" si="7"/>
        <v>配建</v>
      </c>
      <c r="AA12" s="771">
        <f>D12/F12</f>
        <v>1</v>
      </c>
      <c r="AB12" s="771">
        <f>D12/H12</f>
        <v>1</v>
      </c>
      <c r="AC12" s="771">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292"/>
      <c r="Q13" s="1789">
        <f t="shared" si="6"/>
        <v>111</v>
      </c>
      <c r="R13" s="768" t="s">
        <v>17</v>
      </c>
      <c r="S13" s="769">
        <f t="shared" si="0"/>
        <v>100</v>
      </c>
      <c r="T13" s="768" t="s">
        <v>17</v>
      </c>
      <c r="U13" s="769">
        <f t="shared" si="1"/>
        <v>100</v>
      </c>
      <c r="V13" s="768" t="s">
        <v>17</v>
      </c>
      <c r="W13" s="769">
        <f t="shared" si="2"/>
        <v>100</v>
      </c>
      <c r="X13" s="770"/>
      <c r="Y13" s="3120"/>
      <c r="Z13" s="55">
        <f t="shared" si="7"/>
        <v>111</v>
      </c>
      <c r="AA13" s="771">
        <f>D13/F13</f>
        <v>1</v>
      </c>
      <c r="AB13" s="771">
        <f>D13/H13</f>
        <v>1</v>
      </c>
      <c r="AC13" s="771">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92"/>
      <c r="Q14" s="1789">
        <f t="shared" si="6"/>
        <v>111</v>
      </c>
      <c r="R14" s="768" t="s">
        <v>17</v>
      </c>
      <c r="S14" s="769">
        <f t="shared" si="0"/>
        <v>100</v>
      </c>
      <c r="T14" s="768" t="s">
        <v>17</v>
      </c>
      <c r="U14" s="769">
        <f t="shared" si="1"/>
        <v>100</v>
      </c>
      <c r="V14" s="768" t="s">
        <v>17</v>
      </c>
      <c r="W14" s="769">
        <f t="shared" si="2"/>
        <v>100</v>
      </c>
      <c r="X14" s="770"/>
      <c r="Y14" s="3120"/>
      <c r="Z14" s="55">
        <f t="shared" si="7"/>
        <v>111</v>
      </c>
      <c r="AA14" s="771">
        <f>D14/F14</f>
        <v>1</v>
      </c>
      <c r="AB14" s="771">
        <f>D14/H14</f>
        <v>1</v>
      </c>
      <c r="AC14" s="771">
        <f>D14/J14</f>
        <v>1</v>
      </c>
    </row>
    <row r="15" spans="1:30" ht="15">
      <c r="A15" s="439" t="s">
        <v>2551</v>
      </c>
      <c r="B15" s="68" t="s">
        <v>2084</v>
      </c>
      <c r="C15" s="259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99" t="s">
        <v>2552</v>
      </c>
      <c r="Q15" s="1804" t="str">
        <f t="shared" si="6"/>
        <v>居住社区成熟度</v>
      </c>
      <c r="R15" s="772" t="s">
        <v>17</v>
      </c>
      <c r="S15" s="773">
        <f t="shared" si="0"/>
        <v>100</v>
      </c>
      <c r="T15" s="772" t="s">
        <v>17</v>
      </c>
      <c r="U15" s="773">
        <f t="shared" si="1"/>
        <v>100</v>
      </c>
      <c r="V15" s="772" t="s">
        <v>17</v>
      </c>
      <c r="W15" s="773">
        <f t="shared" si="2"/>
        <v>100</v>
      </c>
      <c r="X15" s="1807"/>
      <c r="Y15" s="3299" t="s">
        <v>2552</v>
      </c>
      <c r="Z15" s="1808" t="str">
        <f t="shared" si="7"/>
        <v>居住社区成熟度</v>
      </c>
      <c r="AA15" s="1805">
        <f t="shared" si="3"/>
        <v>1</v>
      </c>
      <c r="AB15" s="1805">
        <f t="shared" si="4"/>
        <v>1</v>
      </c>
      <c r="AC15" s="1805">
        <f t="shared" si="5"/>
        <v>1</v>
      </c>
    </row>
    <row r="16" spans="1:30" ht="15">
      <c r="A16" s="427"/>
      <c r="B16" s="445"/>
      <c r="C16" s="446"/>
      <c r="D16" s="447"/>
      <c r="E16" s="2594"/>
      <c r="F16" s="447"/>
      <c r="G16" s="2594"/>
      <c r="H16" s="449"/>
      <c r="I16" s="2593"/>
      <c r="J16" s="447"/>
      <c r="K16" s="671"/>
      <c r="L16" s="1134"/>
      <c r="M16" s="1125"/>
      <c r="N16" s="1125"/>
      <c r="O16" s="1133"/>
      <c r="P16" s="3300"/>
      <c r="Q16" s="1804"/>
      <c r="R16" s="772"/>
      <c r="S16" s="773"/>
      <c r="T16" s="772"/>
      <c r="U16" s="773"/>
      <c r="V16" s="772"/>
      <c r="W16" s="773"/>
      <c r="X16" s="1807"/>
      <c r="Y16" s="3300"/>
      <c r="Z16" s="1808"/>
      <c r="AA16" s="1805">
        <v>1</v>
      </c>
      <c r="AB16" s="1805">
        <v>1</v>
      </c>
      <c r="AC16" s="1805">
        <v>1</v>
      </c>
    </row>
    <row r="17" spans="1:29" ht="99.75">
      <c r="A17" s="427"/>
      <c r="B17" s="450" t="s">
        <v>2645</v>
      </c>
      <c r="C17" s="2653" t="str">
        <f>估价对象房地状况!C16</f>
        <v>估价对象位于华远天地项目，周边多为住宅底商项目，商业氛围成熟度一般，人流量一般，商业繁华度一般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00"/>
      <c r="Q17" s="1804" t="str">
        <f>B17</f>
        <v>商业繁华度</v>
      </c>
      <c r="R17" s="772" t="s">
        <v>17</v>
      </c>
      <c r="S17" s="773">
        <f>F17</f>
        <v>100</v>
      </c>
      <c r="T17" s="772" t="s">
        <v>17</v>
      </c>
      <c r="U17" s="773">
        <f>H17</f>
        <v>100</v>
      </c>
      <c r="V17" s="772" t="s">
        <v>17</v>
      </c>
      <c r="W17" s="773">
        <f>J17</f>
        <v>100</v>
      </c>
      <c r="X17" s="1807"/>
      <c r="Y17" s="3300"/>
      <c r="Z17" s="1808" t="str">
        <f>Q17</f>
        <v>商业繁华度</v>
      </c>
      <c r="AA17" s="1805">
        <f t="shared" si="3"/>
        <v>1</v>
      </c>
      <c r="AB17" s="1805">
        <f t="shared" si="4"/>
        <v>1</v>
      </c>
      <c r="AC17" s="1805">
        <f t="shared" si="5"/>
        <v>1</v>
      </c>
    </row>
    <row r="18" spans="1:29" ht="15">
      <c r="A18" s="427"/>
      <c r="B18" s="455"/>
      <c r="C18" s="2597"/>
      <c r="D18" s="449"/>
      <c r="E18" s="2599"/>
      <c r="F18" s="449"/>
      <c r="G18" s="2599"/>
      <c r="H18" s="447"/>
      <c r="I18" s="2598"/>
      <c r="J18" s="447"/>
      <c r="K18" s="671"/>
      <c r="L18" s="1134"/>
      <c r="M18" s="1125"/>
      <c r="N18" s="1125"/>
      <c r="O18" s="1133"/>
      <c r="P18" s="3300"/>
      <c r="Q18" s="1804"/>
      <c r="R18" s="772"/>
      <c r="S18" s="773"/>
      <c r="T18" s="772"/>
      <c r="U18" s="773"/>
      <c r="V18" s="772"/>
      <c r="W18" s="773"/>
      <c r="X18" s="1807"/>
      <c r="Y18" s="3300"/>
      <c r="Z18" s="1808"/>
      <c r="AA18" s="1805">
        <v>1</v>
      </c>
      <c r="AB18" s="1805">
        <v>1</v>
      </c>
      <c r="AC18" s="1805">
        <v>1</v>
      </c>
    </row>
    <row r="19" spans="1:29" ht="15">
      <c r="A19" s="427"/>
      <c r="B19" s="450" t="s">
        <v>2679</v>
      </c>
      <c r="C19" s="265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00"/>
      <c r="Q19" s="1804" t="str">
        <f>B19</f>
        <v>办公集聚程度</v>
      </c>
      <c r="R19" s="772" t="s">
        <v>17</v>
      </c>
      <c r="S19" s="773">
        <f>F19</f>
        <v>100</v>
      </c>
      <c r="T19" s="772" t="s">
        <v>17</v>
      </c>
      <c r="U19" s="773">
        <f>H19</f>
        <v>100</v>
      </c>
      <c r="V19" s="772" t="s">
        <v>17</v>
      </c>
      <c r="W19" s="773">
        <f>J19</f>
        <v>100</v>
      </c>
      <c r="X19" s="1807"/>
      <c r="Y19" s="3300"/>
      <c r="Z19" s="1808" t="str">
        <f>Q19</f>
        <v>办公集聚程度</v>
      </c>
      <c r="AA19" s="1805">
        <f t="shared" si="3"/>
        <v>1</v>
      </c>
      <c r="AB19" s="1805">
        <f t="shared" si="4"/>
        <v>1</v>
      </c>
      <c r="AC19" s="1805">
        <f t="shared" si="5"/>
        <v>1</v>
      </c>
    </row>
    <row r="20" spans="1:29" ht="15">
      <c r="A20" s="427"/>
      <c r="B20" s="455"/>
      <c r="C20" s="446"/>
      <c r="D20" s="447"/>
      <c r="E20" s="2594"/>
      <c r="F20" s="447"/>
      <c r="G20" s="2594"/>
      <c r="H20" s="447"/>
      <c r="I20" s="2593"/>
      <c r="J20" s="447"/>
      <c r="K20" s="671"/>
      <c r="L20" s="1134"/>
      <c r="M20" s="1125"/>
      <c r="N20" s="1125"/>
      <c r="O20" s="1133"/>
      <c r="P20" s="3300"/>
      <c r="Q20" s="1804"/>
      <c r="R20" s="772"/>
      <c r="S20" s="773"/>
      <c r="T20" s="772"/>
      <c r="U20" s="773"/>
      <c r="V20" s="772"/>
      <c r="W20" s="773"/>
      <c r="X20" s="1807"/>
      <c r="Y20" s="3300"/>
      <c r="Z20" s="1808"/>
      <c r="AA20" s="1805">
        <v>1</v>
      </c>
      <c r="AB20" s="1805">
        <v>1</v>
      </c>
      <c r="AC20" s="1805">
        <v>1</v>
      </c>
    </row>
    <row r="21" spans="1:29" ht="99.75">
      <c r="A21" s="427"/>
      <c r="B21" s="450" t="s">
        <v>2701</v>
      </c>
      <c r="C21" s="2596" t="str">
        <f>估价对象房地状况!C18</f>
        <v>估价对象周边道路状况、周边有810、910、938等多路及地铁八通线经过，综合评价交通便捷度较好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00"/>
      <c r="Q21" s="1804" t="str">
        <f>B21</f>
        <v>交通便捷度</v>
      </c>
      <c r="R21" s="772" t="s">
        <v>17</v>
      </c>
      <c r="S21" s="773">
        <f>F21</f>
        <v>100</v>
      </c>
      <c r="T21" s="772" t="s">
        <v>17</v>
      </c>
      <c r="U21" s="773">
        <f>H21</f>
        <v>100</v>
      </c>
      <c r="V21" s="772" t="s">
        <v>17</v>
      </c>
      <c r="W21" s="773">
        <f>J21</f>
        <v>100</v>
      </c>
      <c r="X21" s="1807"/>
      <c r="Y21" s="3300"/>
      <c r="Z21" s="1808" t="str">
        <f>Q21</f>
        <v>交通便捷度</v>
      </c>
      <c r="AA21" s="1805">
        <f t="shared" si="3"/>
        <v>1</v>
      </c>
      <c r="AB21" s="1805">
        <f t="shared" si="4"/>
        <v>1</v>
      </c>
      <c r="AC21" s="1805">
        <f t="shared" si="5"/>
        <v>1</v>
      </c>
    </row>
    <row r="22" spans="1:29" ht="15">
      <c r="A22" s="427"/>
      <c r="B22" s="1378"/>
      <c r="C22" s="446"/>
      <c r="D22" s="449"/>
      <c r="E22" s="2594"/>
      <c r="F22" s="447"/>
      <c r="G22" s="2594"/>
      <c r="H22" s="447"/>
      <c r="I22" s="2593"/>
      <c r="J22" s="447"/>
      <c r="K22" s="671"/>
      <c r="L22" s="1134"/>
      <c r="M22" s="1125"/>
      <c r="N22" s="1125"/>
      <c r="O22" s="1133"/>
      <c r="P22" s="3300"/>
      <c r="Q22" s="1804"/>
      <c r="R22" s="772"/>
      <c r="S22" s="773"/>
      <c r="T22" s="772"/>
      <c r="U22" s="773"/>
      <c r="V22" s="772"/>
      <c r="W22" s="773"/>
      <c r="X22" s="1807"/>
      <c r="Y22" s="3300"/>
      <c r="Z22" s="1808"/>
      <c r="AA22" s="1805">
        <v>1</v>
      </c>
      <c r="AB22" s="1805">
        <v>1</v>
      </c>
      <c r="AC22" s="1805">
        <v>1</v>
      </c>
    </row>
    <row r="23" spans="1:29" ht="15">
      <c r="A23" s="403"/>
      <c r="B23" s="450" t="s">
        <v>2740</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00"/>
      <c r="Q23" s="1804" t="str">
        <f t="shared" ref="Q23:Q37" si="8">B23</f>
        <v>区域土地利用方向</v>
      </c>
      <c r="R23" s="772" t="s">
        <v>17</v>
      </c>
      <c r="S23" s="773">
        <f>F23</f>
        <v>100</v>
      </c>
      <c r="T23" s="772" t="s">
        <v>17</v>
      </c>
      <c r="U23" s="773">
        <f>H23</f>
        <v>100</v>
      </c>
      <c r="V23" s="772" t="s">
        <v>17</v>
      </c>
      <c r="W23" s="773">
        <f>J23</f>
        <v>100</v>
      </c>
      <c r="X23" s="1807"/>
      <c r="Y23" s="3300"/>
      <c r="Z23" s="1808" t="str">
        <f>Q23</f>
        <v>区域土地利用方向</v>
      </c>
      <c r="AA23" s="1805">
        <f t="shared" si="3"/>
        <v>1</v>
      </c>
      <c r="AB23" s="1805">
        <f t="shared" si="4"/>
        <v>1</v>
      </c>
      <c r="AC23" s="1805">
        <f t="shared" si="5"/>
        <v>1</v>
      </c>
    </row>
    <row r="24" spans="1:29" ht="15">
      <c r="A24" s="403"/>
      <c r="B24" s="455"/>
      <c r="C24" s="615"/>
      <c r="D24" s="447"/>
      <c r="E24" s="2594"/>
      <c r="F24" s="447"/>
      <c r="G24" s="2593"/>
      <c r="H24" s="447"/>
      <c r="I24" s="2593"/>
      <c r="J24" s="447"/>
      <c r="K24" s="805"/>
      <c r="L24" s="1134"/>
      <c r="M24" s="1125"/>
      <c r="N24" s="1125"/>
      <c r="O24" s="1133"/>
      <c r="P24" s="3300"/>
      <c r="Q24" s="1804"/>
      <c r="R24" s="772"/>
      <c r="S24" s="773"/>
      <c r="T24" s="772"/>
      <c r="U24" s="773"/>
      <c r="V24" s="772"/>
      <c r="W24" s="773"/>
      <c r="X24" s="1807"/>
      <c r="Y24" s="3300"/>
      <c r="Z24" s="1808"/>
      <c r="AA24" s="1805"/>
      <c r="AB24" s="1805"/>
      <c r="AC24" s="1805"/>
    </row>
    <row r="25" spans="1:29" ht="71.25">
      <c r="A25" s="403"/>
      <c r="B25" s="1378" t="s">
        <v>2741</v>
      </c>
      <c r="C25" s="2653" t="str">
        <f>估价对象房地状况!C20</f>
        <v>区域自然环境：梨园主题公园；人文环境：无；综合评价环境状况一般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00"/>
      <c r="Q25" s="1804" t="str">
        <f t="shared" si="8"/>
        <v>自然及人文环境状况</v>
      </c>
      <c r="R25" s="772" t="s">
        <v>17</v>
      </c>
      <c r="S25" s="773">
        <f>F25</f>
        <v>100</v>
      </c>
      <c r="T25" s="772" t="s">
        <v>17</v>
      </c>
      <c r="U25" s="773">
        <f>H25</f>
        <v>100</v>
      </c>
      <c r="V25" s="772" t="s">
        <v>17</v>
      </c>
      <c r="W25" s="773">
        <f>J25</f>
        <v>100</v>
      </c>
      <c r="X25" s="1807"/>
      <c r="Y25" s="3300"/>
      <c r="Z25" s="1808" t="str">
        <f>Q25</f>
        <v>自然及人文环境状况</v>
      </c>
      <c r="AA25" s="1805">
        <f t="shared" si="3"/>
        <v>1</v>
      </c>
      <c r="AB25" s="1805">
        <f t="shared" si="4"/>
        <v>1</v>
      </c>
      <c r="AC25" s="1805">
        <f t="shared" si="5"/>
        <v>1</v>
      </c>
    </row>
    <row r="26" spans="1:29" ht="15">
      <c r="A26" s="403"/>
      <c r="B26" s="455"/>
      <c r="C26" s="446"/>
      <c r="D26" s="447"/>
      <c r="E26" s="2600"/>
      <c r="F26" s="447"/>
      <c r="G26" s="2600"/>
      <c r="H26" s="447"/>
      <c r="I26" s="446"/>
      <c r="J26" s="447"/>
      <c r="K26" s="671"/>
      <c r="L26" s="1134"/>
      <c r="M26" s="1125"/>
      <c r="N26" s="1125"/>
      <c r="O26" s="1133"/>
      <c r="P26" s="3300"/>
      <c r="Q26" s="1804"/>
      <c r="R26" s="772"/>
      <c r="S26" s="773"/>
      <c r="T26" s="772"/>
      <c r="U26" s="773"/>
      <c r="V26" s="772"/>
      <c r="W26" s="773"/>
      <c r="X26" s="1807"/>
      <c r="Y26" s="3300"/>
      <c r="Z26" s="1808"/>
      <c r="AA26" s="1805">
        <v>1</v>
      </c>
      <c r="AB26" s="1805">
        <v>1</v>
      </c>
      <c r="AC26" s="1805">
        <v>1</v>
      </c>
    </row>
    <row r="27" spans="1:29" s="116" customFormat="1" ht="71.25">
      <c r="A27" s="648"/>
      <c r="B27" s="1378" t="s">
        <v>2646</v>
      </c>
      <c r="C27" s="2596" t="str">
        <f>估价对象房地状况!C21</f>
        <v>周边有银行、购物场所、餐饮等配套设施，公共服务设施状况一般。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00"/>
      <c r="Q27" s="1789" t="str">
        <f t="shared" si="8"/>
        <v>公共配套设施</v>
      </c>
      <c r="R27" s="768" t="s">
        <v>17</v>
      </c>
      <c r="S27" s="769">
        <f>F27</f>
        <v>100</v>
      </c>
      <c r="T27" s="768" t="s">
        <v>17</v>
      </c>
      <c r="U27" s="769">
        <f>H27</f>
        <v>100</v>
      </c>
      <c r="V27" s="768" t="s">
        <v>17</v>
      </c>
      <c r="W27" s="769">
        <f>J27</f>
        <v>100</v>
      </c>
      <c r="X27" s="770"/>
      <c r="Y27" s="3300"/>
      <c r="Z27" s="55" t="str">
        <f>Q27</f>
        <v>公共配套设施</v>
      </c>
      <c r="AA27" s="1805">
        <f>D27/F27</f>
        <v>1</v>
      </c>
      <c r="AB27" s="1805">
        <f>D27/H27</f>
        <v>1</v>
      </c>
      <c r="AC27" s="1805">
        <f>D27/J27</f>
        <v>1</v>
      </c>
    </row>
    <row r="28" spans="1:29" s="116" customFormat="1" ht="15">
      <c r="A28" s="648"/>
      <c r="B28" s="455"/>
      <c r="C28" s="2685"/>
      <c r="D28" s="447"/>
      <c r="E28" s="2600"/>
      <c r="F28" s="447"/>
      <c r="G28" s="2600"/>
      <c r="H28" s="447"/>
      <c r="I28" s="446"/>
      <c r="J28" s="447"/>
      <c r="K28" s="671"/>
      <c r="L28" s="1126"/>
      <c r="M28" s="1127"/>
      <c r="N28" s="1127"/>
      <c r="O28" s="1128"/>
      <c r="P28" s="3300"/>
      <c r="Q28" s="1789"/>
      <c r="R28" s="768"/>
      <c r="S28" s="769"/>
      <c r="T28" s="768"/>
      <c r="U28" s="769"/>
      <c r="V28" s="768"/>
      <c r="W28" s="769"/>
      <c r="X28" s="770"/>
      <c r="Y28" s="3300"/>
      <c r="Z28" s="55"/>
      <c r="AA28" s="1805">
        <v>1</v>
      </c>
      <c r="AB28" s="1805">
        <v>1</v>
      </c>
      <c r="AC28" s="1805">
        <v>1</v>
      </c>
    </row>
    <row r="29" spans="1:29" s="116" customFormat="1" ht="15">
      <c r="A29" s="648"/>
      <c r="B29" s="1378" t="s">
        <v>2647</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00"/>
      <c r="Q29" s="1789" t="str">
        <f t="shared" ref="Q29" si="9">B29</f>
        <v>基础设施水平</v>
      </c>
      <c r="R29" s="768" t="s">
        <v>17</v>
      </c>
      <c r="S29" s="769">
        <f>F29</f>
        <v>100</v>
      </c>
      <c r="T29" s="768" t="s">
        <v>17</v>
      </c>
      <c r="U29" s="769">
        <f>H29</f>
        <v>100</v>
      </c>
      <c r="V29" s="768" t="s">
        <v>17</v>
      </c>
      <c r="W29" s="769">
        <f>J29</f>
        <v>100</v>
      </c>
      <c r="X29" s="770"/>
      <c r="Y29" s="3300"/>
      <c r="Z29" s="55" t="str">
        <f>Q29</f>
        <v>基础设施水平</v>
      </c>
      <c r="AA29" s="1805">
        <f>D29/F29</f>
        <v>1</v>
      </c>
      <c r="AB29" s="1805">
        <f>D29/H29</f>
        <v>1</v>
      </c>
      <c r="AC29" s="1805">
        <f>D29/J29</f>
        <v>1</v>
      </c>
    </row>
    <row r="30" spans="1:29" s="116" customFormat="1" ht="15">
      <c r="A30" s="648"/>
      <c r="B30" s="455"/>
      <c r="C30" s="2685"/>
      <c r="D30" s="447"/>
      <c r="E30" s="2686"/>
      <c r="F30" s="447"/>
      <c r="G30" s="2686"/>
      <c r="H30" s="447"/>
      <c r="I30" s="2686"/>
      <c r="J30" s="447"/>
      <c r="K30" s="671"/>
      <c r="L30" s="1126"/>
      <c r="M30" s="1127"/>
      <c r="N30" s="1127"/>
      <c r="O30" s="1128"/>
      <c r="P30" s="3300"/>
      <c r="Q30" s="1789"/>
      <c r="R30" s="768"/>
      <c r="S30" s="769"/>
      <c r="T30" s="768"/>
      <c r="U30" s="769"/>
      <c r="V30" s="768"/>
      <c r="W30" s="769"/>
      <c r="X30" s="770"/>
      <c r="Y30" s="3300"/>
      <c r="Z30" s="55"/>
      <c r="AA30" s="1805">
        <v>1</v>
      </c>
      <c r="AB30" s="1805">
        <v>1</v>
      </c>
      <c r="AC30" s="1805">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00"/>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300"/>
      <c r="Z31" s="1808" t="str">
        <f t="shared" ref="Z31:Z45" si="13">Q31</f>
        <v>临街状况</v>
      </c>
      <c r="AA31" s="1805">
        <f t="shared" si="3"/>
        <v>1</v>
      </c>
      <c r="AB31" s="1805">
        <f t="shared" si="4"/>
        <v>1</v>
      </c>
      <c r="AC31" s="1805">
        <f t="shared" si="5"/>
        <v>1</v>
      </c>
    </row>
    <row r="32" spans="1:29" ht="27">
      <c r="A32" s="427"/>
      <c r="B32" s="1378"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00"/>
      <c r="Q32" s="1804" t="str">
        <f t="shared" si="8"/>
        <v>毗邻道路的类型与等级</v>
      </c>
      <c r="R32" s="772" t="s">
        <v>17</v>
      </c>
      <c r="S32" s="773">
        <f t="shared" si="10"/>
        <v>100</v>
      </c>
      <c r="T32" s="772" t="s">
        <v>17</v>
      </c>
      <c r="U32" s="773">
        <f t="shared" si="11"/>
        <v>100</v>
      </c>
      <c r="V32" s="772" t="s">
        <v>17</v>
      </c>
      <c r="W32" s="773">
        <f t="shared" si="12"/>
        <v>100</v>
      </c>
      <c r="X32" s="1807"/>
      <c r="Y32" s="3300"/>
      <c r="Z32" s="1808" t="str">
        <f t="shared" si="13"/>
        <v>毗邻道路的类型与等级</v>
      </c>
      <c r="AA32" s="1805">
        <f t="shared" si="3"/>
        <v>1</v>
      </c>
      <c r="AB32" s="1805">
        <f t="shared" si="4"/>
        <v>1</v>
      </c>
      <c r="AC32" s="1805">
        <f t="shared" si="5"/>
        <v>1</v>
      </c>
    </row>
    <row r="33" spans="1:29" ht="15">
      <c r="A33" s="427"/>
      <c r="B33" s="455"/>
      <c r="C33" s="446"/>
      <c r="D33" s="447"/>
      <c r="E33" s="2600"/>
      <c r="F33" s="447"/>
      <c r="G33" s="2600"/>
      <c r="H33" s="447"/>
      <c r="I33" s="446"/>
      <c r="J33" s="447"/>
      <c r="K33" s="612"/>
      <c r="L33" s="1134"/>
      <c r="M33" s="1125"/>
      <c r="N33" s="1125"/>
      <c r="O33" s="1133"/>
      <c r="P33" s="3300"/>
      <c r="Q33" s="1804"/>
      <c r="R33" s="772"/>
      <c r="S33" s="773"/>
      <c r="T33" s="772"/>
      <c r="U33" s="773"/>
      <c r="V33" s="772"/>
      <c r="W33" s="773"/>
      <c r="X33" s="1807"/>
      <c r="Y33" s="3300"/>
      <c r="Z33" s="1808"/>
      <c r="AA33" s="1805">
        <v>1</v>
      </c>
      <c r="AB33" s="1805">
        <v>1</v>
      </c>
      <c r="AC33" s="1805">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00"/>
      <c r="Q34" s="1804" t="str">
        <f t="shared" si="8"/>
        <v>土地级别</v>
      </c>
      <c r="R34" s="772" t="s">
        <v>17</v>
      </c>
      <c r="S34" s="773">
        <f t="shared" si="10"/>
        <v>100</v>
      </c>
      <c r="T34" s="772" t="s">
        <v>17</v>
      </c>
      <c r="U34" s="773">
        <f t="shared" si="11"/>
        <v>100</v>
      </c>
      <c r="V34" s="772" t="s">
        <v>17</v>
      </c>
      <c r="W34" s="773">
        <f t="shared" si="12"/>
        <v>100</v>
      </c>
      <c r="X34" s="1807"/>
      <c r="Y34" s="3300"/>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00"/>
      <c r="Q35" s="1804">
        <f t="shared" si="8"/>
        <v>111</v>
      </c>
      <c r="R35" s="772" t="s">
        <v>17</v>
      </c>
      <c r="S35" s="773">
        <f t="shared" si="10"/>
        <v>100</v>
      </c>
      <c r="T35" s="772" t="s">
        <v>17</v>
      </c>
      <c r="U35" s="773">
        <f t="shared" si="11"/>
        <v>100</v>
      </c>
      <c r="V35" s="772" t="s">
        <v>17</v>
      </c>
      <c r="W35" s="773">
        <f t="shared" si="12"/>
        <v>100</v>
      </c>
      <c r="X35" s="1807"/>
      <c r="Y35" s="3300"/>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5" t="s">
        <v>2557</v>
      </c>
      <c r="Q36" s="1804">
        <f t="shared" si="8"/>
        <v>111</v>
      </c>
      <c r="R36" s="772" t="s">
        <v>17</v>
      </c>
      <c r="S36" s="773">
        <f t="shared" si="10"/>
        <v>100</v>
      </c>
      <c r="T36" s="772" t="s">
        <v>17</v>
      </c>
      <c r="U36" s="773">
        <f t="shared" si="11"/>
        <v>100</v>
      </c>
      <c r="V36" s="772" t="s">
        <v>17</v>
      </c>
      <c r="W36" s="773">
        <f t="shared" si="12"/>
        <v>100</v>
      </c>
      <c r="X36" s="1807"/>
      <c r="Y36" s="3304" t="s">
        <v>2557</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04"/>
      <c r="Q37" s="1804">
        <f t="shared" si="8"/>
        <v>111</v>
      </c>
      <c r="R37" s="775" t="s">
        <v>17</v>
      </c>
      <c r="S37" s="776">
        <f t="shared" si="10"/>
        <v>100</v>
      </c>
      <c r="T37" s="775" t="s">
        <v>17</v>
      </c>
      <c r="U37" s="776">
        <f t="shared" si="11"/>
        <v>100</v>
      </c>
      <c r="V37" s="775" t="s">
        <v>17</v>
      </c>
      <c r="W37" s="776">
        <f t="shared" si="12"/>
        <v>100</v>
      </c>
      <c r="X37" s="777"/>
      <c r="Y37" s="3304"/>
      <c r="Z37" s="778">
        <f t="shared" si="13"/>
        <v>111</v>
      </c>
      <c r="AA37" s="1805">
        <f t="shared" si="3"/>
        <v>1</v>
      </c>
      <c r="AB37" s="1805">
        <f t="shared" si="4"/>
        <v>1</v>
      </c>
      <c r="AC37" s="1805">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04"/>
      <c r="Q38" s="1804" t="str">
        <f>B38</f>
        <v>宗地面积</v>
      </c>
      <c r="R38" s="772" t="s">
        <v>17</v>
      </c>
      <c r="S38" s="773" t="e">
        <f t="shared" si="10"/>
        <v>#N/A</v>
      </c>
      <c r="T38" s="772" t="s">
        <v>17</v>
      </c>
      <c r="U38" s="773" t="e">
        <f t="shared" si="11"/>
        <v>#N/A</v>
      </c>
      <c r="V38" s="772" t="s">
        <v>17</v>
      </c>
      <c r="W38" s="773" t="e">
        <f t="shared" si="12"/>
        <v>#N/A</v>
      </c>
      <c r="X38" s="1807"/>
      <c r="Y38" s="3304"/>
      <c r="Z38" s="1808" t="str">
        <f t="shared" si="13"/>
        <v>宗地面积</v>
      </c>
      <c r="AA38" s="1805" t="e">
        <f t="shared" si="3"/>
        <v>#N/A</v>
      </c>
      <c r="AB38" s="1805" t="e">
        <f t="shared" si="4"/>
        <v>#N/A</v>
      </c>
      <c r="AC38" s="1805" t="e">
        <f t="shared" si="5"/>
        <v>#N/A</v>
      </c>
    </row>
    <row r="39" spans="1:29" ht="15">
      <c r="A39" s="471"/>
      <c r="B39" s="421" t="s">
        <v>2744</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4"/>
      <c r="M39" s="1125"/>
      <c r="N39" s="1125"/>
      <c r="O39" s="1133"/>
      <c r="P39" s="3304"/>
      <c r="Q39" s="1804" t="str">
        <f t="shared" ref="Q39:Q45" si="14">B39</f>
        <v>宗地形状</v>
      </c>
      <c r="R39" s="772" t="s">
        <v>17</v>
      </c>
      <c r="S39" s="773">
        <f t="shared" si="10"/>
        <v>100</v>
      </c>
      <c r="T39" s="772" t="s">
        <v>17</v>
      </c>
      <c r="U39" s="773">
        <f t="shared" si="11"/>
        <v>100</v>
      </c>
      <c r="V39" s="772" t="s">
        <v>17</v>
      </c>
      <c r="W39" s="773">
        <f t="shared" si="12"/>
        <v>100</v>
      </c>
      <c r="X39" s="1807"/>
      <c r="Y39" s="3304"/>
      <c r="Z39" s="1808" t="str">
        <f t="shared" si="13"/>
        <v>宗地形状</v>
      </c>
      <c r="AA39" s="1805">
        <f t="shared" si="3"/>
        <v>1</v>
      </c>
      <c r="AB39" s="1805">
        <f t="shared" si="4"/>
        <v>1</v>
      </c>
      <c r="AC39" s="1805">
        <f t="shared" si="5"/>
        <v>1</v>
      </c>
    </row>
    <row r="40" spans="1:29" ht="15">
      <c r="A40" s="471"/>
      <c r="B40" s="421" t="s">
        <v>2745</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4"/>
      <c r="M40" s="1125"/>
      <c r="N40" s="1125"/>
      <c r="O40" s="1133"/>
      <c r="P40" s="3304"/>
      <c r="Q40" s="1804" t="str">
        <f t="shared" si="14"/>
        <v>临街宽度及深度</v>
      </c>
      <c r="R40" s="772" t="s">
        <v>17</v>
      </c>
      <c r="S40" s="773">
        <f t="shared" si="10"/>
        <v>100</v>
      </c>
      <c r="T40" s="772" t="s">
        <v>17</v>
      </c>
      <c r="U40" s="773">
        <f t="shared" si="11"/>
        <v>100</v>
      </c>
      <c r="V40" s="772" t="s">
        <v>17</v>
      </c>
      <c r="W40" s="773">
        <f t="shared" si="12"/>
        <v>100</v>
      </c>
      <c r="X40" s="1807"/>
      <c r="Y40" s="3304"/>
      <c r="Z40" s="1808" t="str">
        <f t="shared" si="13"/>
        <v>临街宽度及深度</v>
      </c>
      <c r="AA40" s="1805">
        <f t="shared" si="3"/>
        <v>1</v>
      </c>
      <c r="AB40" s="1805">
        <f t="shared" si="4"/>
        <v>1</v>
      </c>
      <c r="AC40" s="1805">
        <f t="shared" si="5"/>
        <v>1</v>
      </c>
    </row>
    <row r="41" spans="1:29" s="116" customFormat="1" ht="15">
      <c r="A41" s="472"/>
      <c r="B41" s="421" t="s">
        <v>2746</v>
      </c>
      <c r="C41" s="2687"/>
      <c r="D41" s="135">
        <v>100</v>
      </c>
      <c r="E41" s="2687"/>
      <c r="F41" s="434">
        <f>SUMIF(123:123,E41,124:124)-SUMIF(123:123,C41,124:124)+100</f>
        <v>100</v>
      </c>
      <c r="G41" s="2687"/>
      <c r="H41" s="434">
        <f>SUMIF(123:123,G41,124:124)-SUMIF(123:123,C41,124:124)+100</f>
        <v>100</v>
      </c>
      <c r="I41" s="2687"/>
      <c r="J41" s="434">
        <f>SUMIF(123:123,I41,124:124)-SUMIF(123:123,C41,124:124)+100</f>
        <v>100</v>
      </c>
      <c r="K41" s="611"/>
      <c r="L41" s="1126"/>
      <c r="M41" s="1127"/>
      <c r="N41" s="1127"/>
      <c r="O41" s="1128"/>
      <c r="P41" s="3304"/>
      <c r="Q41" s="1804" t="str">
        <f t="shared" si="14"/>
        <v>宗地开发程度</v>
      </c>
      <c r="R41" s="768" t="s">
        <v>17</v>
      </c>
      <c r="S41" s="769">
        <f t="shared" si="10"/>
        <v>100</v>
      </c>
      <c r="T41" s="768" t="s">
        <v>17</v>
      </c>
      <c r="U41" s="769">
        <f t="shared" si="11"/>
        <v>100</v>
      </c>
      <c r="V41" s="768" t="s">
        <v>17</v>
      </c>
      <c r="W41" s="769">
        <f t="shared" si="12"/>
        <v>100</v>
      </c>
      <c r="X41" s="770"/>
      <c r="Y41" s="3304"/>
      <c r="Z41" s="55" t="str">
        <f t="shared" si="13"/>
        <v>宗地开发程度</v>
      </c>
      <c r="AA41" s="771">
        <f t="shared" si="3"/>
        <v>1</v>
      </c>
      <c r="AB41" s="771">
        <f t="shared" si="4"/>
        <v>1</v>
      </c>
      <c r="AC41" s="771">
        <f t="shared" si="5"/>
        <v>1</v>
      </c>
    </row>
    <row r="42" spans="1:29" ht="15">
      <c r="A42" s="471"/>
      <c r="B42" s="421" t="s">
        <v>2747</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4"/>
      <c r="M42" s="1125"/>
      <c r="N42" s="1125"/>
      <c r="O42" s="1133"/>
      <c r="P42" s="3304" t="s">
        <v>2557</v>
      </c>
      <c r="Q42" s="1804" t="str">
        <f t="shared" si="14"/>
        <v>工程地质条件</v>
      </c>
      <c r="R42" s="772" t="s">
        <v>17</v>
      </c>
      <c r="S42" s="773">
        <f t="shared" si="10"/>
        <v>100</v>
      </c>
      <c r="T42" s="772" t="s">
        <v>17</v>
      </c>
      <c r="U42" s="773">
        <f t="shared" si="11"/>
        <v>100</v>
      </c>
      <c r="V42" s="772" t="s">
        <v>17</v>
      </c>
      <c r="W42" s="773">
        <f t="shared" si="12"/>
        <v>100</v>
      </c>
      <c r="X42" s="1807"/>
      <c r="Y42" s="3304" t="s">
        <v>2557</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04"/>
      <c r="Q43" s="1804">
        <f t="shared" si="14"/>
        <v>111</v>
      </c>
      <c r="R43" s="772" t="s">
        <v>17</v>
      </c>
      <c r="S43" s="773">
        <f t="shared" si="10"/>
        <v>100</v>
      </c>
      <c r="T43" s="772" t="s">
        <v>17</v>
      </c>
      <c r="U43" s="773">
        <f t="shared" si="11"/>
        <v>100</v>
      </c>
      <c r="V43" s="772" t="s">
        <v>17</v>
      </c>
      <c r="W43" s="773">
        <f t="shared" si="12"/>
        <v>100</v>
      </c>
      <c r="X43" s="1807"/>
      <c r="Y43" s="3304"/>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04"/>
      <c r="Q44" s="1804">
        <f t="shared" si="14"/>
        <v>111</v>
      </c>
      <c r="R44" s="772" t="s">
        <v>17</v>
      </c>
      <c r="S44" s="773">
        <f t="shared" si="10"/>
        <v>100</v>
      </c>
      <c r="T44" s="772" t="s">
        <v>17</v>
      </c>
      <c r="U44" s="773">
        <f t="shared" si="11"/>
        <v>100</v>
      </c>
      <c r="V44" s="772" t="s">
        <v>17</v>
      </c>
      <c r="W44" s="773">
        <f t="shared" si="12"/>
        <v>100</v>
      </c>
      <c r="X44" s="1807"/>
      <c r="Y44" s="3304"/>
      <c r="Z44" s="1808">
        <f t="shared" si="13"/>
        <v>111</v>
      </c>
      <c r="AA44" s="1805">
        <f t="shared" si="3"/>
        <v>1</v>
      </c>
      <c r="AB44" s="1805">
        <f t="shared" si="4"/>
        <v>1</v>
      </c>
      <c r="AC44" s="1805">
        <f t="shared" si="5"/>
        <v>1</v>
      </c>
    </row>
    <row r="45" spans="1:29" s="470" customFormat="1" ht="15.75" thickBot="1">
      <c r="A45" s="467"/>
      <c r="B45" s="1381">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04"/>
      <c r="Q45" s="1804">
        <f t="shared" si="14"/>
        <v>111</v>
      </c>
      <c r="R45" s="775" t="s">
        <v>17</v>
      </c>
      <c r="S45" s="776">
        <f t="shared" si="10"/>
        <v>100</v>
      </c>
      <c r="T45" s="775" t="s">
        <v>17</v>
      </c>
      <c r="U45" s="776">
        <f t="shared" si="11"/>
        <v>100</v>
      </c>
      <c r="V45" s="775" t="s">
        <v>17</v>
      </c>
      <c r="W45" s="776">
        <f t="shared" si="12"/>
        <v>100</v>
      </c>
      <c r="X45" s="777"/>
      <c r="Y45" s="3304"/>
      <c r="Z45" s="778">
        <f t="shared" si="13"/>
        <v>111</v>
      </c>
      <c r="AA45" s="1805">
        <f t="shared" si="3"/>
        <v>1</v>
      </c>
      <c r="AB45" s="1805">
        <f t="shared" si="4"/>
        <v>1</v>
      </c>
      <c r="AC45" s="1805">
        <f t="shared" si="5"/>
        <v>1</v>
      </c>
    </row>
    <row r="46" spans="1:29" ht="15">
      <c r="A46" s="478" t="s">
        <v>2712</v>
      </c>
      <c r="B46" s="2689" t="s">
        <v>2748</v>
      </c>
      <c r="C46" s="681" t="s">
        <v>1</v>
      </c>
      <c r="D46" s="480"/>
      <c r="E46" s="481"/>
      <c r="F46" s="482"/>
      <c r="G46" s="483"/>
      <c r="H46" s="484"/>
      <c r="I46" s="481"/>
      <c r="J46" s="484"/>
      <c r="K46" s="781"/>
      <c r="L46" s="1137"/>
      <c r="M46" s="1138"/>
      <c r="N46" s="1125"/>
      <c r="O46" s="1138"/>
      <c r="P46" s="3292" t="str">
        <f>A46</f>
        <v>成交单价</v>
      </c>
      <c r="Q46" s="3292"/>
      <c r="R46" s="3326">
        <f>E46</f>
        <v>0</v>
      </c>
      <c r="S46" s="3326"/>
      <c r="T46" s="3326">
        <f>G46</f>
        <v>0</v>
      </c>
      <c r="U46" s="3326"/>
      <c r="V46" s="3326">
        <f>I46</f>
        <v>0</v>
      </c>
      <c r="W46" s="3326"/>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37"/>
      <c r="M47" s="1138"/>
      <c r="N47" s="1138"/>
      <c r="O47" s="1138"/>
      <c r="P47" s="3292" t="str">
        <f>A47</f>
        <v>比较价值（元/平方米）</v>
      </c>
      <c r="Q47" s="3292"/>
      <c r="R47" s="3402" t="e">
        <f>ROUND(PRODUCT(R46,AA7:AA45),0)</f>
        <v>#DIV/0!</v>
      </c>
      <c r="S47" s="3402"/>
      <c r="T47" s="3402" t="e">
        <f>ROUND(PRODUCT(T46,AB7:AB45),0)</f>
        <v>#DIV/0!</v>
      </c>
      <c r="U47" s="3402"/>
      <c r="V47" s="3402" t="e">
        <f>ROUND(PRODUCT(V46,AC7:AC45),0)</f>
        <v>#DIV/0!</v>
      </c>
      <c r="W47" s="3402"/>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37"/>
      <c r="M48" s="1138"/>
      <c r="N48" s="1138"/>
      <c r="O48" s="1138"/>
      <c r="P48" s="3342" t="str">
        <f>A48</f>
        <v>估价对象XX用房的比较价值（楼面单价，元/平方米）</v>
      </c>
      <c r="Q48" s="3343"/>
      <c r="R48" s="3403" t="e">
        <f>ROUND(AVERAGE(R47:V47),0)</f>
        <v>#DIV/0!</v>
      </c>
      <c r="S48" s="3403"/>
      <c r="T48" s="3403"/>
      <c r="U48" s="3403"/>
      <c r="V48" s="3403"/>
      <c r="W48" s="3403"/>
      <c r="X48" s="757"/>
      <c r="Y48" s="757"/>
      <c r="Z48" s="757"/>
      <c r="AA48" s="757"/>
      <c r="AB48" s="757"/>
      <c r="AC48" s="757"/>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0"/>
      <c r="D54" s="758"/>
      <c r="E54" s="758"/>
      <c r="F54" s="758"/>
      <c r="G54" s="758"/>
      <c r="H54" s="758"/>
      <c r="I54" s="758"/>
      <c r="J54" s="758"/>
      <c r="K54" s="1142"/>
      <c r="L54" s="1143"/>
      <c r="M54" s="1139"/>
      <c r="N54" s="1139"/>
      <c r="O54" s="1139"/>
    </row>
    <row r="55" spans="1:15" ht="27" customHeight="1">
      <c r="A55" s="683" t="s">
        <v>2750</v>
      </c>
      <c r="B55" s="684" t="s">
        <v>2751</v>
      </c>
      <c r="C55" s="2690" t="s">
        <v>2752</v>
      </c>
      <c r="D55" s="2691" t="s">
        <v>2753</v>
      </c>
      <c r="E55" s="685" t="s">
        <v>2754</v>
      </c>
      <c r="F55" s="1103" t="s">
        <v>2755</v>
      </c>
      <c r="G55" s="3309" t="s">
        <v>2756</v>
      </c>
      <c r="H55" s="3404"/>
      <c r="I55" s="143" t="s">
        <v>2757</v>
      </c>
      <c r="J55" s="2692">
        <f>项目基本情况!F35</f>
        <v>0</v>
      </c>
      <c r="K55" s="2693" t="s">
        <v>2758</v>
      </c>
      <c r="L55" s="1102"/>
      <c r="M55" s="1138"/>
      <c r="N55" s="1138"/>
      <c r="O55" s="1138"/>
    </row>
    <row r="56" spans="1:15" s="691" customFormat="1">
      <c r="A56" s="687" t="s">
        <v>2759</v>
      </c>
      <c r="B56" s="688" t="e">
        <f>C48</f>
        <v>#DIV/0!</v>
      </c>
      <c r="C56" s="689">
        <v>1</v>
      </c>
      <c r="D56" s="1157">
        <v>1</v>
      </c>
      <c r="E56" s="689">
        <f>'数据-汇总表'!E8+'数据-汇总表'!E9</f>
        <v>9290.5499999999993</v>
      </c>
      <c r="F56" s="1099" t="e">
        <f t="shared" ref="F56:F65" si="15">ROUND(B56*E56/10000,0)</f>
        <v>#DIV/0!</v>
      </c>
      <c r="G56" s="3291"/>
      <c r="H56" s="3292"/>
      <c r="I56" s="1104">
        <v>1</v>
      </c>
      <c r="J56" s="1107">
        <v>1</v>
      </c>
      <c r="K56" s="1139"/>
      <c r="L56" s="937"/>
      <c r="M56" s="937"/>
      <c r="N56" s="937"/>
      <c r="O56" s="937"/>
    </row>
    <row r="57" spans="1:15" s="691" customFormat="1">
      <c r="A57" s="692" t="s">
        <v>2760</v>
      </c>
      <c r="B57" s="261" t="e">
        <f>ROUND($C$48*C57*D57,0)</f>
        <v>#DIV/0!</v>
      </c>
      <c r="C57" s="199">
        <f t="shared" ref="C57:C65" si="16">IF($C$55="北京市系数",I57,J57)</f>
        <v>0.7</v>
      </c>
      <c r="D57" s="1158">
        <v>0.25</v>
      </c>
      <c r="E57" s="693"/>
      <c r="F57" s="1099" t="e">
        <f t="shared" si="15"/>
        <v>#DIV/0!</v>
      </c>
      <c r="G57" s="3405" t="s">
        <v>2761</v>
      </c>
      <c r="H57" s="1100" t="str">
        <f>项目基本情况!B37</f>
        <v>七级</v>
      </c>
      <c r="I57" s="1104">
        <f>SUMIF(修正!A45:A56,H57,修正!B45:B56)</f>
        <v>0.7</v>
      </c>
      <c r="J57" s="1108"/>
      <c r="K57" s="1138"/>
      <c r="L57" s="937"/>
      <c r="M57" s="937"/>
      <c r="N57" s="937"/>
      <c r="O57" s="937"/>
    </row>
    <row r="58" spans="1:15" s="691" customFormat="1">
      <c r="A58" s="692" t="s">
        <v>2762</v>
      </c>
      <c r="B58" s="261" t="e">
        <f t="shared" ref="B58:B65" si="17">ROUND($C$48*C58*D58,0)</f>
        <v>#DIV/0!</v>
      </c>
      <c r="C58" s="199">
        <f t="shared" si="16"/>
        <v>0.4</v>
      </c>
      <c r="D58" s="1158">
        <v>0.25</v>
      </c>
      <c r="E58" s="693"/>
      <c r="F58" s="1099" t="e">
        <f t="shared" si="15"/>
        <v>#DIV/0!</v>
      </c>
      <c r="G58" s="3405"/>
      <c r="H58" s="1100" t="str">
        <f>项目基本情况!B37</f>
        <v>七级</v>
      </c>
      <c r="I58" s="1104">
        <f>SUMIF(修正!A45:A56,H58,修正!C45:C56)</f>
        <v>0.4</v>
      </c>
      <c r="J58" s="1108"/>
      <c r="K58" s="1139"/>
      <c r="L58" s="937"/>
      <c r="M58" s="937"/>
      <c r="N58" s="937"/>
      <c r="O58" s="937"/>
    </row>
    <row r="59" spans="1:15" s="691" customFormat="1">
      <c r="A59" s="692" t="s">
        <v>2763</v>
      </c>
      <c r="B59" s="261" t="e">
        <f t="shared" si="17"/>
        <v>#DIV/0!</v>
      </c>
      <c r="C59" s="199">
        <f t="shared" si="16"/>
        <v>0.28000000000000003</v>
      </c>
      <c r="D59" s="1158">
        <v>0.25</v>
      </c>
      <c r="E59" s="693"/>
      <c r="F59" s="1099" t="e">
        <f t="shared" si="15"/>
        <v>#DIV/0!</v>
      </c>
      <c r="G59" s="3405"/>
      <c r="H59" s="1100" t="str">
        <f>项目基本情况!B37</f>
        <v>七级</v>
      </c>
      <c r="I59" s="1104">
        <f>SUMIF(修正!A45:A56,H59,修正!D45:D56)</f>
        <v>0.28000000000000003</v>
      </c>
      <c r="J59" s="1108"/>
      <c r="K59" s="1138"/>
      <c r="L59" s="937"/>
      <c r="M59" s="937"/>
      <c r="N59" s="937"/>
      <c r="O59" s="937"/>
    </row>
    <row r="60" spans="1:15" s="691" customFormat="1">
      <c r="A60" s="692" t="s">
        <v>2764</v>
      </c>
      <c r="B60" s="261" t="e">
        <f t="shared" si="17"/>
        <v>#DIV/0!</v>
      </c>
      <c r="C60" s="199">
        <f t="shared" si="16"/>
        <v>0.25</v>
      </c>
      <c r="D60" s="1158">
        <v>0.25</v>
      </c>
      <c r="E60" s="693"/>
      <c r="F60" s="1099" t="e">
        <f t="shared" si="15"/>
        <v>#DIV/0!</v>
      </c>
      <c r="G60" s="3405"/>
      <c r="H60" s="1100" t="str">
        <f>项目基本情况!B37</f>
        <v>七级</v>
      </c>
      <c r="I60" s="1104">
        <f>SUMIF(修正!A45:A56,H60,修正!E45:E56)</f>
        <v>0.25</v>
      </c>
      <c r="J60" s="1108"/>
      <c r="K60" s="1139"/>
      <c r="L60" s="937"/>
      <c r="M60" s="937"/>
      <c r="N60" s="937"/>
      <c r="O60" s="937"/>
    </row>
    <row r="61" spans="1:15" s="691" customFormat="1">
      <c r="A61" s="692" t="s">
        <v>2765</v>
      </c>
      <c r="B61" s="261" t="e">
        <f t="shared" si="17"/>
        <v>#DIV/0!</v>
      </c>
      <c r="C61" s="199">
        <f t="shared" si="16"/>
        <v>0</v>
      </c>
      <c r="D61" s="1158">
        <v>0.25</v>
      </c>
      <c r="E61" s="260">
        <f>'数据-汇总表'!E11</f>
        <v>0</v>
      </c>
      <c r="F61" s="1099" t="e">
        <f t="shared" si="15"/>
        <v>#DIV/0!</v>
      </c>
      <c r="G61" s="2694" t="s">
        <v>2766</v>
      </c>
      <c r="H61" s="1100">
        <f>项目基本情况!C37</f>
        <v>0</v>
      </c>
      <c r="I61" s="1104">
        <f>SUMIF(修正!A45:A56,H61,修正!F45:F56)</f>
        <v>0</v>
      </c>
      <c r="J61" s="1108"/>
      <c r="K61" s="1138"/>
      <c r="L61" s="937"/>
      <c r="M61" s="937"/>
      <c r="N61" s="937"/>
      <c r="O61" s="937"/>
    </row>
    <row r="62" spans="1:15" s="691" customFormat="1">
      <c r="A62" s="692" t="s">
        <v>2767</v>
      </c>
      <c r="B62" s="261" t="e">
        <f t="shared" si="17"/>
        <v>#DIV/0!</v>
      </c>
      <c r="C62" s="199">
        <f t="shared" si="16"/>
        <v>0</v>
      </c>
      <c r="D62" s="1158">
        <v>0.25</v>
      </c>
      <c r="E62" s="260">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2769</v>
      </c>
      <c r="B63" s="261" t="e">
        <f t="shared" si="17"/>
        <v>#DIV/0!</v>
      </c>
      <c r="C63" s="199">
        <f t="shared" si="16"/>
        <v>0</v>
      </c>
      <c r="D63" s="1158">
        <v>0.25</v>
      </c>
      <c r="E63" s="260">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2771</v>
      </c>
      <c r="B64" s="261" t="e">
        <f t="shared" si="17"/>
        <v>#DIV/0!</v>
      </c>
      <c r="C64" s="199">
        <f t="shared" si="16"/>
        <v>0.2</v>
      </c>
      <c r="D64" s="1158">
        <v>0.25</v>
      </c>
      <c r="E64" s="260">
        <f>'数据-汇总表'!E14</f>
        <v>0</v>
      </c>
      <c r="F64" s="1099" t="e">
        <f t="shared" si="15"/>
        <v>#DIV/0!</v>
      </c>
      <c r="G64" s="2694" t="s">
        <v>2761</v>
      </c>
      <c r="H64" s="1100" t="str">
        <f>项目基本情况!B37</f>
        <v>七级</v>
      </c>
      <c r="I64" s="1104">
        <f>SUMIF(修正!A45:A56,H64,修正!H45:H56)</f>
        <v>0.2</v>
      </c>
      <c r="J64" s="1108"/>
      <c r="K64" s="1139"/>
      <c r="L64" s="937"/>
      <c r="M64" s="937"/>
      <c r="N64" s="937"/>
      <c r="O64" s="937"/>
    </row>
    <row r="65" spans="1:17" s="691" customFormat="1" ht="15" thickBot="1">
      <c r="A65" s="692" t="s">
        <v>2772</v>
      </c>
      <c r="B65" s="261" t="e">
        <f t="shared" si="17"/>
        <v>#DIV/0!</v>
      </c>
      <c r="C65" s="199">
        <f t="shared" si="16"/>
        <v>0</v>
      </c>
      <c r="D65" s="1158">
        <v>0.25</v>
      </c>
      <c r="E65" s="260">
        <f>'数据-汇总表'!E15</f>
        <v>0</v>
      </c>
      <c r="F65" s="1099" t="e">
        <f t="shared" si="15"/>
        <v>#DIV/0!</v>
      </c>
      <c r="G65" s="2695" t="s">
        <v>2766</v>
      </c>
      <c r="H65" s="1110">
        <f>项目基本情况!C37</f>
        <v>0</v>
      </c>
      <c r="I65" s="1106">
        <f>SUMIF(修正!A45:A56,H65,修正!H45:H56)</f>
        <v>0</v>
      </c>
      <c r="J65" s="1109"/>
      <c r="K65" s="1138"/>
      <c r="L65" s="937"/>
      <c r="M65" s="937"/>
      <c r="N65" s="937"/>
      <c r="O65" s="937"/>
    </row>
    <row r="66" spans="1:17" s="691" customFormat="1" ht="13.5" thickBot="1">
      <c r="A66" s="694" t="s">
        <v>2773</v>
      </c>
      <c r="B66" s="695" t="s">
        <v>28</v>
      </c>
      <c r="C66" s="695" t="s">
        <v>29</v>
      </c>
      <c r="D66" s="695" t="s">
        <v>1029</v>
      </c>
      <c r="E66" s="695">
        <f>IF(B46="楼面地价",SUM(E56:E65),'数据-汇总表'!D3)</f>
        <v>9290.5499999999993</v>
      </c>
      <c r="F66" s="696" t="e">
        <f>IF(B46="楼面地价",SUM(F56:F65),ROUND(C48*E66/10000,0))</f>
        <v>#DIV/0!</v>
      </c>
      <c r="G66" s="785"/>
      <c r="H66" s="785"/>
      <c r="I66" s="785"/>
      <c r="J66" s="785"/>
      <c r="K66" s="1152"/>
      <c r="L66" s="937"/>
      <c r="M66" s="937"/>
      <c r="N66" s="937"/>
      <c r="O66" s="937"/>
    </row>
    <row r="67" spans="1:17">
      <c r="A67" s="757"/>
      <c r="B67" s="759"/>
      <c r="C67" s="760"/>
      <c r="D67" s="757"/>
      <c r="E67" s="757"/>
      <c r="F67" s="757"/>
      <c r="G67" s="757"/>
      <c r="H67" s="757"/>
      <c r="I67" s="757"/>
      <c r="J67" s="1138"/>
      <c r="K67" s="1101"/>
      <c r="L67" s="1102"/>
      <c r="M67" s="1138"/>
      <c r="N67" s="1138"/>
      <c r="O67" s="1138"/>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2666</v>
      </c>
      <c r="B69" s="757"/>
      <c r="C69" s="762"/>
      <c r="D69" s="762"/>
      <c r="E69" s="762"/>
      <c r="F69" s="763"/>
      <c r="G69" s="763"/>
      <c r="H69" s="762"/>
      <c r="I69" s="762"/>
      <c r="J69" s="1153"/>
      <c r="K69" s="1154"/>
      <c r="L69" s="1155"/>
      <c r="M69" s="1153"/>
      <c r="N69" s="1153"/>
      <c r="O69" s="1153"/>
      <c r="P69" s="502"/>
      <c r="Q69" s="503"/>
    </row>
    <row r="70" spans="1:17" s="507" customFormat="1" ht="15">
      <c r="A70" s="2696" t="s">
        <v>2774</v>
      </c>
      <c r="B70" s="1353"/>
      <c r="C70" s="1566" t="str">
        <f>YEAR(C68)&amp;"-"&amp;ROUNDUP(MONTH(C68)/3,0)</f>
        <v>2018-1</v>
      </c>
      <c r="D70" s="1566" t="str">
        <f>YEAR(D68)&amp;"-"&amp;ROUNDUP(MONTH(D68)/3,0)</f>
        <v>2017-4</v>
      </c>
      <c r="E70" s="1566" t="str">
        <f t="shared" ref="E70:O70" si="19">YEAR(E68)&amp;"-"&amp;ROUNDUP(MONTH(E68)/3,0)</f>
        <v>2017-3</v>
      </c>
      <c r="F70" s="1566" t="str">
        <f t="shared" si="19"/>
        <v>2017-2</v>
      </c>
      <c r="G70" s="1566" t="str">
        <f t="shared" si="19"/>
        <v>2017-1</v>
      </c>
      <c r="H70" s="1566" t="str">
        <f t="shared" si="19"/>
        <v>2016-4</v>
      </c>
      <c r="I70" s="1566" t="str">
        <f t="shared" si="19"/>
        <v>2016-3</v>
      </c>
      <c r="J70" s="1566" t="str">
        <f t="shared" si="19"/>
        <v>2016-2</v>
      </c>
      <c r="K70" s="1566" t="str">
        <f t="shared" si="19"/>
        <v>2016-1</v>
      </c>
      <c r="L70" s="1566" t="str">
        <f t="shared" si="19"/>
        <v>2015-4</v>
      </c>
      <c r="M70" s="1566" t="str">
        <f t="shared" si="19"/>
        <v>2015-3</v>
      </c>
      <c r="N70" s="1566" t="str">
        <f t="shared" si="19"/>
        <v>2015-2</v>
      </c>
      <c r="O70" s="1566" t="str">
        <f t="shared" si="19"/>
        <v>2015-1</v>
      </c>
      <c r="P70" s="506"/>
    </row>
    <row r="71" spans="1:17" s="116" customFormat="1" ht="30" customHeight="1">
      <c r="A71" s="2697" t="s">
        <v>2775</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1"/>
      <c r="N71" s="594"/>
      <c r="O71" s="1562"/>
      <c r="P71" s="503"/>
    </row>
    <row r="72" spans="1:17" s="116" customFormat="1" ht="15.75" thickBot="1">
      <c r="A72" s="514" t="s">
        <v>2577</v>
      </c>
      <c r="B72" s="515"/>
      <c r="C72" s="516"/>
      <c r="D72" s="517"/>
      <c r="E72" s="517"/>
      <c r="F72" s="517"/>
      <c r="G72" s="517"/>
      <c r="H72" s="517"/>
      <c r="I72" s="517"/>
      <c r="J72" s="517"/>
      <c r="K72" s="517"/>
      <c r="L72" s="517"/>
      <c r="M72" s="518"/>
      <c r="N72" s="517"/>
      <c r="O72" s="1156"/>
      <c r="P72" s="503"/>
      <c r="Q72" s="503"/>
    </row>
    <row r="73" spans="1:17" s="116" customFormat="1" ht="15">
      <c r="A73" s="520" t="s">
        <v>2542</v>
      </c>
      <c r="B73" s="509"/>
      <c r="C73" s="521" t="s">
        <v>2644</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2683</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2742</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2784</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2785</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2786</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2787</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9" t="s">
        <v>2638</v>
      </c>
      <c r="D4" s="3310"/>
      <c r="E4" s="3311" t="s">
        <v>2639</v>
      </c>
      <c r="F4" s="3312"/>
      <c r="G4" s="3309" t="s">
        <v>2640</v>
      </c>
      <c r="H4" s="3310"/>
      <c r="I4" s="3309" t="s">
        <v>2641</v>
      </c>
      <c r="J4" s="3310"/>
      <c r="K4" s="609" t="s">
        <v>2642</v>
      </c>
      <c r="L4" s="1124"/>
      <c r="M4" s="1125"/>
      <c r="N4" s="1125"/>
      <c r="O4" s="1125"/>
      <c r="P4" s="3346" t="s">
        <v>2643</v>
      </c>
      <c r="Q4" s="3347"/>
      <c r="R4" s="3350" t="s">
        <v>2639</v>
      </c>
      <c r="S4" s="3351"/>
      <c r="T4" s="3350" t="s">
        <v>2640</v>
      </c>
      <c r="U4" s="3351"/>
      <c r="V4" s="3326" t="s">
        <v>2641</v>
      </c>
      <c r="W4" s="3326"/>
      <c r="X4" s="1807"/>
      <c r="Y4" s="3350" t="s">
        <v>2643</v>
      </c>
      <c r="Z4" s="3351"/>
      <c r="AA4" s="3345" t="s">
        <v>2639</v>
      </c>
      <c r="AB4" s="3338" t="s">
        <v>2640</v>
      </c>
      <c r="AC4" s="3345" t="s">
        <v>2641</v>
      </c>
    </row>
    <row r="5" spans="1:29" ht="15">
      <c r="A5" s="403"/>
      <c r="B5" s="404"/>
      <c r="C5" s="3356" t="s">
        <v>2534</v>
      </c>
      <c r="D5" s="3355"/>
      <c r="E5" s="3394" t="s">
        <v>2535</v>
      </c>
      <c r="F5" s="3361"/>
      <c r="G5" s="3356" t="s">
        <v>2536</v>
      </c>
      <c r="H5" s="3355"/>
      <c r="I5" s="3356" t="s">
        <v>2537</v>
      </c>
      <c r="J5" s="3355"/>
      <c r="K5" s="609"/>
      <c r="L5" s="1124"/>
      <c r="M5" s="1125"/>
      <c r="N5" s="1125"/>
      <c r="O5" s="1125"/>
      <c r="P5" s="3348"/>
      <c r="Q5" s="3316"/>
      <c r="R5" s="3321"/>
      <c r="S5" s="3322"/>
      <c r="T5" s="3321"/>
      <c r="U5" s="3322"/>
      <c r="V5" s="3326"/>
      <c r="W5" s="3326"/>
      <c r="X5" s="1807"/>
      <c r="Y5" s="3321"/>
      <c r="Z5" s="3322"/>
      <c r="AA5" s="3338"/>
      <c r="AB5" s="3338"/>
      <c r="AC5" s="3338"/>
    </row>
    <row r="6" spans="1:29" ht="15.75" thickBot="1">
      <c r="A6" s="405"/>
      <c r="B6" s="406"/>
      <c r="C6" s="3396" t="s">
        <v>2789</v>
      </c>
      <c r="D6" s="3397"/>
      <c r="E6" s="3399" t="s">
        <v>2789</v>
      </c>
      <c r="F6" s="3400"/>
      <c r="G6" s="3396" t="s">
        <v>2789</v>
      </c>
      <c r="H6" s="3397"/>
      <c r="I6" s="3396" t="s">
        <v>2789</v>
      </c>
      <c r="J6" s="3397"/>
      <c r="K6" s="609" t="s">
        <v>2539</v>
      </c>
      <c r="L6" s="1124"/>
      <c r="M6" s="1125"/>
      <c r="N6" s="1125"/>
      <c r="O6" s="1125"/>
      <c r="P6" s="3349"/>
      <c r="Q6" s="3318"/>
      <c r="R6" s="3321"/>
      <c r="S6" s="3322"/>
      <c r="T6" s="3323"/>
      <c r="U6" s="3324"/>
      <c r="V6" s="3326"/>
      <c r="W6" s="3326"/>
      <c r="X6" s="1807"/>
      <c r="Y6" s="3323"/>
      <c r="Z6" s="3324"/>
      <c r="AA6" s="3339"/>
      <c r="AB6" s="3339"/>
      <c r="AC6" s="3339"/>
    </row>
    <row r="7" spans="1:29" s="116" customFormat="1" ht="15.75" thickBot="1">
      <c r="A7" s="407" t="s">
        <v>2540</v>
      </c>
      <c r="B7" s="408"/>
      <c r="C7" s="409">
        <f>'数据-取费表'!B2</f>
        <v>43185</v>
      </c>
      <c r="D7" s="410">
        <v>100</v>
      </c>
      <c r="E7" s="411"/>
      <c r="F7" s="412">
        <f>SUMIF(65:65,YEAR(E7)&amp;"-"&amp;INT((MONTH(E7)+2)/3),66:66)</f>
        <v>0</v>
      </c>
      <c r="G7" s="2681"/>
      <c r="H7" s="410">
        <f>SUMIF(65:65,YEAR(G7)&amp;"-"&amp;INT((MONTH(G7)+2)/3),66:66)</f>
        <v>0</v>
      </c>
      <c r="I7" s="2681"/>
      <c r="J7" s="410">
        <f>SUMIF(65:65,YEAR(I7)&amp;"-"&amp;INT((MONTH(I7)+2)/3),66:66)</f>
        <v>0</v>
      </c>
      <c r="K7" s="610"/>
      <c r="L7" s="1126"/>
      <c r="M7" s="1127"/>
      <c r="N7" s="1127"/>
      <c r="O7" s="1127"/>
      <c r="P7" s="3333" t="s">
        <v>2541</v>
      </c>
      <c r="Q7" s="3334"/>
      <c r="R7" s="768" t="s">
        <v>17</v>
      </c>
      <c r="S7" s="769">
        <f t="shared" ref="S7:S15" si="0">F7</f>
        <v>0</v>
      </c>
      <c r="T7" s="768" t="s">
        <v>17</v>
      </c>
      <c r="U7" s="769">
        <f t="shared" ref="U7:U15" si="1">H7</f>
        <v>0</v>
      </c>
      <c r="V7" s="768" t="s">
        <v>17</v>
      </c>
      <c r="W7" s="769">
        <f t="shared" ref="W7:W15" si="2">J7</f>
        <v>0</v>
      </c>
      <c r="X7" s="770"/>
      <c r="Y7" s="3333" t="s">
        <v>2541</v>
      </c>
      <c r="Z7" s="3332"/>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33" t="s">
        <v>2544</v>
      </c>
      <c r="Q8" s="3332"/>
      <c r="R8" s="768" t="s">
        <v>17</v>
      </c>
      <c r="S8" s="769">
        <f t="shared" si="0"/>
        <v>0</v>
      </c>
      <c r="T8" s="768" t="s">
        <v>17</v>
      </c>
      <c r="U8" s="769">
        <f t="shared" si="1"/>
        <v>0</v>
      </c>
      <c r="V8" s="768" t="s">
        <v>17</v>
      </c>
      <c r="W8" s="769">
        <f t="shared" si="2"/>
        <v>0</v>
      </c>
      <c r="X8" s="770"/>
      <c r="Y8" s="3333" t="s">
        <v>2544</v>
      </c>
      <c r="Z8" s="3332"/>
      <c r="AA8" s="771" t="e">
        <f t="shared" ref="AA8:AA40" si="3">D8/F8</f>
        <v>#DIV/0!</v>
      </c>
      <c r="AB8" s="771" t="e">
        <f t="shared" ref="AB8:AB40" si="4">D8/H8</f>
        <v>#DIV/0!</v>
      </c>
      <c r="AC8" s="771" t="e">
        <f t="shared" ref="AC8:AC40" si="5">D8/J8</f>
        <v>#DIV/0!</v>
      </c>
    </row>
    <row r="9" spans="1:29" s="116" customFormat="1">
      <c r="A9" s="414" t="s">
        <v>2545</v>
      </c>
      <c r="B9" s="70" t="s">
        <v>2546</v>
      </c>
      <c r="C9" s="2684"/>
      <c r="D9" s="134">
        <v>100</v>
      </c>
      <c r="E9" s="2684"/>
      <c r="F9" s="134">
        <f>SUMIF(70:70,E9,71:71)-SUMIF(70:70,C9,71:71)+100</f>
        <v>100</v>
      </c>
      <c r="G9" s="2684"/>
      <c r="H9" s="134">
        <f>SUMIF(70:70,G9,71:71)-SUMIF(70:70,C9,71:71)+100</f>
        <v>100</v>
      </c>
      <c r="I9" s="2684"/>
      <c r="J9" s="134">
        <f>SUMIF(70:70,I9,71:71)-SUMIF(70:70,C9,71:71)+100</f>
        <v>100</v>
      </c>
      <c r="K9" s="610"/>
      <c r="L9" s="1126"/>
      <c r="M9" s="1127"/>
      <c r="N9" s="1127"/>
      <c r="O9" s="1128"/>
      <c r="P9" s="3292" t="s">
        <v>2547</v>
      </c>
      <c r="Q9" s="1789" t="str">
        <f t="shared" ref="Q9:Q15" si="6">B9</f>
        <v>用途</v>
      </c>
      <c r="R9" s="768" t="s">
        <v>17</v>
      </c>
      <c r="S9" s="769">
        <f t="shared" si="0"/>
        <v>100</v>
      </c>
      <c r="T9" s="768" t="s">
        <v>17</v>
      </c>
      <c r="U9" s="769">
        <f t="shared" si="1"/>
        <v>100</v>
      </c>
      <c r="V9" s="768" t="s">
        <v>17</v>
      </c>
      <c r="W9" s="769">
        <f t="shared" si="2"/>
        <v>100</v>
      </c>
      <c r="X9" s="770"/>
      <c r="Y9" s="3120"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29"/>
      <c r="M10" s="1130"/>
      <c r="N10" s="1130"/>
      <c r="O10" s="1131"/>
      <c r="P10" s="3292"/>
      <c r="Q10" s="1789" t="str">
        <f t="shared" si="6"/>
        <v>土地使用年限（年）</v>
      </c>
      <c r="R10" s="768" t="s">
        <v>17</v>
      </c>
      <c r="S10" s="769">
        <f t="shared" si="0"/>
        <v>106</v>
      </c>
      <c r="T10" s="768" t="s">
        <v>17</v>
      </c>
      <c r="U10" s="769">
        <f t="shared" si="1"/>
        <v>106</v>
      </c>
      <c r="V10" s="768" t="s">
        <v>17</v>
      </c>
      <c r="W10" s="769">
        <f t="shared" si="2"/>
        <v>106</v>
      </c>
      <c r="X10" s="770"/>
      <c r="Y10" s="3120"/>
      <c r="Z10" s="55" t="str">
        <f t="shared" si="7"/>
        <v>土地使用年限（年）</v>
      </c>
      <c r="AA10" s="771">
        <f t="shared" si="3"/>
        <v>0.94339622641509435</v>
      </c>
      <c r="AB10" s="771">
        <f t="shared" si="4"/>
        <v>0.94339622641509435</v>
      </c>
      <c r="AC10" s="771">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292"/>
      <c r="Q11" s="1789" t="str">
        <f t="shared" si="6"/>
        <v>容积率</v>
      </c>
      <c r="R11" s="768" t="s">
        <v>17</v>
      </c>
      <c r="S11" s="769" t="e">
        <f t="shared" si="0"/>
        <v>#N/A</v>
      </c>
      <c r="T11" s="768" t="s">
        <v>17</v>
      </c>
      <c r="U11" s="769" t="e">
        <f t="shared" si="1"/>
        <v>#N/A</v>
      </c>
      <c r="V11" s="768" t="s">
        <v>17</v>
      </c>
      <c r="W11" s="769" t="e">
        <f t="shared" si="2"/>
        <v>#N/A</v>
      </c>
      <c r="X11" s="770"/>
      <c r="Y11" s="3120"/>
      <c r="Z11" s="55" t="str">
        <f t="shared" si="7"/>
        <v>容积率</v>
      </c>
      <c r="AA11" s="771" t="e">
        <f t="shared" si="3"/>
        <v>#N/A</v>
      </c>
      <c r="AB11" s="771" t="e">
        <f t="shared" si="4"/>
        <v>#N/A</v>
      </c>
      <c r="AC11" s="771"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292"/>
      <c r="Q12" s="1789">
        <f t="shared" si="6"/>
        <v>111</v>
      </c>
      <c r="R12" s="768" t="s">
        <v>17</v>
      </c>
      <c r="S12" s="769">
        <f t="shared" si="0"/>
        <v>100</v>
      </c>
      <c r="T12" s="768" t="s">
        <v>17</v>
      </c>
      <c r="U12" s="769">
        <f t="shared" si="1"/>
        <v>100</v>
      </c>
      <c r="V12" s="768" t="s">
        <v>17</v>
      </c>
      <c r="W12" s="769">
        <f t="shared" si="2"/>
        <v>100</v>
      </c>
      <c r="X12" s="770"/>
      <c r="Y12" s="3120"/>
      <c r="Z12" s="55">
        <f t="shared" si="7"/>
        <v>111</v>
      </c>
      <c r="AA12" s="771">
        <f>D12/F12</f>
        <v>1</v>
      </c>
      <c r="AB12" s="771">
        <f>D12/H12</f>
        <v>1</v>
      </c>
      <c r="AC12" s="771">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292"/>
      <c r="Q13" s="1789">
        <f t="shared" si="6"/>
        <v>111</v>
      </c>
      <c r="R13" s="768" t="s">
        <v>17</v>
      </c>
      <c r="S13" s="769">
        <f t="shared" si="0"/>
        <v>100</v>
      </c>
      <c r="T13" s="768" t="s">
        <v>17</v>
      </c>
      <c r="U13" s="769">
        <f t="shared" si="1"/>
        <v>100</v>
      </c>
      <c r="V13" s="768" t="s">
        <v>17</v>
      </c>
      <c r="W13" s="769">
        <f t="shared" si="2"/>
        <v>100</v>
      </c>
      <c r="X13" s="770"/>
      <c r="Y13" s="3120"/>
      <c r="Z13" s="55">
        <f t="shared" si="7"/>
        <v>111</v>
      </c>
      <c r="AA13" s="771">
        <f t="shared" si="3"/>
        <v>1</v>
      </c>
      <c r="AB13" s="771">
        <f t="shared" si="4"/>
        <v>1</v>
      </c>
      <c r="AC13" s="771">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92"/>
      <c r="Q14" s="1789">
        <f t="shared" si="6"/>
        <v>111</v>
      </c>
      <c r="R14" s="768" t="s">
        <v>17</v>
      </c>
      <c r="S14" s="769">
        <f t="shared" si="0"/>
        <v>100</v>
      </c>
      <c r="T14" s="768" t="s">
        <v>17</v>
      </c>
      <c r="U14" s="769">
        <f t="shared" si="1"/>
        <v>100</v>
      </c>
      <c r="V14" s="768" t="s">
        <v>17</v>
      </c>
      <c r="W14" s="769">
        <f t="shared" si="2"/>
        <v>100</v>
      </c>
      <c r="X14" s="770"/>
      <c r="Y14" s="3120"/>
      <c r="Z14" s="55">
        <f t="shared" si="7"/>
        <v>111</v>
      </c>
      <c r="AA14" s="771">
        <f t="shared" si="3"/>
        <v>1</v>
      </c>
      <c r="AB14" s="771">
        <f t="shared" si="4"/>
        <v>1</v>
      </c>
      <c r="AC14" s="771">
        <f t="shared" si="5"/>
        <v>1</v>
      </c>
    </row>
    <row r="15" spans="1:29" ht="15">
      <c r="A15" s="439" t="s">
        <v>2551</v>
      </c>
      <c r="B15" s="628" t="s">
        <v>2790</v>
      </c>
      <c r="C15" s="267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99" t="s">
        <v>2552</v>
      </c>
      <c r="Q15" s="1804" t="str">
        <f t="shared" si="6"/>
        <v>产业集聚程度</v>
      </c>
      <c r="R15" s="772" t="s">
        <v>17</v>
      </c>
      <c r="S15" s="773">
        <f t="shared" si="0"/>
        <v>100</v>
      </c>
      <c r="T15" s="772" t="s">
        <v>17</v>
      </c>
      <c r="U15" s="773">
        <f t="shared" si="1"/>
        <v>100</v>
      </c>
      <c r="V15" s="772" t="s">
        <v>17</v>
      </c>
      <c r="W15" s="773">
        <f t="shared" si="2"/>
        <v>100</v>
      </c>
      <c r="X15" s="1807"/>
      <c r="Y15" s="3299" t="s">
        <v>2552</v>
      </c>
      <c r="Z15" s="1808" t="str">
        <f t="shared" si="7"/>
        <v>产业集聚程度</v>
      </c>
      <c r="AA15" s="1805">
        <f t="shared" si="3"/>
        <v>1</v>
      </c>
      <c r="AB15" s="1805">
        <f t="shared" si="4"/>
        <v>1</v>
      </c>
      <c r="AC15" s="1805">
        <f t="shared" si="5"/>
        <v>1</v>
      </c>
    </row>
    <row r="16" spans="1:29" ht="15">
      <c r="A16" s="427"/>
      <c r="B16" s="629"/>
      <c r="C16" s="446"/>
      <c r="D16" s="447"/>
      <c r="E16" s="2600"/>
      <c r="F16" s="447"/>
      <c r="G16" s="2600"/>
      <c r="H16" s="449"/>
      <c r="I16" s="2600"/>
      <c r="J16" s="447"/>
      <c r="K16" s="671"/>
      <c r="L16" s="1134"/>
      <c r="M16" s="1125"/>
      <c r="N16" s="1125"/>
      <c r="O16" s="1133"/>
      <c r="P16" s="3300"/>
      <c r="Q16" s="1804"/>
      <c r="R16" s="772"/>
      <c r="S16" s="773"/>
      <c r="T16" s="772"/>
      <c r="U16" s="773"/>
      <c r="V16" s="772"/>
      <c r="W16" s="773"/>
      <c r="X16" s="1807"/>
      <c r="Y16" s="3300"/>
      <c r="Z16" s="1808"/>
      <c r="AA16" s="1805">
        <v>1</v>
      </c>
      <c r="AB16" s="1805">
        <v>1</v>
      </c>
      <c r="AC16" s="1805">
        <v>1</v>
      </c>
    </row>
    <row r="17" spans="1:29" ht="15">
      <c r="A17" s="427"/>
      <c r="B17" s="630" t="s">
        <v>2701</v>
      </c>
      <c r="C17" s="259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00"/>
      <c r="Q17" s="1804" t="str">
        <f>B17</f>
        <v>交通便捷度</v>
      </c>
      <c r="R17" s="772" t="s">
        <v>17</v>
      </c>
      <c r="S17" s="773">
        <f>F17</f>
        <v>100</v>
      </c>
      <c r="T17" s="772" t="s">
        <v>17</v>
      </c>
      <c r="U17" s="773">
        <f>H17</f>
        <v>100</v>
      </c>
      <c r="V17" s="772" t="s">
        <v>17</v>
      </c>
      <c r="W17" s="773">
        <f>J17</f>
        <v>100</v>
      </c>
      <c r="X17" s="1807"/>
      <c r="Y17" s="3300"/>
      <c r="Z17" s="1808" t="str">
        <f>Q17</f>
        <v>交通便捷度</v>
      </c>
      <c r="AA17" s="1805">
        <f t="shared" si="3"/>
        <v>1</v>
      </c>
      <c r="AB17" s="1805">
        <f t="shared" si="4"/>
        <v>1</v>
      </c>
      <c r="AC17" s="1805">
        <f t="shared" si="5"/>
        <v>1</v>
      </c>
    </row>
    <row r="18" spans="1:29" ht="15">
      <c r="A18" s="427"/>
      <c r="B18" s="631"/>
      <c r="C18" s="446"/>
      <c r="D18" s="447"/>
      <c r="E18" s="2594"/>
      <c r="F18" s="447"/>
      <c r="G18" s="2594"/>
      <c r="H18" s="447"/>
      <c r="I18" s="2593"/>
      <c r="J18" s="447"/>
      <c r="K18" s="671"/>
      <c r="L18" s="1134"/>
      <c r="M18" s="1125"/>
      <c r="N18" s="1125"/>
      <c r="O18" s="1133"/>
      <c r="P18" s="3300"/>
      <c r="Q18" s="1804"/>
      <c r="R18" s="772"/>
      <c r="S18" s="773"/>
      <c r="T18" s="772"/>
      <c r="U18" s="773"/>
      <c r="V18" s="772"/>
      <c r="W18" s="773"/>
      <c r="X18" s="1807"/>
      <c r="Y18" s="3300"/>
      <c r="Z18" s="1808"/>
      <c r="AA18" s="1805">
        <v>1</v>
      </c>
      <c r="AB18" s="1805">
        <v>1</v>
      </c>
      <c r="AC18" s="1805">
        <v>1</v>
      </c>
    </row>
    <row r="19" spans="1:29" ht="15">
      <c r="A19" s="427"/>
      <c r="B19" s="630" t="s">
        <v>2740</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00"/>
      <c r="Q19" s="1804" t="str">
        <f t="shared" ref="Q19:Q33" si="8">B19</f>
        <v>区域土地利用方向</v>
      </c>
      <c r="R19" s="772" t="s">
        <v>17</v>
      </c>
      <c r="S19" s="773">
        <f>F19</f>
        <v>100</v>
      </c>
      <c r="T19" s="772" t="s">
        <v>17</v>
      </c>
      <c r="U19" s="773">
        <f>H19</f>
        <v>100</v>
      </c>
      <c r="V19" s="772" t="s">
        <v>17</v>
      </c>
      <c r="W19" s="773">
        <f>J19</f>
        <v>100</v>
      </c>
      <c r="X19" s="1807"/>
      <c r="Y19" s="3300"/>
      <c r="Z19" s="1808" t="str">
        <f>Q19</f>
        <v>区域土地利用方向</v>
      </c>
      <c r="AA19" s="1805">
        <f t="shared" si="3"/>
        <v>1</v>
      </c>
      <c r="AB19" s="1805">
        <f t="shared" si="4"/>
        <v>1</v>
      </c>
      <c r="AC19" s="1805">
        <f t="shared" si="5"/>
        <v>1</v>
      </c>
    </row>
    <row r="20" spans="1:29" ht="15">
      <c r="A20" s="403"/>
      <c r="B20" s="631"/>
      <c r="C20" s="446"/>
      <c r="D20" s="447"/>
      <c r="E20" s="2594"/>
      <c r="F20" s="447"/>
      <c r="G20" s="2594"/>
      <c r="H20" s="447"/>
      <c r="I20" s="2594"/>
      <c r="J20" s="447"/>
      <c r="K20" s="805"/>
      <c r="L20" s="1134"/>
      <c r="M20" s="1125"/>
      <c r="N20" s="1125"/>
      <c r="O20" s="1133"/>
      <c r="P20" s="3300"/>
      <c r="Q20" s="1804"/>
      <c r="R20" s="772"/>
      <c r="S20" s="773"/>
      <c r="T20" s="772"/>
      <c r="U20" s="773"/>
      <c r="V20" s="772"/>
      <c r="W20" s="773"/>
      <c r="X20" s="1807"/>
      <c r="Y20" s="3300"/>
      <c r="Z20" s="1808"/>
      <c r="AA20" s="1805"/>
      <c r="AB20" s="1805"/>
      <c r="AC20" s="1805"/>
    </row>
    <row r="21" spans="1:29" ht="15">
      <c r="A21" s="403"/>
      <c r="B21" s="630" t="s">
        <v>2791</v>
      </c>
      <c r="C21" s="259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00"/>
      <c r="Q21" s="1804" t="str">
        <f t="shared" si="8"/>
        <v>环境状况</v>
      </c>
      <c r="R21" s="772" t="s">
        <v>17</v>
      </c>
      <c r="S21" s="773">
        <f>F21</f>
        <v>100</v>
      </c>
      <c r="T21" s="772" t="s">
        <v>17</v>
      </c>
      <c r="U21" s="773">
        <f>H21</f>
        <v>100</v>
      </c>
      <c r="V21" s="772" t="s">
        <v>17</v>
      </c>
      <c r="W21" s="773">
        <f>J21</f>
        <v>100</v>
      </c>
      <c r="X21" s="1807"/>
      <c r="Y21" s="3300"/>
      <c r="Z21" s="1808" t="str">
        <f>Q21</f>
        <v>环境状况</v>
      </c>
      <c r="AA21" s="1805">
        <f t="shared" si="3"/>
        <v>1</v>
      </c>
      <c r="AB21" s="1805">
        <f t="shared" si="4"/>
        <v>1</v>
      </c>
      <c r="AC21" s="1805">
        <f t="shared" si="5"/>
        <v>1</v>
      </c>
    </row>
    <row r="22" spans="1:29" ht="15">
      <c r="A22" s="403"/>
      <c r="B22" s="631"/>
      <c r="C22" s="446"/>
      <c r="D22" s="447"/>
      <c r="E22" s="2600"/>
      <c r="F22" s="447"/>
      <c r="G22" s="2600"/>
      <c r="H22" s="447"/>
      <c r="I22" s="446"/>
      <c r="J22" s="447"/>
      <c r="K22" s="671"/>
      <c r="L22" s="1134"/>
      <c r="M22" s="1125"/>
      <c r="N22" s="1125"/>
      <c r="O22" s="1133"/>
      <c r="P22" s="3300"/>
      <c r="Q22" s="1804"/>
      <c r="R22" s="772"/>
      <c r="S22" s="773"/>
      <c r="T22" s="772"/>
      <c r="U22" s="773"/>
      <c r="V22" s="772"/>
      <c r="W22" s="773"/>
      <c r="X22" s="1807"/>
      <c r="Y22" s="3300"/>
      <c r="Z22" s="1808"/>
      <c r="AA22" s="1805">
        <v>1</v>
      </c>
      <c r="AB22" s="1805">
        <v>1</v>
      </c>
      <c r="AC22" s="1805">
        <v>1</v>
      </c>
    </row>
    <row r="23" spans="1:29" s="116" customFormat="1" ht="15">
      <c r="A23" s="648"/>
      <c r="B23" s="632" t="s">
        <v>2646</v>
      </c>
      <c r="C23" s="259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00"/>
      <c r="Q23" s="1789" t="str">
        <f t="shared" si="8"/>
        <v>公共配套设施</v>
      </c>
      <c r="R23" s="768" t="s">
        <v>17</v>
      </c>
      <c r="S23" s="769">
        <f>F23</f>
        <v>100</v>
      </c>
      <c r="T23" s="768" t="s">
        <v>17</v>
      </c>
      <c r="U23" s="769">
        <f>H23</f>
        <v>100</v>
      </c>
      <c r="V23" s="768" t="s">
        <v>17</v>
      </c>
      <c r="W23" s="769">
        <f>J23</f>
        <v>100</v>
      </c>
      <c r="X23" s="770"/>
      <c r="Y23" s="3300"/>
      <c r="Z23" s="55" t="str">
        <f>Q23</f>
        <v>公共配套设施</v>
      </c>
      <c r="AA23" s="1805">
        <f>D23/F23</f>
        <v>1</v>
      </c>
      <c r="AB23" s="1805">
        <f>D23/H23</f>
        <v>1</v>
      </c>
      <c r="AC23" s="1805">
        <f>D23/J23</f>
        <v>1</v>
      </c>
    </row>
    <row r="24" spans="1:29" s="116" customFormat="1" ht="15">
      <c r="A24" s="648"/>
      <c r="B24" s="631"/>
      <c r="C24" s="2685"/>
      <c r="D24" s="447"/>
      <c r="E24" s="2600"/>
      <c r="F24" s="447"/>
      <c r="G24" s="2600"/>
      <c r="H24" s="447"/>
      <c r="I24" s="446"/>
      <c r="J24" s="447"/>
      <c r="K24" s="671"/>
      <c r="L24" s="1126"/>
      <c r="M24" s="1127"/>
      <c r="N24" s="1127"/>
      <c r="O24" s="1128"/>
      <c r="P24" s="3300"/>
      <c r="Q24" s="1789"/>
      <c r="R24" s="768"/>
      <c r="S24" s="769"/>
      <c r="T24" s="768"/>
      <c r="U24" s="769"/>
      <c r="V24" s="768"/>
      <c r="W24" s="769"/>
      <c r="X24" s="770"/>
      <c r="Y24" s="3300"/>
      <c r="Z24" s="55"/>
      <c r="AA24" s="771">
        <v>1</v>
      </c>
      <c r="AB24" s="771">
        <v>1</v>
      </c>
      <c r="AC24" s="771">
        <v>1</v>
      </c>
    </row>
    <row r="25" spans="1:29" s="116" customFormat="1" ht="15">
      <c r="A25" s="648"/>
      <c r="B25" s="632" t="s">
        <v>2647</v>
      </c>
      <c r="C25" s="259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00"/>
      <c r="Q25" s="1789" t="str">
        <f t="shared" ref="Q25" si="9">B25</f>
        <v>基础设施水平</v>
      </c>
      <c r="R25" s="768" t="s">
        <v>17</v>
      </c>
      <c r="S25" s="769">
        <f>F25</f>
        <v>100</v>
      </c>
      <c r="T25" s="768" t="s">
        <v>17</v>
      </c>
      <c r="U25" s="769">
        <f>H25</f>
        <v>100</v>
      </c>
      <c r="V25" s="768" t="s">
        <v>17</v>
      </c>
      <c r="W25" s="769">
        <f>J25</f>
        <v>100</v>
      </c>
      <c r="X25" s="770"/>
      <c r="Y25" s="3300"/>
      <c r="Z25" s="55" t="str">
        <f>Q25</f>
        <v>基础设施水平</v>
      </c>
      <c r="AA25" s="1805">
        <f>D25/F25</f>
        <v>1</v>
      </c>
      <c r="AB25" s="1805">
        <f>D25/H25</f>
        <v>1</v>
      </c>
      <c r="AC25" s="1805">
        <f>D25/J25</f>
        <v>1</v>
      </c>
    </row>
    <row r="26" spans="1:29" s="116" customFormat="1" ht="15">
      <c r="A26" s="648"/>
      <c r="B26" s="631"/>
      <c r="C26" s="2685"/>
      <c r="D26" s="447"/>
      <c r="E26" s="2686"/>
      <c r="F26" s="447"/>
      <c r="G26" s="2686"/>
      <c r="H26" s="447"/>
      <c r="I26" s="2686"/>
      <c r="J26" s="447"/>
      <c r="K26" s="671"/>
      <c r="L26" s="1126"/>
      <c r="M26" s="1127"/>
      <c r="N26" s="1127"/>
      <c r="O26" s="1128"/>
      <c r="P26" s="3300"/>
      <c r="Q26" s="1789"/>
      <c r="R26" s="768"/>
      <c r="S26" s="769"/>
      <c r="T26" s="768"/>
      <c r="U26" s="769"/>
      <c r="V26" s="768"/>
      <c r="W26" s="769"/>
      <c r="X26" s="770"/>
      <c r="Y26" s="3300"/>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00"/>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00"/>
      <c r="Z27" s="1808" t="str">
        <f t="shared" ref="Z27:Z40" si="13">Q27</f>
        <v>临街状况</v>
      </c>
      <c r="AA27" s="1805">
        <f t="shared" si="3"/>
        <v>1</v>
      </c>
      <c r="AB27" s="1805">
        <f t="shared" si="4"/>
        <v>1</v>
      </c>
      <c r="AC27" s="1805">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00"/>
      <c r="Q28" s="1804" t="str">
        <f t="shared" si="8"/>
        <v>毗邻道路的类型与等级</v>
      </c>
      <c r="R28" s="772" t="s">
        <v>17</v>
      </c>
      <c r="S28" s="773">
        <f t="shared" si="10"/>
        <v>100</v>
      </c>
      <c r="T28" s="772" t="s">
        <v>17</v>
      </c>
      <c r="U28" s="773">
        <f t="shared" si="11"/>
        <v>100</v>
      </c>
      <c r="V28" s="772" t="s">
        <v>17</v>
      </c>
      <c r="W28" s="773">
        <f t="shared" si="12"/>
        <v>100</v>
      </c>
      <c r="X28" s="1807"/>
      <c r="Y28" s="3300"/>
      <c r="Z28" s="1808" t="str">
        <f t="shared" si="13"/>
        <v>毗邻道路的类型与等级</v>
      </c>
      <c r="AA28" s="1805">
        <f t="shared" si="3"/>
        <v>1</v>
      </c>
      <c r="AB28" s="1805">
        <f t="shared" si="4"/>
        <v>1</v>
      </c>
      <c r="AC28" s="1805">
        <f t="shared" si="5"/>
        <v>1</v>
      </c>
    </row>
    <row r="29" spans="1:29" ht="15">
      <c r="A29" s="427"/>
      <c r="B29" s="631"/>
      <c r="C29" s="446"/>
      <c r="D29" s="447"/>
      <c r="E29" s="2600"/>
      <c r="F29" s="447"/>
      <c r="G29" s="2600"/>
      <c r="H29" s="447"/>
      <c r="I29" s="2600"/>
      <c r="J29" s="447"/>
      <c r="K29" s="612"/>
      <c r="L29" s="1134"/>
      <c r="M29" s="1125"/>
      <c r="N29" s="1125"/>
      <c r="O29" s="1133"/>
      <c r="P29" s="3300"/>
      <c r="Q29" s="1804"/>
      <c r="R29" s="772"/>
      <c r="S29" s="773"/>
      <c r="T29" s="772"/>
      <c r="U29" s="773"/>
      <c r="V29" s="772"/>
      <c r="W29" s="773"/>
      <c r="X29" s="1807"/>
      <c r="Y29" s="3300"/>
      <c r="Z29" s="1808"/>
      <c r="AA29" s="1805">
        <v>1</v>
      </c>
      <c r="AB29" s="1805">
        <v>1</v>
      </c>
      <c r="AC29" s="1805">
        <v>1</v>
      </c>
    </row>
    <row r="30" spans="1:29" ht="15">
      <c r="A30" s="427"/>
      <c r="B30" s="653" t="s">
        <v>2742</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00"/>
      <c r="Q30" s="1804" t="str">
        <f t="shared" si="8"/>
        <v>土地级别</v>
      </c>
      <c r="R30" s="772" t="s">
        <v>17</v>
      </c>
      <c r="S30" s="773">
        <f t="shared" si="10"/>
        <v>100</v>
      </c>
      <c r="T30" s="772" t="s">
        <v>17</v>
      </c>
      <c r="U30" s="773">
        <f t="shared" si="11"/>
        <v>100</v>
      </c>
      <c r="V30" s="772" t="s">
        <v>17</v>
      </c>
      <c r="W30" s="773">
        <f t="shared" si="12"/>
        <v>100</v>
      </c>
      <c r="X30" s="1807"/>
      <c r="Y30" s="3300"/>
      <c r="Z30" s="1808" t="str">
        <f t="shared" si="13"/>
        <v>土地级别</v>
      </c>
      <c r="AA30" s="1805">
        <f t="shared" si="3"/>
        <v>1</v>
      </c>
      <c r="AB30" s="1805">
        <f t="shared" si="4"/>
        <v>1</v>
      </c>
      <c r="AC30" s="1805">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00"/>
      <c r="Q31" s="1804">
        <f t="shared" si="8"/>
        <v>111</v>
      </c>
      <c r="R31" s="772" t="s">
        <v>17</v>
      </c>
      <c r="S31" s="773">
        <f t="shared" si="10"/>
        <v>100</v>
      </c>
      <c r="T31" s="772" t="s">
        <v>17</v>
      </c>
      <c r="U31" s="773">
        <f t="shared" si="11"/>
        <v>100</v>
      </c>
      <c r="V31" s="772" t="s">
        <v>17</v>
      </c>
      <c r="W31" s="773">
        <f t="shared" si="12"/>
        <v>100</v>
      </c>
      <c r="X31" s="1807"/>
      <c r="Y31" s="3300"/>
      <c r="Z31" s="1808">
        <f t="shared" si="13"/>
        <v>111</v>
      </c>
      <c r="AA31" s="1805">
        <f t="shared" si="3"/>
        <v>1</v>
      </c>
      <c r="AB31" s="1805">
        <f t="shared" si="4"/>
        <v>1</v>
      </c>
      <c r="AC31" s="1805">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5" t="s">
        <v>2557</v>
      </c>
      <c r="Q32" s="1804">
        <f t="shared" si="8"/>
        <v>111</v>
      </c>
      <c r="R32" s="772" t="s">
        <v>17</v>
      </c>
      <c r="S32" s="773">
        <f t="shared" si="10"/>
        <v>100</v>
      </c>
      <c r="T32" s="772" t="s">
        <v>17</v>
      </c>
      <c r="U32" s="773">
        <f t="shared" si="11"/>
        <v>100</v>
      </c>
      <c r="V32" s="772" t="s">
        <v>17</v>
      </c>
      <c r="W32" s="773">
        <f t="shared" si="12"/>
        <v>100</v>
      </c>
      <c r="X32" s="1807"/>
      <c r="Y32" s="3304" t="s">
        <v>2557</v>
      </c>
      <c r="Z32" s="1808">
        <f t="shared" si="13"/>
        <v>111</v>
      </c>
      <c r="AA32" s="1805">
        <f t="shared" si="3"/>
        <v>1</v>
      </c>
      <c r="AB32" s="1805">
        <f t="shared" si="4"/>
        <v>1</v>
      </c>
      <c r="AC32" s="1805">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04"/>
      <c r="Q33" s="1804">
        <f t="shared" si="8"/>
        <v>111</v>
      </c>
      <c r="R33" s="775" t="s">
        <v>17</v>
      </c>
      <c r="S33" s="776">
        <f t="shared" si="10"/>
        <v>100</v>
      </c>
      <c r="T33" s="775" t="s">
        <v>17</v>
      </c>
      <c r="U33" s="776">
        <f t="shared" si="11"/>
        <v>100</v>
      </c>
      <c r="V33" s="775" t="s">
        <v>17</v>
      </c>
      <c r="W33" s="776">
        <f t="shared" si="12"/>
        <v>100</v>
      </c>
      <c r="X33" s="777"/>
      <c r="Y33" s="3304"/>
      <c r="Z33" s="778">
        <f t="shared" si="13"/>
        <v>111</v>
      </c>
      <c r="AA33" s="1805">
        <f t="shared" si="3"/>
        <v>1</v>
      </c>
      <c r="AB33" s="1805">
        <f t="shared" si="4"/>
        <v>1</v>
      </c>
      <c r="AC33" s="1805">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04"/>
      <c r="Q34" s="1804" t="str">
        <f>B34</f>
        <v>宗地面积</v>
      </c>
      <c r="R34" s="772" t="s">
        <v>17</v>
      </c>
      <c r="S34" s="773" t="e">
        <f t="shared" si="10"/>
        <v>#N/A</v>
      </c>
      <c r="T34" s="772" t="s">
        <v>17</v>
      </c>
      <c r="U34" s="773" t="e">
        <f t="shared" si="11"/>
        <v>#N/A</v>
      </c>
      <c r="V34" s="772" t="s">
        <v>17</v>
      </c>
      <c r="W34" s="773" t="e">
        <f t="shared" si="12"/>
        <v>#N/A</v>
      </c>
      <c r="X34" s="1807"/>
      <c r="Y34" s="3304"/>
      <c r="Z34" s="1808" t="str">
        <f t="shared" si="13"/>
        <v>宗地面积</v>
      </c>
      <c r="AA34" s="1805" t="e">
        <f t="shared" si="3"/>
        <v>#N/A</v>
      </c>
      <c r="AB34" s="1805" t="e">
        <f t="shared" si="4"/>
        <v>#N/A</v>
      </c>
      <c r="AC34" s="1805" t="e">
        <f t="shared" si="5"/>
        <v>#N/A</v>
      </c>
    </row>
    <row r="35" spans="1:29" ht="15">
      <c r="A35" s="471"/>
      <c r="B35" s="421" t="s">
        <v>2744</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4"/>
      <c r="M35" s="1125"/>
      <c r="N35" s="1125"/>
      <c r="O35" s="1133"/>
      <c r="P35" s="3304"/>
      <c r="Q35" s="1804" t="str">
        <f t="shared" ref="Q35:Q40" si="14">B35</f>
        <v>宗地形状</v>
      </c>
      <c r="R35" s="772" t="s">
        <v>17</v>
      </c>
      <c r="S35" s="773">
        <f t="shared" si="10"/>
        <v>100</v>
      </c>
      <c r="T35" s="772" t="s">
        <v>17</v>
      </c>
      <c r="U35" s="773">
        <f t="shared" si="11"/>
        <v>100</v>
      </c>
      <c r="V35" s="772" t="s">
        <v>17</v>
      </c>
      <c r="W35" s="773">
        <f t="shared" si="12"/>
        <v>100</v>
      </c>
      <c r="X35" s="1807"/>
      <c r="Y35" s="3304"/>
      <c r="Z35" s="1808" t="str">
        <f t="shared" si="13"/>
        <v>宗地形状</v>
      </c>
      <c r="AA35" s="1805">
        <f t="shared" si="3"/>
        <v>1</v>
      </c>
      <c r="AB35" s="1805">
        <f t="shared" si="4"/>
        <v>1</v>
      </c>
      <c r="AC35" s="1805">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6"/>
      <c r="M36" s="1127"/>
      <c r="N36" s="1127"/>
      <c r="O36" s="1128"/>
      <c r="P36" s="3304"/>
      <c r="Q36" s="1804" t="str">
        <f t="shared" si="14"/>
        <v>宗地开发程度</v>
      </c>
      <c r="R36" s="768" t="s">
        <v>17</v>
      </c>
      <c r="S36" s="769">
        <f t="shared" si="10"/>
        <v>100</v>
      </c>
      <c r="T36" s="768" t="s">
        <v>17</v>
      </c>
      <c r="U36" s="769">
        <f t="shared" si="11"/>
        <v>100</v>
      </c>
      <c r="V36" s="768" t="s">
        <v>17</v>
      </c>
      <c r="W36" s="769">
        <f t="shared" si="12"/>
        <v>100</v>
      </c>
      <c r="X36" s="770"/>
      <c r="Y36" s="3304"/>
      <c r="Z36" s="55" t="str">
        <f t="shared" si="13"/>
        <v>宗地开发程度</v>
      </c>
      <c r="AA36" s="771">
        <f t="shared" si="3"/>
        <v>1</v>
      </c>
      <c r="AB36" s="771">
        <f t="shared" si="4"/>
        <v>1</v>
      </c>
      <c r="AC36" s="771">
        <f t="shared" si="5"/>
        <v>1</v>
      </c>
    </row>
    <row r="37" spans="1:29" ht="15">
      <c r="A37" s="471"/>
      <c r="B37" s="421" t="s">
        <v>2747</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4"/>
      <c r="M37" s="1125"/>
      <c r="N37" s="1125"/>
      <c r="O37" s="1133"/>
      <c r="P37" s="3304" t="s">
        <v>2557</v>
      </c>
      <c r="Q37" s="1804" t="str">
        <f t="shared" si="14"/>
        <v>工程地质条件</v>
      </c>
      <c r="R37" s="772" t="s">
        <v>17</v>
      </c>
      <c r="S37" s="773">
        <f t="shared" si="10"/>
        <v>100</v>
      </c>
      <c r="T37" s="772" t="s">
        <v>17</v>
      </c>
      <c r="U37" s="773">
        <f t="shared" si="11"/>
        <v>100</v>
      </c>
      <c r="V37" s="772" t="s">
        <v>17</v>
      </c>
      <c r="W37" s="773">
        <f t="shared" si="12"/>
        <v>100</v>
      </c>
      <c r="X37" s="1807"/>
      <c r="Y37" s="3304" t="s">
        <v>2557</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04"/>
      <c r="Q38" s="1804">
        <f t="shared" si="14"/>
        <v>111</v>
      </c>
      <c r="R38" s="772" t="s">
        <v>17</v>
      </c>
      <c r="S38" s="773">
        <f t="shared" si="10"/>
        <v>100</v>
      </c>
      <c r="T38" s="772" t="s">
        <v>17</v>
      </c>
      <c r="U38" s="773">
        <f t="shared" si="11"/>
        <v>100</v>
      </c>
      <c r="V38" s="772" t="s">
        <v>17</v>
      </c>
      <c r="W38" s="773">
        <f t="shared" si="12"/>
        <v>100</v>
      </c>
      <c r="X38" s="1807"/>
      <c r="Y38" s="3304"/>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04"/>
      <c r="Q39" s="1804">
        <f t="shared" si="14"/>
        <v>111</v>
      </c>
      <c r="R39" s="772" t="s">
        <v>17</v>
      </c>
      <c r="S39" s="773">
        <f t="shared" si="10"/>
        <v>100</v>
      </c>
      <c r="T39" s="772" t="s">
        <v>17</v>
      </c>
      <c r="U39" s="773">
        <f t="shared" si="11"/>
        <v>100</v>
      </c>
      <c r="V39" s="772" t="s">
        <v>17</v>
      </c>
      <c r="W39" s="773">
        <f t="shared" si="12"/>
        <v>100</v>
      </c>
      <c r="X39" s="1807"/>
      <c r="Y39" s="3304"/>
      <c r="Z39" s="1808">
        <f t="shared" si="13"/>
        <v>111</v>
      </c>
      <c r="AA39" s="1805">
        <f t="shared" si="3"/>
        <v>1</v>
      </c>
      <c r="AB39" s="1805">
        <f t="shared" si="4"/>
        <v>1</v>
      </c>
      <c r="AC39" s="1805">
        <f t="shared" si="5"/>
        <v>1</v>
      </c>
    </row>
    <row r="40" spans="1:29" s="470" customFormat="1" ht="15.75" thickBot="1">
      <c r="A40" s="467"/>
      <c r="B40" s="1381">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04"/>
      <c r="Q40" s="1804">
        <f t="shared" si="14"/>
        <v>111</v>
      </c>
      <c r="R40" s="775" t="s">
        <v>17</v>
      </c>
      <c r="S40" s="776">
        <f t="shared" si="10"/>
        <v>100</v>
      </c>
      <c r="T40" s="775" t="s">
        <v>17</v>
      </c>
      <c r="U40" s="776">
        <f t="shared" si="11"/>
        <v>100</v>
      </c>
      <c r="V40" s="775" t="s">
        <v>17</v>
      </c>
      <c r="W40" s="776">
        <f t="shared" si="12"/>
        <v>100</v>
      </c>
      <c r="X40" s="777"/>
      <c r="Y40" s="3304"/>
      <c r="Z40" s="778">
        <f t="shared" si="13"/>
        <v>111</v>
      </c>
      <c r="AA40" s="1805">
        <f t="shared" si="3"/>
        <v>1</v>
      </c>
      <c r="AB40" s="1805">
        <f t="shared" si="4"/>
        <v>1</v>
      </c>
      <c r="AC40" s="1805">
        <f t="shared" si="5"/>
        <v>1</v>
      </c>
    </row>
    <row r="41" spans="1:29" ht="15">
      <c r="A41" s="478" t="s">
        <v>2712</v>
      </c>
      <c r="B41" s="2689" t="s">
        <v>2792</v>
      </c>
      <c r="C41" s="681" t="s">
        <v>1</v>
      </c>
      <c r="D41" s="480"/>
      <c r="E41" s="481"/>
      <c r="F41" s="482"/>
      <c r="G41" s="483"/>
      <c r="H41" s="484"/>
      <c r="I41" s="481"/>
      <c r="J41" s="484"/>
      <c r="K41" s="781"/>
      <c r="L41" s="1137"/>
      <c r="M41" s="1125"/>
      <c r="N41" s="1125"/>
      <c r="O41" s="1138"/>
      <c r="P41" s="3292" t="str">
        <f>A41</f>
        <v>成交单价</v>
      </c>
      <c r="Q41" s="3292"/>
      <c r="R41" s="3326">
        <f>E41</f>
        <v>0</v>
      </c>
      <c r="S41" s="3326"/>
      <c r="T41" s="3326">
        <f>G41</f>
        <v>0</v>
      </c>
      <c r="U41" s="3326"/>
      <c r="V41" s="3326">
        <f>I41</f>
        <v>0</v>
      </c>
      <c r="W41" s="3326"/>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37"/>
      <c r="M42" s="1125"/>
      <c r="N42" s="1125"/>
      <c r="O42" s="1138"/>
      <c r="P42" s="3292" t="str">
        <f>A42</f>
        <v>比较价值（元/平方米）</v>
      </c>
      <c r="Q42" s="3292"/>
      <c r="R42" s="3402" t="e">
        <f>ROUND(PRODUCT(R41,AA7:AA40),0)</f>
        <v>#DIV/0!</v>
      </c>
      <c r="S42" s="3402"/>
      <c r="T42" s="3402" t="e">
        <f>ROUND(PRODUCT(T41,AB7:AB40),0)</f>
        <v>#DIV/0!</v>
      </c>
      <c r="U42" s="3402"/>
      <c r="V42" s="3402" t="e">
        <f>ROUND(PRODUCT(V41,AC7:AC40),0)</f>
        <v>#DIV/0!</v>
      </c>
      <c r="W42" s="3402"/>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37"/>
      <c r="M43" s="1125"/>
      <c r="N43" s="1125"/>
      <c r="O43" s="1138"/>
      <c r="P43" s="3342" t="str">
        <f>A43</f>
        <v>估价对象XX用房的比较价值（楼面单价，元/平方米）</v>
      </c>
      <c r="Q43" s="3343"/>
      <c r="R43" s="3403" t="e">
        <f>ROUND(AVERAGE(R42:V42),0)</f>
        <v>#DIV/0!</v>
      </c>
      <c r="S43" s="3403"/>
      <c r="T43" s="3403"/>
      <c r="U43" s="3403"/>
      <c r="V43" s="3403"/>
      <c r="W43" s="3403"/>
      <c r="X43" s="757"/>
      <c r="Y43" s="757"/>
      <c r="Z43" s="757"/>
      <c r="AA43" s="757"/>
      <c r="AB43" s="757"/>
      <c r="AC43" s="757"/>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0"/>
      <c r="D49" s="758"/>
      <c r="E49" s="758"/>
      <c r="F49" s="758"/>
      <c r="G49" s="758"/>
      <c r="H49" s="758"/>
      <c r="I49" s="758"/>
      <c r="J49" s="758"/>
      <c r="K49" s="1142"/>
      <c r="L49" s="1143"/>
      <c r="M49" s="1139"/>
      <c r="N49" s="1139"/>
      <c r="O49" s="1139"/>
    </row>
    <row r="50" spans="1:17" ht="27">
      <c r="A50" s="683" t="s">
        <v>2750</v>
      </c>
      <c r="B50" s="684" t="s">
        <v>2751</v>
      </c>
      <c r="C50" s="2690" t="s">
        <v>2752</v>
      </c>
      <c r="D50" s="2691" t="s">
        <v>2753</v>
      </c>
      <c r="E50" s="685" t="s">
        <v>2754</v>
      </c>
      <c r="F50" s="686" t="s">
        <v>2755</v>
      </c>
      <c r="G50" s="3309" t="s">
        <v>2756</v>
      </c>
      <c r="H50" s="3404"/>
      <c r="I50" s="1808" t="s">
        <v>2793</v>
      </c>
      <c r="J50" s="1808">
        <f>项目基本情况!F35</f>
        <v>0</v>
      </c>
      <c r="K50" s="2693" t="s">
        <v>2758</v>
      </c>
      <c r="L50" s="1102"/>
      <c r="M50" s="1138"/>
      <c r="N50" s="1138"/>
      <c r="O50" s="1138"/>
    </row>
    <row r="51" spans="1:17" s="691" customFormat="1">
      <c r="A51" s="687" t="s">
        <v>2759</v>
      </c>
      <c r="B51" s="688" t="e">
        <f>C43</f>
        <v>#DIV/0!</v>
      </c>
      <c r="C51" s="689">
        <v>1</v>
      </c>
      <c r="D51" s="1157">
        <v>1</v>
      </c>
      <c r="E51" s="689">
        <f>'数据-汇总表'!E8+'数据-汇总表'!E9</f>
        <v>9290.5499999999993</v>
      </c>
      <c r="F51" s="690" t="e">
        <f t="shared" ref="F51:F60" si="15">ROUND(B51*E51/10000,0)</f>
        <v>#DIV/0!</v>
      </c>
      <c r="G51" s="3291"/>
      <c r="H51" s="3292"/>
      <c r="I51" s="938">
        <v>1</v>
      </c>
      <c r="J51" s="938">
        <v>1</v>
      </c>
      <c r="K51" s="1139"/>
      <c r="L51" s="937"/>
      <c r="M51" s="937"/>
      <c r="N51" s="937"/>
      <c r="O51" s="937"/>
    </row>
    <row r="52" spans="1:17" s="691" customFormat="1">
      <c r="A52" s="692" t="s">
        <v>2760</v>
      </c>
      <c r="B52" s="261" t="e">
        <f>ROUND($C$43*C52*D52,0)</f>
        <v>#DIV/0!</v>
      </c>
      <c r="C52" s="199">
        <f t="shared" ref="C52:C60" si="16">IF($C$50="北京市系数",I52,J52)</f>
        <v>0.7</v>
      </c>
      <c r="D52" s="1158">
        <v>0.25</v>
      </c>
      <c r="E52" s="693"/>
      <c r="F52" s="690" t="e">
        <f t="shared" si="15"/>
        <v>#DIV/0!</v>
      </c>
      <c r="G52" s="3405" t="s">
        <v>2761</v>
      </c>
      <c r="H52" s="1100" t="str">
        <f>项目基本情况!B37</f>
        <v>七级</v>
      </c>
      <c r="I52" s="938">
        <f>SUMIF(修正!A45:A56,H52,修正!B45:B56)</f>
        <v>0.7</v>
      </c>
      <c r="J52" s="939"/>
      <c r="K52" s="1138"/>
      <c r="L52" s="937"/>
      <c r="M52" s="937"/>
      <c r="N52" s="937"/>
      <c r="O52" s="937"/>
    </row>
    <row r="53" spans="1:17" s="691" customFormat="1">
      <c r="A53" s="692" t="s">
        <v>2762</v>
      </c>
      <c r="B53" s="261" t="e">
        <f t="shared" ref="B53:B60" si="17">ROUND($C$43*C53*D53,0)</f>
        <v>#DIV/0!</v>
      </c>
      <c r="C53" s="199">
        <f t="shared" si="16"/>
        <v>0.4</v>
      </c>
      <c r="D53" s="1158">
        <v>0.25</v>
      </c>
      <c r="E53" s="693"/>
      <c r="F53" s="690" t="e">
        <f t="shared" si="15"/>
        <v>#DIV/0!</v>
      </c>
      <c r="G53" s="3405"/>
      <c r="H53" s="1100" t="str">
        <f>项目基本情况!B37</f>
        <v>七级</v>
      </c>
      <c r="I53" s="938">
        <f>SUMIF(修正!A45:A56,H53,修正!C45:C56)</f>
        <v>0.4</v>
      </c>
      <c r="J53" s="939"/>
      <c r="K53" s="1139"/>
      <c r="L53" s="937"/>
      <c r="M53" s="937"/>
      <c r="N53" s="937"/>
      <c r="O53" s="937"/>
    </row>
    <row r="54" spans="1:17" s="691" customFormat="1">
      <c r="A54" s="692" t="s">
        <v>2763</v>
      </c>
      <c r="B54" s="261" t="e">
        <f t="shared" si="17"/>
        <v>#DIV/0!</v>
      </c>
      <c r="C54" s="199">
        <f t="shared" si="16"/>
        <v>0.28000000000000003</v>
      </c>
      <c r="D54" s="1158">
        <v>0.25</v>
      </c>
      <c r="E54" s="693"/>
      <c r="F54" s="690" t="e">
        <f t="shared" si="15"/>
        <v>#DIV/0!</v>
      </c>
      <c r="G54" s="3405"/>
      <c r="H54" s="1100" t="str">
        <f>项目基本情况!B37</f>
        <v>七级</v>
      </c>
      <c r="I54" s="938">
        <f>SUMIF(修正!A45:A56,H54,修正!D45:D56)</f>
        <v>0.28000000000000003</v>
      </c>
      <c r="J54" s="939"/>
      <c r="K54" s="1138"/>
      <c r="L54" s="937"/>
      <c r="M54" s="937"/>
      <c r="N54" s="937"/>
      <c r="O54" s="937"/>
    </row>
    <row r="55" spans="1:17" s="691" customFormat="1">
      <c r="A55" s="692" t="s">
        <v>2764</v>
      </c>
      <c r="B55" s="261" t="e">
        <f t="shared" si="17"/>
        <v>#DIV/0!</v>
      </c>
      <c r="C55" s="199">
        <f t="shared" si="16"/>
        <v>0.25</v>
      </c>
      <c r="D55" s="1158">
        <v>0.25</v>
      </c>
      <c r="E55" s="693"/>
      <c r="F55" s="690" t="e">
        <f t="shared" si="15"/>
        <v>#DIV/0!</v>
      </c>
      <c r="G55" s="3405"/>
      <c r="H55" s="1100" t="str">
        <f>项目基本情况!B37</f>
        <v>七级</v>
      </c>
      <c r="I55" s="938">
        <f>SUMIF(修正!A45:A56,H55,修正!E45:E56)</f>
        <v>0.25</v>
      </c>
      <c r="J55" s="939"/>
      <c r="K55" s="1139"/>
      <c r="L55" s="937"/>
      <c r="M55" s="937"/>
      <c r="N55" s="937"/>
      <c r="O55" s="937"/>
    </row>
    <row r="56" spans="1:17" s="691" customFormat="1">
      <c r="A56" s="692" t="s">
        <v>2765</v>
      </c>
      <c r="B56" s="261" t="e">
        <f t="shared" si="17"/>
        <v>#DIV/0!</v>
      </c>
      <c r="C56" s="199">
        <f t="shared" si="16"/>
        <v>0</v>
      </c>
      <c r="D56" s="1158">
        <v>0.25</v>
      </c>
      <c r="E56" s="260">
        <f>'数据-汇总表'!E11</f>
        <v>0</v>
      </c>
      <c r="F56" s="690" t="e">
        <f t="shared" si="15"/>
        <v>#DIV/0!</v>
      </c>
      <c r="G56" s="2694" t="s">
        <v>2766</v>
      </c>
      <c r="H56" s="1100">
        <f>项目基本情况!C37</f>
        <v>0</v>
      </c>
      <c r="I56" s="938">
        <f>SUMIF(修正!A45:A56,H56,修正!F45:F56)</f>
        <v>0</v>
      </c>
      <c r="J56" s="939"/>
      <c r="K56" s="1138"/>
      <c r="L56" s="937"/>
      <c r="M56" s="937"/>
      <c r="N56" s="937"/>
      <c r="O56" s="937"/>
    </row>
    <row r="57" spans="1:17" s="691" customFormat="1">
      <c r="A57" s="692" t="s">
        <v>2767</v>
      </c>
      <c r="B57" s="261" t="e">
        <f t="shared" si="17"/>
        <v>#DIV/0!</v>
      </c>
      <c r="C57" s="199">
        <f t="shared" si="16"/>
        <v>0</v>
      </c>
      <c r="D57" s="1158">
        <v>0.25</v>
      </c>
      <c r="E57" s="260">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2769</v>
      </c>
      <c r="B58" s="261" t="e">
        <f t="shared" si="17"/>
        <v>#DIV/0!</v>
      </c>
      <c r="C58" s="199">
        <f t="shared" si="16"/>
        <v>0</v>
      </c>
      <c r="D58" s="1158">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2771</v>
      </c>
      <c r="B59" s="261" t="e">
        <f t="shared" si="17"/>
        <v>#DIV/0!</v>
      </c>
      <c r="C59" s="199">
        <f t="shared" si="16"/>
        <v>0.2</v>
      </c>
      <c r="D59" s="1158">
        <v>0.25</v>
      </c>
      <c r="E59" s="260">
        <f>'数据-汇总表'!E14</f>
        <v>0</v>
      </c>
      <c r="F59" s="690" t="e">
        <f t="shared" si="15"/>
        <v>#DIV/0!</v>
      </c>
      <c r="G59" s="2694" t="s">
        <v>2761</v>
      </c>
      <c r="H59" s="1100" t="str">
        <f>项目基本情况!B37</f>
        <v>七级</v>
      </c>
      <c r="I59" s="938">
        <f>SUMIF(修正!A45:A56,H59,修正!H45:H56)</f>
        <v>0.2</v>
      </c>
      <c r="J59" s="939"/>
      <c r="K59" s="1139"/>
      <c r="L59" s="937"/>
      <c r="M59" s="937"/>
      <c r="N59" s="937"/>
      <c r="O59" s="937"/>
    </row>
    <row r="60" spans="1:17" s="691" customFormat="1" ht="15" thickBot="1">
      <c r="A60" s="692" t="s">
        <v>2772</v>
      </c>
      <c r="B60" s="261" t="e">
        <f t="shared" si="17"/>
        <v>#DIV/0!</v>
      </c>
      <c r="C60" s="199">
        <f t="shared" si="16"/>
        <v>0</v>
      </c>
      <c r="D60" s="1158">
        <v>0.25</v>
      </c>
      <c r="E60" s="260">
        <f>'数据-汇总表'!E15</f>
        <v>0</v>
      </c>
      <c r="F60" s="690" t="e">
        <f t="shared" si="15"/>
        <v>#DIV/0!</v>
      </c>
      <c r="G60" s="2695" t="s">
        <v>2766</v>
      </c>
      <c r="H60" s="1110">
        <f>项目基本情况!C37</f>
        <v>0</v>
      </c>
      <c r="I60" s="938">
        <f>SUMIF(修正!A45:A56,H60,修正!H45:H56)</f>
        <v>0</v>
      </c>
      <c r="J60" s="939"/>
      <c r="K60" s="1138"/>
      <c r="L60" s="937"/>
      <c r="M60" s="937"/>
      <c r="N60" s="937"/>
      <c r="O60" s="937"/>
    </row>
    <row r="61" spans="1:17" s="691" customFormat="1" ht="15" thickBot="1">
      <c r="A61" s="694" t="s">
        <v>2773</v>
      </c>
      <c r="B61" s="695" t="s">
        <v>28</v>
      </c>
      <c r="C61" s="695" t="s">
        <v>29</v>
      </c>
      <c r="D61" s="695" t="s">
        <v>1029</v>
      </c>
      <c r="E61" s="695">
        <f>IF(B41="楼面地价",SUM(E51:E60),'数据-汇总表'!D3)</f>
        <v>0</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2666</v>
      </c>
      <c r="B64" s="757"/>
      <c r="C64" s="762"/>
      <c r="D64" s="762"/>
      <c r="E64" s="762"/>
      <c r="F64" s="763"/>
      <c r="G64" s="763"/>
      <c r="H64" s="762"/>
      <c r="I64" s="762"/>
      <c r="J64" s="762"/>
      <c r="K64" s="764"/>
      <c r="L64" s="765"/>
      <c r="M64" s="762"/>
      <c r="N64" s="762"/>
      <c r="O64" s="1153"/>
      <c r="P64" s="502"/>
      <c r="Q64" s="503"/>
    </row>
    <row r="65" spans="1:17" s="507" customFormat="1" ht="15">
      <c r="A65" s="2696" t="s">
        <v>2774</v>
      </c>
      <c r="B65" s="1353"/>
      <c r="C65" s="1566" t="str">
        <f>YEAR(C63)&amp;"-"&amp;ROUNDUP(MONTH(C63)/3,0)</f>
        <v>2018-1</v>
      </c>
      <c r="D65" s="1566" t="str">
        <f t="shared" ref="D65:O65" si="19">YEAR(D63)&amp;"-"&amp;ROUNDUP(MONTH(D63)/3,0)</f>
        <v>2017-4</v>
      </c>
      <c r="E65" s="1566" t="str">
        <f t="shared" si="19"/>
        <v>2017-3</v>
      </c>
      <c r="F65" s="1566" t="str">
        <f t="shared" si="19"/>
        <v>2017-2</v>
      </c>
      <c r="G65" s="1566" t="str">
        <f t="shared" si="19"/>
        <v>2017-1</v>
      </c>
      <c r="H65" s="1566" t="str">
        <f t="shared" si="19"/>
        <v>2016-4</v>
      </c>
      <c r="I65" s="1566" t="str">
        <f t="shared" si="19"/>
        <v>2016-3</v>
      </c>
      <c r="J65" s="1566" t="str">
        <f t="shared" si="19"/>
        <v>2016-2</v>
      </c>
      <c r="K65" s="1566" t="str">
        <f t="shared" si="19"/>
        <v>2016-1</v>
      </c>
      <c r="L65" s="1566" t="str">
        <f t="shared" si="19"/>
        <v>2015-4</v>
      </c>
      <c r="M65" s="1566" t="str">
        <f t="shared" si="19"/>
        <v>2015-3</v>
      </c>
      <c r="N65" s="1566" t="str">
        <f t="shared" si="19"/>
        <v>2015-2</v>
      </c>
      <c r="O65" s="1566" t="str">
        <f t="shared" si="19"/>
        <v>2015-1</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1"/>
      <c r="N66" s="1561"/>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2742</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2784</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2786</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2787</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6" customWidth="1"/>
    <col min="33" max="36" width="9.375" style="2781"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4"/>
      <c r="L1" s="2703" t="s">
        <v>2798</v>
      </c>
      <c r="M1" s="1076">
        <f>SUMPRODUCT((区片价!B5:B9=I2)*(区片价!C3:F3=E2)*(区片价!C5:F9))</f>
        <v>0</v>
      </c>
      <c r="N1" s="1079">
        <f>SUMPRODUCT((因素修正幅度!B5:B9=I2)*(因素修正幅度!C3:F3=E2)*(因素修正幅度!C5:F9))</f>
        <v>0</v>
      </c>
      <c r="O1" s="2704"/>
      <c r="P1" s="2704"/>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4"/>
      <c r="L2" s="2711"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09" t="e">
        <f>IF(F3="宗地容积率",'数据-汇总表'!I4,IF(F3="估价对象容积率",'数据-汇总表'!I6,'数据-汇总表'!I7))</f>
        <v>#DIV/0!</v>
      </c>
      <c r="H3" s="197" t="s">
        <v>2814</v>
      </c>
      <c r="I3" s="940"/>
      <c r="J3" s="2710" t="s">
        <v>2815</v>
      </c>
      <c r="K3" s="1364"/>
      <c r="L3" s="2711"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09"/>
      <c r="B4" s="3410"/>
      <c r="C4" s="3410"/>
      <c r="D4" s="3411"/>
      <c r="E4" s="3411"/>
      <c r="F4" s="3411"/>
      <c r="G4" s="3411"/>
      <c r="H4" s="3411"/>
      <c r="I4" s="3411"/>
      <c r="J4" s="3412"/>
      <c r="K4" s="1364"/>
      <c r="L4" s="2711"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0" t="e">
        <f>ROUND(IF(E2="商业",IF(F16="增加",C6*C7+C16,C6*C7-C16),IF(E2="住宅",IF(F16="增加",C6*C12+C16,C6*C12-C16),IF(F16="增加",C6+C16,C6-C16))),0)</f>
        <v>#DIV/0!</v>
      </c>
      <c r="D5" s="1781">
        <f>ROUND(IF(E2="商业",IF(F16="增加",C6+C16,C6-C16)),0)</f>
        <v>0</v>
      </c>
      <c r="E5" s="2716"/>
      <c r="F5" s="2716"/>
      <c r="G5" s="2717"/>
      <c r="H5" s="2717"/>
      <c r="I5" s="2717"/>
      <c r="J5" s="2718"/>
      <c r="K5" s="2719"/>
      <c r="L5" s="2711"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1">
        <f>SUMIF(L1:L12,G2,M1:M12)</f>
        <v>0</v>
      </c>
      <c r="D6" s="2726" t="s">
        <v>2822</v>
      </c>
      <c r="E6" s="2727"/>
      <c r="F6" s="2727"/>
      <c r="G6" s="2728"/>
      <c r="H6" s="2728"/>
      <c r="I6" s="2728"/>
      <c r="J6" s="2729"/>
      <c r="K6" s="1836"/>
      <c r="L6" s="2711"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413" t="str">
        <f>IF(E2="商业",IF(C8="不临58条商业街","",2),"")</f>
        <v/>
      </c>
      <c r="B7" s="2730" t="s">
        <v>2824</v>
      </c>
      <c r="C7" s="912" t="e">
        <f>IF(C8="不临58条商业街",1,ROUND(1+(1.6*E8+1.2*E9+0.8*E10+0.4*E11)*C9,4))</f>
        <v>#DIV/0!</v>
      </c>
      <c r="D7" s="2731" t="s">
        <v>2825</v>
      </c>
      <c r="E7" s="941"/>
      <c r="F7" s="2732"/>
      <c r="G7" s="2733"/>
      <c r="H7" s="2733"/>
      <c r="I7" s="2733"/>
      <c r="J7" s="2734"/>
      <c r="K7" s="1836"/>
      <c r="L7" s="2711"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414"/>
      <c r="B8" s="197" t="s">
        <v>2829</v>
      </c>
      <c r="C8" s="2735"/>
      <c r="D8" s="913" t="s">
        <v>139</v>
      </c>
      <c r="E8" s="914" t="e">
        <f>ROUND(C11/E7,4)</f>
        <v>#DIV/0!</v>
      </c>
      <c r="F8" s="2736" t="s">
        <v>2830</v>
      </c>
      <c r="G8" s="2737"/>
      <c r="H8" s="2737"/>
      <c r="I8" s="2737"/>
      <c r="J8" s="2738"/>
      <c r="K8" s="1364"/>
      <c r="L8" s="2711"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406" t="s">
        <v>2832</v>
      </c>
      <c r="X8" s="3407"/>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414"/>
      <c r="B9" s="197" t="s">
        <v>2845</v>
      </c>
      <c r="C9" s="915">
        <f>SUMIF(修正!C59:C119,C8,修正!E59:E119)</f>
        <v>0</v>
      </c>
      <c r="D9" s="199" t="s">
        <v>140</v>
      </c>
      <c r="E9" s="199" t="e">
        <f>ROUND(C11/E7,4)</f>
        <v>#DIV/0!</v>
      </c>
      <c r="F9" s="2736" t="s">
        <v>2846</v>
      </c>
      <c r="G9" s="2737"/>
      <c r="H9" s="2737"/>
      <c r="I9" s="2737"/>
      <c r="J9" s="2738"/>
      <c r="K9" s="1364"/>
      <c r="L9" s="2711"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408"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14"/>
      <c r="B10" s="197" t="s">
        <v>2850</v>
      </c>
      <c r="C10" s="199">
        <f>SUMIF(修正!C59:C119,C8,修正!F59:F119)</f>
        <v>0</v>
      </c>
      <c r="D10" s="199" t="s">
        <v>141</v>
      </c>
      <c r="E10" s="199" t="e">
        <f>ROUND(C11/E7,4)</f>
        <v>#DIV/0!</v>
      </c>
      <c r="F10" s="2736" t="s">
        <v>2851</v>
      </c>
      <c r="G10" s="2737"/>
      <c r="H10" s="2737"/>
      <c r="I10" s="2737"/>
      <c r="J10" s="2738"/>
      <c r="K10" s="1364"/>
      <c r="L10" s="2711"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40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14"/>
      <c r="B11" s="2739" t="s">
        <v>2853</v>
      </c>
      <c r="C11" s="916">
        <f>C10/4</f>
        <v>0</v>
      </c>
      <c r="D11" s="916" t="s">
        <v>142</v>
      </c>
      <c r="E11" s="916" t="e">
        <f>ROUND(C11/E7,4)</f>
        <v>#DIV/0!</v>
      </c>
      <c r="F11" s="2740" t="s">
        <v>2854</v>
      </c>
      <c r="G11" s="2741"/>
      <c r="H11" s="2741"/>
      <c r="I11" s="2741"/>
      <c r="J11" s="2742"/>
      <c r="K11" s="1364"/>
      <c r="L11" s="2711"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408"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413" t="s">
        <v>2858</v>
      </c>
      <c r="B12" s="2743" t="s">
        <v>2859</v>
      </c>
      <c r="C12" s="912">
        <f>ROUND(C15*D15*E15*F15*G15*H15*I15*J15,4)</f>
        <v>1</v>
      </c>
      <c r="D12" s="2744" t="s">
        <v>2860</v>
      </c>
      <c r="E12" s="2745"/>
      <c r="F12" s="2745"/>
      <c r="G12" s="2746"/>
      <c r="H12" s="2746"/>
      <c r="I12" s="2746"/>
      <c r="J12" s="2747"/>
      <c r="K12" s="1364"/>
      <c r="L12" s="2748"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408"/>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15"/>
      <c r="B13" s="2749" t="s">
        <v>2863</v>
      </c>
      <c r="C13" s="2750" t="s">
        <v>2864</v>
      </c>
      <c r="D13" s="1802" t="s">
        <v>2865</v>
      </c>
      <c r="E13" s="1802" t="s">
        <v>2866</v>
      </c>
      <c r="F13" s="30" t="s">
        <v>2867</v>
      </c>
      <c r="G13" s="2751" t="s">
        <v>2868</v>
      </c>
      <c r="H13" s="2751" t="s">
        <v>2868</v>
      </c>
      <c r="I13" s="2751" t="s">
        <v>2868</v>
      </c>
      <c r="J13" s="2752" t="s">
        <v>2868</v>
      </c>
      <c r="K13" s="1364"/>
      <c r="L13" s="1364"/>
      <c r="M13" s="1364"/>
      <c r="N13" s="1364"/>
      <c r="O13" s="1364"/>
      <c r="P13" s="1364"/>
      <c r="Q13" s="1364"/>
      <c r="R13" s="1596">
        <v>12</v>
      </c>
      <c r="S13" s="1597"/>
      <c r="T13" s="1596" t="e">
        <f t="shared" si="0"/>
        <v>#DIV/0!</v>
      </c>
      <c r="U13" s="1597"/>
      <c r="V13" s="1596" t="e">
        <f t="shared" si="1"/>
        <v>#DIV/0!</v>
      </c>
      <c r="W13" s="3408"/>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415"/>
      <c r="B14" s="2753"/>
      <c r="C14" s="2754"/>
      <c r="D14" s="2755"/>
      <c r="E14" s="2755"/>
      <c r="F14" s="2756"/>
      <c r="G14" s="2757" t="s">
        <v>2869</v>
      </c>
      <c r="H14" s="2758"/>
      <c r="I14" s="2759"/>
      <c r="J14" s="2760"/>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16"/>
      <c r="B15" s="2761" t="s">
        <v>2870</v>
      </c>
      <c r="C15" s="228">
        <f>IF(C14="有",1.1,1)</f>
        <v>1</v>
      </c>
      <c r="D15" s="228">
        <f>IF(D14="有",1.1,1)</f>
        <v>1</v>
      </c>
      <c r="E15" s="228">
        <f>IF(E14="有",1.1,1)</f>
        <v>1</v>
      </c>
      <c r="F15" s="228">
        <f>IF(F14="500米范围内",1.2,IF(F14="500-1000米",1.1,1))</f>
        <v>1</v>
      </c>
      <c r="G15" s="942">
        <v>1</v>
      </c>
      <c r="H15" s="942">
        <v>1</v>
      </c>
      <c r="I15" s="942">
        <v>1</v>
      </c>
      <c r="J15" s="943">
        <v>1</v>
      </c>
      <c r="K15" s="1364"/>
      <c r="L15" s="2762" t="s">
        <v>2806</v>
      </c>
      <c r="M15" s="913" t="s">
        <v>2871</v>
      </c>
      <c r="N15" s="913" t="s">
        <v>2872</v>
      </c>
      <c r="O15" s="913" t="s">
        <v>2873</v>
      </c>
      <c r="P15" s="2763" t="s">
        <v>2874</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13" t="s">
        <v>2875</v>
      </c>
      <c r="B16" s="2730" t="s">
        <v>2876</v>
      </c>
      <c r="C16" s="1795" t="e">
        <f>ROUND(SUM(G17:J17)/C17,0)</f>
        <v>#DIV/0!</v>
      </c>
      <c r="D16" s="2764" t="s">
        <v>2877</v>
      </c>
      <c r="E16" s="2765"/>
      <c r="F16" s="2766"/>
      <c r="G16" s="2767"/>
      <c r="H16" s="2767"/>
      <c r="I16" s="2767"/>
      <c r="J16" s="2768"/>
      <c r="K16" s="1364"/>
      <c r="L16" s="2769" t="s">
        <v>2878</v>
      </c>
      <c r="M16" s="915">
        <v>0.25</v>
      </c>
      <c r="N16" s="915">
        <v>0.2</v>
      </c>
      <c r="O16" s="915">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14"/>
      <c r="B17" s="2770" t="s">
        <v>2879</v>
      </c>
      <c r="C17" s="917">
        <f>SUMPRODUCT((修正!A2:A5=E2)*(修正!B1:M1=G2)*(修正!B2:M5))</f>
        <v>0</v>
      </c>
      <c r="D17" s="2771" t="s">
        <v>2880</v>
      </c>
      <c r="E17" s="916" t="str">
        <f>IF(OR(G2="八级",G2="九级",G2="十级",G2="十一级",G2="十二级"),"五通一平","七通一平")</f>
        <v>七通一平</v>
      </c>
      <c r="F17" s="917" t="s">
        <v>2881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4"/>
      <c r="L17" s="2772" t="s">
        <v>2882</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3"/>
      <c r="AF17" s="2773"/>
      <c r="AG17" s="2705"/>
      <c r="AH17" s="2705"/>
      <c r="AI17" s="2705"/>
      <c r="AJ17" s="2705"/>
    </row>
    <row r="18" spans="1:37" s="2723" customFormat="1" ht="15.75" thickBot="1">
      <c r="A18" s="2774" t="s">
        <v>808</v>
      </c>
      <c r="B18" s="2775" t="s">
        <v>2883</v>
      </c>
      <c r="C18" s="919">
        <f>SUMIF(修正!C18:C39,E3,修正!E18:E39)</f>
        <v>0</v>
      </c>
      <c r="D18" s="2776"/>
      <c r="E18" s="2777"/>
      <c r="F18" s="2778"/>
      <c r="G18" s="2779"/>
      <c r="H18" s="2779"/>
      <c r="I18" s="2779"/>
      <c r="J18" s="2780"/>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23" customFormat="1" ht="27.75" thickBot="1">
      <c r="A19" s="2774" t="s">
        <v>809</v>
      </c>
      <c r="B19" s="2775" t="s">
        <v>2884</v>
      </c>
      <c r="C19" s="920" t="e">
        <f>ROUND(IF(H19="按公示增长率计算",SUMPRODUCT((地价!A3:A21=YEAR(G19)&amp;"-"&amp;ROUNDUP(MONTH(G19)/3,0))*(地价!X2:AB2=E2)*(地价!X3:AB21)),IF(H19="地价指数",M20/M19,(1+I19)^O19)),4)</f>
        <v>#DIV/0!</v>
      </c>
      <c r="D19" s="2782" t="s">
        <v>2885</v>
      </c>
      <c r="E19" s="921">
        <v>41640</v>
      </c>
      <c r="F19" s="2782" t="s">
        <v>2886</v>
      </c>
      <c r="G19" s="922">
        <f>'数据-取费表'!B2</f>
        <v>43185</v>
      </c>
      <c r="H19" s="2783" t="s">
        <v>2887</v>
      </c>
      <c r="I19" s="923" t="str">
        <f>IF(H19="季度增幅（自定义）",SUMIF(N21:N24,E2,O21:O24),"")</f>
        <v/>
      </c>
      <c r="J19" s="2780"/>
      <c r="K19" s="1371"/>
      <c r="L19" s="2784" t="s">
        <v>2888</v>
      </c>
      <c r="M19" s="1728">
        <f>ROUND(SUMIF(地价!B2:F2,E2,地价!B21:F21),0)</f>
        <v>0</v>
      </c>
      <c r="N19" s="2785" t="s">
        <v>2889</v>
      </c>
      <c r="O19" s="924">
        <f>ROUNDDOWN(DATEDIF(E19,G19,"M")/3,0)</f>
        <v>16</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23" customFormat="1" ht="27.75" thickBot="1">
      <c r="A20" s="2789" t="s">
        <v>810</v>
      </c>
      <c r="B20" s="2790" t="s">
        <v>2890</v>
      </c>
      <c r="C20" s="925" t="e">
        <f>ROUND(POWER(1+G20,J20-I20)*(POWER(1+G20,I20)-1)/(POWER(1+G20,J20)-1),4)</f>
        <v>#DIV/0!</v>
      </c>
      <c r="D20" s="2791" t="s">
        <v>2891</v>
      </c>
      <c r="E20" s="1762">
        <f ca="1">存贷款利率!D4/100</f>
        <v>4.3499999999999997E-2</v>
      </c>
      <c r="F20" s="2791" t="s">
        <v>2882</v>
      </c>
      <c r="G20" s="930">
        <f>SUMIF(M15:P15,E2,M17:P17)</f>
        <v>0</v>
      </c>
      <c r="H20" s="2791" t="s">
        <v>2892</v>
      </c>
      <c r="I20" s="931" t="e">
        <f>SUMIF('数据-取费表'!C6:C15,E2,'数据-取费表'!F6:F15)/COUNTIF('数据-取费表'!C6:C15,E2)</f>
        <v>#DIV/0!</v>
      </c>
      <c r="J20" s="932">
        <f>IF(E2="住宅",70,IF(E2="商业",40,50))</f>
        <v>50</v>
      </c>
      <c r="K20" s="1371"/>
      <c r="L20" s="2792" t="s">
        <v>2893</v>
      </c>
      <c r="M20" s="1729">
        <f>ROUND(SUMPRODUCT((地价!A4:A21=YEAR(G19)&amp;"-"&amp;ROUNDUP(MONTH(G19)/3,0))*(地价!B2:F2=E2)*(地价!B4:F21)),0)</f>
        <v>0</v>
      </c>
      <c r="N20" s="2793" t="s">
        <v>2894</v>
      </c>
      <c r="O20" s="2794" t="s">
        <v>2895</v>
      </c>
      <c r="P20" s="2795" t="s">
        <v>2896</v>
      </c>
      <c r="R20" s="1370"/>
      <c r="S20" s="1370"/>
      <c r="T20" s="1365"/>
      <c r="U20" s="1365"/>
      <c r="V20" s="1365"/>
      <c r="W20" s="1364"/>
      <c r="X20" s="1364"/>
      <c r="Y20" s="1364"/>
      <c r="Z20" s="1371"/>
      <c r="AA20" s="1372"/>
      <c r="AB20" s="1372"/>
      <c r="AC20" s="1372"/>
      <c r="AD20" s="1372"/>
      <c r="AE20" s="1372"/>
      <c r="AF20" s="1372"/>
    </row>
    <row r="21" spans="1:37" s="2723" customFormat="1" ht="15">
      <c r="A21" s="2796" t="s">
        <v>811</v>
      </c>
      <c r="B21" s="2797" t="s">
        <v>2897</v>
      </c>
      <c r="C21" s="933" t="e">
        <f>IF(B21="容积率修正",IF(G3&lt;=10,D22,J22),C23)</f>
        <v>#DIV/0!</v>
      </c>
      <c r="D21" s="2798"/>
      <c r="E21" s="2798"/>
      <c r="F21" s="2798"/>
      <c r="G21" s="2798"/>
      <c r="H21" s="2798"/>
      <c r="I21" s="2798"/>
      <c r="J21" s="2799"/>
      <c r="K21" s="1371"/>
      <c r="N21" s="2800" t="s">
        <v>2898</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23" customFormat="1" ht="14.25">
      <c r="A22" s="2653" t="s">
        <v>2899</v>
      </c>
      <c r="B22" s="2801" t="s">
        <v>2900</v>
      </c>
      <c r="C22" s="1804" t="s">
        <v>2901</v>
      </c>
      <c r="D22" s="1804" t="e">
        <f>IF(E22=G22,F22,IF(G3&lt;=10,ROUND(F22+(H22-F22)*(G3-E22)/(G22-E22),4),"——"))</f>
        <v>#DIV/0!</v>
      </c>
      <c r="E22" s="909"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0" t="s">
        <v>2902</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3" t="s">
        <v>2903</v>
      </c>
      <c r="B23" s="2802" t="s">
        <v>2904</v>
      </c>
      <c r="C23" s="1009" t="e">
        <f>ROUND(IF(G3&gt;1,IF(I3&lt;7,SUMPRODUCT((B93:B98=I3)*(C92:N92=G2)*(C93:N98)),SUMIF(C92:N92,G2,C100:N100)),IF(I3&lt;7,SUMPRODUCT((B102:B107=I3)*(C92:N92=G2)*(C102:N107)),SUMIF(C92:N92,G2,C109:N109))),4)</f>
        <v>#DIV/0!</v>
      </c>
      <c r="D23" s="2758"/>
      <c r="E23" s="2758"/>
      <c r="F23" s="2803"/>
      <c r="G23" s="2804"/>
      <c r="H23" s="2805"/>
      <c r="I23" s="2806"/>
      <c r="J23" s="2807"/>
      <c r="K23" s="1364"/>
      <c r="N23" s="2800" t="s">
        <v>2905</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1"/>
    </row>
    <row r="24" spans="1:37" s="2723" customFormat="1" ht="15.75" thickBot="1">
      <c r="A24" s="2789" t="s">
        <v>812</v>
      </c>
      <c r="B24" s="2775" t="s">
        <v>2906</v>
      </c>
      <c r="C24" s="920">
        <f>SUMIF(A45:A88,E2,B45:B88)</f>
        <v>0</v>
      </c>
      <c r="D24" s="2778"/>
      <c r="E24" s="2808"/>
      <c r="F24" s="2808"/>
      <c r="G24" s="2808"/>
      <c r="H24" s="2808"/>
      <c r="I24" s="2808"/>
      <c r="J24" s="2809"/>
      <c r="K24" s="1371"/>
      <c r="N24" s="2810" t="s">
        <v>2907</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2908</v>
      </c>
      <c r="C25" s="926"/>
      <c r="D25" s="2733"/>
      <c r="E25" s="2733"/>
      <c r="F25" s="2812"/>
      <c r="G25" s="2733"/>
      <c r="H25" s="2733"/>
      <c r="I25" s="2733"/>
      <c r="J25" s="2734"/>
      <c r="K25" s="1364"/>
      <c r="N25" s="2813" t="s">
        <v>2909</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14"/>
      <c r="B26" s="2801" t="s">
        <v>2910</v>
      </c>
      <c r="C26" s="205" t="e">
        <f>E29+SUM(E33:E39)</f>
        <v>#DIV/0!</v>
      </c>
      <c r="D26" s="2815"/>
      <c r="E26" s="2758"/>
      <c r="F26" s="2816"/>
      <c r="G26" s="2758"/>
      <c r="H26" s="2758"/>
      <c r="I26" s="2758"/>
      <c r="J26" s="2817"/>
      <c r="K26" s="1364"/>
      <c r="R26" s="1370"/>
      <c r="S26" s="1370"/>
      <c r="T26" s="1365"/>
      <c r="U26" s="1365"/>
      <c r="V26" s="1365"/>
      <c r="W26" s="1364"/>
      <c r="X26" s="1364"/>
      <c r="Y26" s="1364"/>
      <c r="Z26" s="1371"/>
      <c r="AA26" s="1372"/>
      <c r="AB26" s="1372"/>
      <c r="AC26" s="1372"/>
      <c r="AD26" s="1372"/>
    </row>
    <row r="27" spans="1:37" ht="15.75" thickBot="1">
      <c r="A27" s="2814"/>
      <c r="B27" s="2818" t="s">
        <v>2911</v>
      </c>
      <c r="C27" s="927" t="e">
        <f>E30+SUM(I33:I39)</f>
        <v>#DIV/0!</v>
      </c>
      <c r="D27" s="2819"/>
      <c r="E27" s="2820"/>
      <c r="F27" s="2821"/>
      <c r="G27" s="2820"/>
      <c r="H27" s="2820"/>
      <c r="I27" s="2820"/>
      <c r="J27" s="2822"/>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3"/>
      <c r="B28" s="2824" t="s">
        <v>2912</v>
      </c>
      <c r="C28" s="2825" t="s">
        <v>2913</v>
      </c>
      <c r="D28" s="2825" t="s">
        <v>2914</v>
      </c>
      <c r="E28" s="2826" t="s">
        <v>2915</v>
      </c>
      <c r="F28" s="2827"/>
      <c r="G28" s="2746"/>
      <c r="H28" s="2746"/>
      <c r="I28" s="2746"/>
      <c r="J28" s="2747"/>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28"/>
      <c r="B29" s="2829" t="s">
        <v>2916</v>
      </c>
      <c r="C29" s="205" t="e">
        <f>ROUND(C5*C18*C19*C20*C21*C24,0)</f>
        <v>#DIV/0!</v>
      </c>
      <c r="D29" s="2830"/>
      <c r="E29" s="938" t="e">
        <f>ROUND(C29*D29/10000,0)</f>
        <v>#DIV/0!</v>
      </c>
      <c r="F29" s="2831" t="s">
        <v>2917</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05"/>
      <c r="AH29" s="2705"/>
      <c r="AI29" s="2705"/>
      <c r="AJ29" s="2705"/>
    </row>
    <row r="30" spans="1:37" ht="25.5" thickBot="1">
      <c r="A30" s="2834"/>
      <c r="B30" s="2835" t="s">
        <v>2918</v>
      </c>
      <c r="C30" s="228" t="e">
        <f>ROUND(IF(E2="工业",C29*M39,C29*M38),0)</f>
        <v>#DIV/0!</v>
      </c>
      <c r="D30" s="2836"/>
      <c r="E30" s="938" t="e">
        <f>ROUND(C30*D30/10000,0)</f>
        <v>#DIV/0!</v>
      </c>
      <c r="F30" s="2837" t="s">
        <v>2919</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05"/>
      <c r="AH30" s="2705"/>
      <c r="AI30" s="2705"/>
      <c r="AJ30" s="2705"/>
    </row>
    <row r="31" spans="1:37" ht="14.25">
      <c r="A31" s="2840"/>
      <c r="B31" s="2841" t="s">
        <v>2920</v>
      </c>
      <c r="C31" s="2842" t="s">
        <v>2921</v>
      </c>
      <c r="D31" s="2746"/>
      <c r="E31" s="2842"/>
      <c r="F31" s="2842"/>
      <c r="G31" s="2744" t="s">
        <v>2922</v>
      </c>
      <c r="H31" s="2746"/>
      <c r="I31" s="2843"/>
      <c r="J31" s="2747"/>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05"/>
      <c r="AH31" s="2705"/>
      <c r="AI31" s="2705"/>
      <c r="AJ31" s="2705"/>
    </row>
    <row r="32" spans="1:37" ht="24">
      <c r="A32" s="2828"/>
      <c r="B32" s="2844"/>
      <c r="C32" s="500" t="s">
        <v>2913</v>
      </c>
      <c r="D32" s="497" t="s">
        <v>2914</v>
      </c>
      <c r="E32" s="497" t="s">
        <v>2915</v>
      </c>
      <c r="F32" s="387" t="s">
        <v>2923</v>
      </c>
      <c r="G32" s="2845" t="s">
        <v>2913</v>
      </c>
      <c r="H32" s="2845" t="s">
        <v>2914</v>
      </c>
      <c r="I32" s="2845" t="s">
        <v>2915</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05"/>
      <c r="AH32" s="2705"/>
      <c r="AI32" s="2705"/>
      <c r="AJ32" s="2705"/>
    </row>
    <row r="33" spans="1:37" ht="36" customHeight="1">
      <c r="A33" s="3423" t="s">
        <v>2924</v>
      </c>
      <c r="B33" s="2846" t="s">
        <v>2925</v>
      </c>
      <c r="C33" s="205" t="e">
        <f>ROUND(D5*C19*C20*C24*F33,0)</f>
        <v>#DIV/0!</v>
      </c>
      <c r="D33" s="2830"/>
      <c r="E33" s="199" t="e">
        <f>ROUND(C33*D33/10000,0)</f>
        <v>#DIV/0!</v>
      </c>
      <c r="F33" s="199">
        <f>SUMIF(修正!A45:A56,G2,修正!B45:B56)</f>
        <v>0</v>
      </c>
      <c r="G33" s="199" t="e">
        <f t="shared" ref="G33:G39" si="6">ROUND(IF(E2="工业",C33*$M$39,C33*$M$38),0)</f>
        <v>#DIV/0!</v>
      </c>
      <c r="H33" s="199">
        <f>D33</f>
        <v>0</v>
      </c>
      <c r="I33" s="199"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424"/>
      <c r="B34" s="2750" t="s">
        <v>2926</v>
      </c>
      <c r="C34" s="205" t="e">
        <f>ROUND(D5*C19*C20*C24*F34,0)</f>
        <v>#DIV/0!</v>
      </c>
      <c r="D34" s="283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424"/>
      <c r="B35" s="2750" t="s">
        <v>2927</v>
      </c>
      <c r="C35" s="205" t="e">
        <f>ROUND(D5*C19*C20*C24*F35,0)</f>
        <v>#DIV/0!</v>
      </c>
      <c r="D35" s="2830"/>
      <c r="E35" s="199" t="e">
        <f t="shared" si="7"/>
        <v>#DIV/0!</v>
      </c>
      <c r="F35" s="199">
        <f>SUMIF(修正!A45:A56,G2,修正!D45:D56)</f>
        <v>0</v>
      </c>
      <c r="G35" s="199" t="e">
        <f t="shared" si="6"/>
        <v>#DIV/0!</v>
      </c>
      <c r="H35" s="199">
        <f t="shared" si="8"/>
        <v>0</v>
      </c>
      <c r="I35" s="199"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425"/>
      <c r="B36" s="2750" t="s">
        <v>2928</v>
      </c>
      <c r="C36" s="205" t="e">
        <f>ROUND(D5*C19*C20*C24*F36,0)</f>
        <v>#DIV/0!</v>
      </c>
      <c r="D36" s="2830"/>
      <c r="E36" s="199" t="e">
        <f t="shared" si="7"/>
        <v>#DIV/0!</v>
      </c>
      <c r="F36" s="199">
        <f>SUMIF(修正!A45:A56,G2,修正!E45:E56)</f>
        <v>0</v>
      </c>
      <c r="G36" s="199" t="e">
        <f t="shared" si="6"/>
        <v>#DIV/0!</v>
      </c>
      <c r="H36" s="199">
        <f t="shared" si="8"/>
        <v>0</v>
      </c>
      <c r="I36" s="199" t="e">
        <f t="shared" si="9"/>
        <v>#DIV/0!</v>
      </c>
      <c r="J36" s="2847"/>
      <c r="K36" s="1364"/>
      <c r="L36" s="2704"/>
      <c r="M36" s="2704"/>
      <c r="N36" s="1364"/>
      <c r="O36" s="1364"/>
      <c r="P36" s="1364"/>
      <c r="Q36" s="1364"/>
      <c r="R36" s="1364"/>
      <c r="S36" s="1364"/>
      <c r="T36" s="1364"/>
      <c r="U36" s="1364"/>
      <c r="V36" s="1364"/>
      <c r="W36" s="1364"/>
      <c r="X36" s="1364"/>
      <c r="Y36" s="1364"/>
      <c r="Z36" s="1365"/>
    </row>
    <row r="37" spans="1:37">
      <c r="A37" s="2848"/>
      <c r="B37" s="2750" t="s">
        <v>2929</v>
      </c>
      <c r="C37" s="199" t="e">
        <f>ROUND(C5*C19*C20*C24*F37,0)</f>
        <v>#DIV/0!</v>
      </c>
      <c r="D37" s="2830"/>
      <c r="E37" s="199" t="e">
        <f t="shared" si="7"/>
        <v>#DIV/0!</v>
      </c>
      <c r="F37" s="205">
        <f>SUMIF(修正!A45:A56,G2,修正!F45:F56)</f>
        <v>0</v>
      </c>
      <c r="G37" s="199" t="e">
        <f t="shared" si="6"/>
        <v>#DIV/0!</v>
      </c>
      <c r="H37" s="199">
        <f t="shared" si="8"/>
        <v>0</v>
      </c>
      <c r="I37" s="199" t="e">
        <f t="shared" si="9"/>
        <v>#DIV/0!</v>
      </c>
      <c r="J37" s="2847"/>
      <c r="K37" s="1364"/>
      <c r="L37" s="2849" t="s">
        <v>2930</v>
      </c>
      <c r="M37" s="2850"/>
      <c r="N37" s="1364"/>
      <c r="O37" s="1364"/>
      <c r="P37" s="1364"/>
      <c r="Q37" s="1364"/>
      <c r="R37" s="1364"/>
      <c r="S37" s="1364"/>
      <c r="T37" s="1364"/>
      <c r="U37" s="1364"/>
      <c r="V37" s="1364"/>
      <c r="W37" s="1364"/>
      <c r="X37" s="1364"/>
      <c r="Y37" s="1364"/>
      <c r="Z37" s="1365"/>
    </row>
    <row r="38" spans="1:37">
      <c r="A38" s="2848"/>
      <c r="B38" s="2750" t="s">
        <v>2931</v>
      </c>
      <c r="C38" s="199" t="e">
        <f>ROUND(C5*C19*C20*C24*F38,0)</f>
        <v>#DIV/0!</v>
      </c>
      <c r="D38" s="2830"/>
      <c r="E38" s="199" t="e">
        <f t="shared" si="7"/>
        <v>#DIV/0!</v>
      </c>
      <c r="F38" s="205">
        <f>SUMIF(修正!A45:A56,G2,修正!G45:G56)</f>
        <v>0</v>
      </c>
      <c r="G38" s="199" t="e">
        <f t="shared" si="6"/>
        <v>#DIV/0!</v>
      </c>
      <c r="H38" s="199">
        <f t="shared" si="8"/>
        <v>0</v>
      </c>
      <c r="I38" s="199" t="e">
        <f t="shared" si="9"/>
        <v>#DIV/0!</v>
      </c>
      <c r="J38" s="2847"/>
      <c r="K38" s="1364"/>
      <c r="L38" s="1881" t="s">
        <v>2932</v>
      </c>
      <c r="M38" s="2851">
        <v>0.25</v>
      </c>
      <c r="N38" s="1364"/>
      <c r="O38" s="1364"/>
      <c r="P38" s="1364"/>
      <c r="Q38" s="1364"/>
      <c r="R38" s="1364"/>
      <c r="S38" s="1364"/>
      <c r="T38" s="1364"/>
      <c r="U38" s="1364"/>
      <c r="V38" s="1364"/>
      <c r="W38" s="1364"/>
      <c r="X38" s="1364"/>
      <c r="Y38" s="1364"/>
      <c r="Z38" s="1365"/>
    </row>
    <row r="39" spans="1:37" ht="13.5" thickBot="1">
      <c r="A39" s="2834"/>
      <c r="B39" s="2852" t="s">
        <v>2933</v>
      </c>
      <c r="C39" s="228" t="e">
        <f>ROUND(C5*C19*C20*C24*F39,0)</f>
        <v>#DIV/0!</v>
      </c>
      <c r="D39" s="2836"/>
      <c r="E39" s="228" t="e">
        <f t="shared" si="7"/>
        <v>#DIV/0!</v>
      </c>
      <c r="F39" s="928">
        <f>SUMIF(修正!A45:A56,G2,修正!H45:H56)</f>
        <v>0</v>
      </c>
      <c r="G39" s="228" t="e">
        <f t="shared" si="6"/>
        <v>#DIV/0!</v>
      </c>
      <c r="H39" s="228">
        <f t="shared" si="8"/>
        <v>0</v>
      </c>
      <c r="I39" s="228" t="e">
        <f t="shared" si="9"/>
        <v>#DIV/0!</v>
      </c>
      <c r="J39" s="2853"/>
      <c r="K39" s="1364"/>
      <c r="L39" s="2854" t="s">
        <v>2874</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56"/>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2934</v>
      </c>
      <c r="B45" s="2858"/>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9" t="s">
        <v>2935</v>
      </c>
      <c r="B46" s="2860">
        <f>1+E48</f>
        <v>1</v>
      </c>
      <c r="C46" s="2861"/>
      <c r="D46" s="807"/>
      <c r="E46" s="808"/>
      <c r="F46" s="2862"/>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3" t="s">
        <v>2936</v>
      </c>
      <c r="B47" s="1803" t="s">
        <v>2937</v>
      </c>
      <c r="C47" s="1803" t="s">
        <v>2938</v>
      </c>
      <c r="D47" s="1803" t="s">
        <v>2939</v>
      </c>
      <c r="E47" s="812" t="s">
        <v>2940</v>
      </c>
      <c r="F47" s="2864" t="s">
        <v>2941</v>
      </c>
      <c r="G47" s="1803" t="s">
        <v>754</v>
      </c>
      <c r="H47" s="2865" t="s">
        <v>2942</v>
      </c>
      <c r="I47" s="1803" t="s">
        <v>2943</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63.75">
      <c r="A48" s="2863" t="s">
        <v>2944</v>
      </c>
      <c r="B48" s="2866" t="str">
        <f>估价对象房地状况!C4</f>
        <v>估价对象位于华远天地项目，周边多为住宅底商项目，商业氛围成熟度一般，人流量一般，商业繁华度一般</v>
      </c>
      <c r="C48" s="2755"/>
      <c r="D48" s="1280">
        <f t="shared" ref="D48:D56" si="10">SUMIF($J$47:$N$47,C48,J48:N48)</f>
        <v>0</v>
      </c>
      <c r="E48" s="814">
        <f>ROUND(SUM(D48:D56),4)</f>
        <v>0</v>
      </c>
      <c r="F48" s="2490"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2945</v>
      </c>
      <c r="B49" s="2867" t="str">
        <f>估价对象房地状况!C18</f>
        <v>估价对象周边道路状况、周边有810、910、938等多路及地铁八通线经过，综合评价交通便捷度较好</v>
      </c>
      <c r="C49" s="2755"/>
      <c r="D49" s="1280">
        <f t="shared" si="10"/>
        <v>0</v>
      </c>
      <c r="E49" s="815"/>
      <c r="F49" s="2490"/>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2946</v>
      </c>
      <c r="B50" s="2867">
        <f>估价对象房地状况!C19</f>
        <v>0</v>
      </c>
      <c r="C50" s="2755"/>
      <c r="D50" s="1280">
        <f t="shared" si="10"/>
        <v>0</v>
      </c>
      <c r="E50" s="815"/>
      <c r="F50" s="2490"/>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2947</v>
      </c>
      <c r="B51" s="2868" t="s">
        <v>2948</v>
      </c>
      <c r="C51" s="2755"/>
      <c r="D51" s="1280">
        <f t="shared" si="10"/>
        <v>0</v>
      </c>
      <c r="E51" s="815"/>
      <c r="F51" s="2490"/>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2949</v>
      </c>
      <c r="B52" s="2867" t="str">
        <f>估价对象房地状况!C24</f>
        <v>主干道——京津公路</v>
      </c>
      <c r="C52" s="2755"/>
      <c r="D52" s="1280">
        <f t="shared" si="10"/>
        <v>0</v>
      </c>
      <c r="E52" s="815"/>
      <c r="F52" s="2490"/>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2950</v>
      </c>
      <c r="B53" s="2869" t="s">
        <v>2951</v>
      </c>
      <c r="C53" s="2755"/>
      <c r="D53" s="1280">
        <f t="shared" si="10"/>
        <v>0</v>
      </c>
      <c r="E53" s="815"/>
      <c r="F53" s="2490"/>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0" t="s">
        <v>2952</v>
      </c>
      <c r="B54" s="1719" t="str">
        <f>估价对象房地状况!C21</f>
        <v>周边有银行、购物场所、餐饮等配套设施，公共服务设施状况一般。</v>
      </c>
      <c r="C54" s="2755"/>
      <c r="D54" s="1280">
        <f t="shared" si="10"/>
        <v>0</v>
      </c>
      <c r="E54" s="815"/>
      <c r="F54" s="2490"/>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2953</v>
      </c>
      <c r="B55" s="2867" t="str">
        <f>估价对象房地状况!C22</f>
        <v>七通</v>
      </c>
      <c r="C55" s="2755"/>
      <c r="D55" s="1280">
        <f t="shared" si="10"/>
        <v>0</v>
      </c>
      <c r="E55" s="815"/>
      <c r="F55" s="2490"/>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2954</v>
      </c>
      <c r="B56" s="2872" t="str">
        <f>估价对象房地状况!C20</f>
        <v>区域自然环境：梨园主题公园；人文环境：无；综合评价环境状况一般</v>
      </c>
      <c r="C56" s="2755"/>
      <c r="D56" s="1280">
        <f t="shared" si="10"/>
        <v>0</v>
      </c>
      <c r="E56" s="818"/>
      <c r="F56" s="2490"/>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2955</v>
      </c>
      <c r="B57" s="2860">
        <f>1+E59</f>
        <v>1</v>
      </c>
      <c r="C57" s="807"/>
      <c r="D57" s="807"/>
      <c r="E57" s="808"/>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2936</v>
      </c>
      <c r="B58" s="1803"/>
      <c r="C58" s="1803" t="s">
        <v>2938</v>
      </c>
      <c r="D58" s="1803" t="s">
        <v>2939</v>
      </c>
      <c r="E58" s="812" t="s">
        <v>2940</v>
      </c>
      <c r="F58" s="2864" t="s">
        <v>2956</v>
      </c>
      <c r="G58" s="1803" t="s">
        <v>754</v>
      </c>
      <c r="H58" s="2865" t="s">
        <v>2942</v>
      </c>
      <c r="I58" s="1803" t="s">
        <v>2943</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3" t="s">
        <v>2957</v>
      </c>
      <c r="B59" s="2866">
        <f>估价对象房地状况!C17</f>
        <v>0</v>
      </c>
      <c r="C59" s="2755"/>
      <c r="D59" s="1280">
        <f t="shared" ref="D59:D67" si="15">SUMIF($J$58:$N$58,C59,J59:N59)</f>
        <v>0</v>
      </c>
      <c r="E59" s="814">
        <f>ROUND(SUM(D59:D67),4)</f>
        <v>0</v>
      </c>
      <c r="F59" s="2490" t="str">
        <f>IF(E2="办公",SUMIF(L1:L12,G2,N1:N12),"——")</f>
        <v>——</v>
      </c>
      <c r="G59" s="1278"/>
      <c r="H59" s="1282" t="str">
        <f t="shared" ref="H59:H67" si="16">IFERROR(ROUNDDOWN($F$59*I59/2,4),"——")</f>
        <v>——</v>
      </c>
      <c r="I59" s="813">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2945</v>
      </c>
      <c r="B60" s="2867" t="str">
        <f>估价对象房地状况!C18</f>
        <v>估价对象周边道路状况、周边有810、910、938等多路及地铁八通线经过，综合评价交通便捷度较好</v>
      </c>
      <c r="C60" s="2755"/>
      <c r="D60" s="1280">
        <f t="shared" si="15"/>
        <v>0</v>
      </c>
      <c r="E60" s="815"/>
      <c r="F60" s="2490"/>
      <c r="G60" s="1278"/>
      <c r="H60" s="1282" t="str">
        <f t="shared" si="16"/>
        <v>——</v>
      </c>
      <c r="I60" s="813">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2946</v>
      </c>
      <c r="B61" s="2867">
        <f>估价对象房地状况!C19</f>
        <v>0</v>
      </c>
      <c r="C61" s="2755"/>
      <c r="D61" s="1280">
        <f t="shared" si="15"/>
        <v>0</v>
      </c>
      <c r="E61" s="815"/>
      <c r="F61" s="2490"/>
      <c r="G61" s="1278"/>
      <c r="H61" s="1282" t="str">
        <f t="shared" si="16"/>
        <v>——</v>
      </c>
      <c r="I61" s="813">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2947</v>
      </c>
      <c r="B62" s="2868" t="s">
        <v>2948</v>
      </c>
      <c r="C62" s="2755"/>
      <c r="D62" s="1280">
        <f t="shared" si="15"/>
        <v>0</v>
      </c>
      <c r="E62" s="815"/>
      <c r="F62" s="2490"/>
      <c r="G62" s="1278"/>
      <c r="H62" s="1282" t="str">
        <f t="shared" si="16"/>
        <v>——</v>
      </c>
      <c r="I62" s="813">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2949</v>
      </c>
      <c r="B63" s="2867" t="str">
        <f>估价对象房地状况!C24</f>
        <v>主干道——京津公路</v>
      </c>
      <c r="C63" s="2755"/>
      <c r="D63" s="1280">
        <f t="shared" si="15"/>
        <v>0</v>
      </c>
      <c r="E63" s="815"/>
      <c r="F63" s="2490"/>
      <c r="G63" s="1278"/>
      <c r="H63" s="1282" t="str">
        <f t="shared" si="16"/>
        <v>——</v>
      </c>
      <c r="I63" s="813">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2950</v>
      </c>
      <c r="B64" s="2869" t="s">
        <v>2951</v>
      </c>
      <c r="C64" s="2755"/>
      <c r="D64" s="1280">
        <f t="shared" si="15"/>
        <v>0</v>
      </c>
      <c r="E64" s="815"/>
      <c r="F64" s="2490"/>
      <c r="G64" s="1278"/>
      <c r="H64" s="1282" t="str">
        <f t="shared" si="16"/>
        <v>——</v>
      </c>
      <c r="I64" s="813">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63" t="s">
        <v>2952</v>
      </c>
      <c r="B65" s="1719" t="str">
        <f>估价对象房地状况!C21</f>
        <v>周边有银行、购物场所、餐饮等配套设施，公共服务设施状况一般。</v>
      </c>
      <c r="C65" s="2755"/>
      <c r="D65" s="1280">
        <f t="shared" si="15"/>
        <v>0</v>
      </c>
      <c r="E65" s="815"/>
      <c r="F65" s="2490"/>
      <c r="G65" s="1278"/>
      <c r="H65" s="1282" t="str">
        <f t="shared" si="16"/>
        <v>——</v>
      </c>
      <c r="I65" s="813">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2953</v>
      </c>
      <c r="B66" s="1719" t="str">
        <f>估价对象房地状况!C22</f>
        <v>七通</v>
      </c>
      <c r="C66" s="2755"/>
      <c r="D66" s="1280">
        <f t="shared" si="15"/>
        <v>0</v>
      </c>
      <c r="E66" s="815"/>
      <c r="F66" s="2490"/>
      <c r="G66" s="1278"/>
      <c r="H66" s="1282" t="str">
        <f t="shared" si="16"/>
        <v>——</v>
      </c>
      <c r="I66" s="813">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2954</v>
      </c>
      <c r="B67" s="2873" t="str">
        <f>估价对象房地状况!C20</f>
        <v>区域自然环境：梨园主题公园；人文环境：无；综合评价环境状况一般</v>
      </c>
      <c r="C67" s="2755"/>
      <c r="D67" s="1280">
        <f t="shared" si="15"/>
        <v>0</v>
      </c>
      <c r="E67" s="818"/>
      <c r="F67" s="2490"/>
      <c r="G67" s="1278"/>
      <c r="H67" s="1282" t="str">
        <f t="shared" si="16"/>
        <v>——</v>
      </c>
      <c r="I67" s="817">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2958</v>
      </c>
      <c r="B68" s="2860">
        <f>1+E70</f>
        <v>1</v>
      </c>
      <c r="C68" s="807"/>
      <c r="D68" s="807"/>
      <c r="E68" s="808"/>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2936</v>
      </c>
      <c r="B69" s="1803"/>
      <c r="C69" s="1803" t="s">
        <v>2938</v>
      </c>
      <c r="D69" s="1803" t="s">
        <v>2939</v>
      </c>
      <c r="E69" s="812" t="s">
        <v>2940</v>
      </c>
      <c r="F69" s="2864" t="s">
        <v>2956</v>
      </c>
      <c r="G69" s="1803" t="s">
        <v>754</v>
      </c>
      <c r="H69" s="2865" t="s">
        <v>2942</v>
      </c>
      <c r="I69" s="1803" t="s">
        <v>2943</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3" t="s">
        <v>2959</v>
      </c>
      <c r="B70" s="2866">
        <f>估价对象房地状况!C15</f>
        <v>0</v>
      </c>
      <c r="C70" s="2755"/>
      <c r="D70" s="1280">
        <f t="shared" ref="D70:D78" si="20">SUMIF($J$69:$N$69,C70,J70:N70)</f>
        <v>0</v>
      </c>
      <c r="E70" s="814">
        <f>ROUND(SUM(D70:D78),4)</f>
        <v>0</v>
      </c>
      <c r="F70" s="2490"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2945</v>
      </c>
      <c r="B71" s="2867" t="str">
        <f>估价对象房地状况!C18</f>
        <v>估价对象周边道路状况、周边有810、910、938等多路及地铁八通线经过，综合评价交通便捷度较好</v>
      </c>
      <c r="C71" s="2755"/>
      <c r="D71" s="1280">
        <f t="shared" si="20"/>
        <v>0</v>
      </c>
      <c r="E71" s="819"/>
      <c r="F71" s="2490"/>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2946</v>
      </c>
      <c r="B72" s="2867">
        <f>估价对象房地状况!C19</f>
        <v>0</v>
      </c>
      <c r="C72" s="2755"/>
      <c r="D72" s="1280">
        <f t="shared" si="20"/>
        <v>0</v>
      </c>
      <c r="E72" s="819"/>
      <c r="F72" s="2490"/>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2960</v>
      </c>
      <c r="B73" s="2867" t="str">
        <f>估价对象房地状况!C24</f>
        <v>主干道——京津公路</v>
      </c>
      <c r="C73" s="2755"/>
      <c r="D73" s="1280">
        <f t="shared" si="20"/>
        <v>0</v>
      </c>
      <c r="E73" s="819"/>
      <c r="F73" s="2490"/>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63" t="s">
        <v>2952</v>
      </c>
      <c r="B74" s="1719" t="str">
        <f>估价对象房地状况!C21</f>
        <v>周边有银行、购物场所、餐饮等配套设施，公共服务设施状况一般。</v>
      </c>
      <c r="C74" s="2755"/>
      <c r="D74" s="1280">
        <f t="shared" si="20"/>
        <v>0</v>
      </c>
      <c r="E74" s="819"/>
      <c r="F74" s="2490"/>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2953</v>
      </c>
      <c r="B75" s="1719" t="str">
        <f>估价对象房地状况!C22</f>
        <v>七通</v>
      </c>
      <c r="C75" s="2755"/>
      <c r="D75" s="1280">
        <f t="shared" si="20"/>
        <v>0</v>
      </c>
      <c r="E75" s="819"/>
      <c r="F75" s="2490"/>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4" customFormat="1" ht="24">
      <c r="A76" s="2863" t="s">
        <v>2950</v>
      </c>
      <c r="B76" s="2869" t="s">
        <v>2951</v>
      </c>
      <c r="C76" s="2755"/>
      <c r="D76" s="1280">
        <f t="shared" si="20"/>
        <v>0</v>
      </c>
      <c r="E76" s="819"/>
      <c r="F76" s="2490"/>
      <c r="G76" s="1278"/>
      <c r="H76" s="1282" t="str">
        <f t="shared" si="21"/>
        <v>——</v>
      </c>
      <c r="I76" s="813">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2954</v>
      </c>
      <c r="B77" s="2866" t="str">
        <f>估价对象房地状况!C20</f>
        <v>区域自然环境：梨园主题公园；人文环境：无；综合评价环境状况一般</v>
      </c>
      <c r="C77" s="2755"/>
      <c r="D77" s="1280">
        <f t="shared" si="20"/>
        <v>0</v>
      </c>
      <c r="E77" s="819"/>
      <c r="F77" s="2490"/>
      <c r="G77" s="1278"/>
      <c r="H77" s="1282" t="str">
        <f t="shared" si="21"/>
        <v>——</v>
      </c>
      <c r="I77" s="813">
        <v>0.15</v>
      </c>
      <c r="J77" s="1279">
        <f t="shared" si="22"/>
        <v>0</v>
      </c>
      <c r="K77" s="1279">
        <f t="shared" si="23"/>
        <v>0</v>
      </c>
      <c r="L77" s="1279">
        <v>0</v>
      </c>
      <c r="M77" s="1279">
        <f t="shared" si="24"/>
        <v>0</v>
      </c>
      <c r="N77" s="1279">
        <f t="shared" si="24"/>
        <v>0</v>
      </c>
      <c r="Z77" s="2705"/>
      <c r="AA77" s="2781"/>
      <c r="AG77" s="1366"/>
      <c r="AK77" s="2781"/>
    </row>
    <row r="78" spans="1:37" ht="24.75" thickBot="1">
      <c r="A78" s="2871" t="s">
        <v>2961</v>
      </c>
      <c r="B78" s="2875"/>
      <c r="C78" s="2755"/>
      <c r="D78" s="1280">
        <f t="shared" si="20"/>
        <v>0</v>
      </c>
      <c r="E78" s="820"/>
      <c r="F78" s="2490"/>
      <c r="G78" s="1278"/>
      <c r="H78" s="1282" t="str">
        <f t="shared" si="21"/>
        <v>——</v>
      </c>
      <c r="I78" s="817">
        <v>0.04</v>
      </c>
      <c r="J78" s="1279">
        <f t="shared" si="22"/>
        <v>0</v>
      </c>
      <c r="K78" s="1279">
        <f t="shared" si="23"/>
        <v>0</v>
      </c>
      <c r="L78" s="1279">
        <v>0</v>
      </c>
      <c r="M78" s="1279">
        <f t="shared" si="24"/>
        <v>0</v>
      </c>
      <c r="N78" s="1279">
        <f t="shared" si="24"/>
        <v>0</v>
      </c>
      <c r="Z78" s="2705"/>
      <c r="AA78" s="2781"/>
      <c r="AG78" s="1366"/>
      <c r="AK78" s="2781"/>
    </row>
    <row r="79" spans="1:37" ht="15">
      <c r="A79" s="2859" t="s">
        <v>2962</v>
      </c>
      <c r="B79" s="2860">
        <f>1+E81</f>
        <v>1</v>
      </c>
      <c r="C79" s="807"/>
      <c r="D79" s="807"/>
      <c r="E79" s="808"/>
      <c r="F79" s="2862"/>
      <c r="G79" s="6"/>
      <c r="H79" s="6"/>
      <c r="I79" s="6"/>
      <c r="J79" s="7"/>
      <c r="K79" s="7"/>
      <c r="L79" s="7"/>
      <c r="M79" s="7"/>
      <c r="N79" s="7"/>
      <c r="Z79" s="2705"/>
      <c r="AA79" s="2781"/>
      <c r="AG79" s="1366"/>
      <c r="AK79" s="2781"/>
    </row>
    <row r="80" spans="1:37" ht="24.75">
      <c r="A80" s="2863" t="s">
        <v>2936</v>
      </c>
      <c r="B80" s="1803"/>
      <c r="C80" s="1803" t="s">
        <v>2938</v>
      </c>
      <c r="D80" s="1803" t="s">
        <v>2939</v>
      </c>
      <c r="E80" s="812" t="s">
        <v>2940</v>
      </c>
      <c r="F80" s="2864" t="s">
        <v>2956</v>
      </c>
      <c r="G80" s="1803" t="s">
        <v>754</v>
      </c>
      <c r="H80" s="2865" t="s">
        <v>2942</v>
      </c>
      <c r="I80" s="1803" t="s">
        <v>2943</v>
      </c>
      <c r="J80" s="602" t="s">
        <v>2589</v>
      </c>
      <c r="K80" s="602" t="s">
        <v>2590</v>
      </c>
      <c r="L80" s="602" t="s">
        <v>2591</v>
      </c>
      <c r="M80" s="602" t="s">
        <v>2592</v>
      </c>
      <c r="N80" s="602" t="s">
        <v>2593</v>
      </c>
      <c r="Z80" s="2705"/>
      <c r="AA80" s="2781"/>
      <c r="AG80" s="1366"/>
      <c r="AK80" s="2781"/>
    </row>
    <row r="81" spans="1:37" ht="24">
      <c r="A81" s="2863" t="s">
        <v>2963</v>
      </c>
      <c r="B81" s="2867">
        <f>估价对象房地状况!G15</f>
        <v>0</v>
      </c>
      <c r="C81" s="2755"/>
      <c r="D81" s="1280">
        <f t="shared" ref="D81:D88" si="25">SUMIF($J$80:$N$80,C81,J81:N81)</f>
        <v>0</v>
      </c>
      <c r="E81" s="814">
        <f>ROUND(SUM(D81:D88),4)</f>
        <v>0</v>
      </c>
      <c r="F81" s="2490"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05"/>
      <c r="AA81" s="2781"/>
      <c r="AG81" s="1366"/>
      <c r="AK81" s="2781"/>
    </row>
    <row r="82" spans="1:37" ht="14.25">
      <c r="A82" s="2863" t="s">
        <v>2945</v>
      </c>
      <c r="B82" s="2867">
        <f>估价对象房地状况!G16</f>
        <v>0</v>
      </c>
      <c r="C82" s="2755"/>
      <c r="D82" s="1280">
        <f t="shared" si="25"/>
        <v>0</v>
      </c>
      <c r="E82" s="819"/>
      <c r="F82" s="2490"/>
      <c r="G82" s="1278"/>
      <c r="H82" s="1282" t="str">
        <f t="shared" si="26"/>
        <v>——</v>
      </c>
      <c r="I82" s="813">
        <v>0.33</v>
      </c>
      <c r="J82" s="1279">
        <f t="shared" si="27"/>
        <v>0</v>
      </c>
      <c r="K82" s="1279">
        <f t="shared" si="28"/>
        <v>0</v>
      </c>
      <c r="L82" s="1279">
        <v>0</v>
      </c>
      <c r="M82" s="1279">
        <f t="shared" si="29"/>
        <v>0</v>
      </c>
      <c r="N82" s="1279">
        <f t="shared" si="29"/>
        <v>0</v>
      </c>
      <c r="Z82" s="2705"/>
      <c r="AA82" s="2781"/>
      <c r="AG82" s="1366"/>
      <c r="AK82" s="2781"/>
    </row>
    <row r="83" spans="1:37" ht="24">
      <c r="A83" s="2863" t="s">
        <v>2946</v>
      </c>
      <c r="B83" s="2867">
        <f>估价对象房地状况!G17</f>
        <v>0</v>
      </c>
      <c r="C83" s="2755"/>
      <c r="D83" s="1280">
        <f t="shared" si="25"/>
        <v>0</v>
      </c>
      <c r="E83" s="819"/>
      <c r="F83" s="2490"/>
      <c r="G83" s="1278"/>
      <c r="H83" s="1282" t="str">
        <f t="shared" si="26"/>
        <v>——</v>
      </c>
      <c r="I83" s="813">
        <v>0.05</v>
      </c>
      <c r="J83" s="1279">
        <f t="shared" si="27"/>
        <v>0</v>
      </c>
      <c r="K83" s="1279">
        <f t="shared" si="28"/>
        <v>0</v>
      </c>
      <c r="L83" s="1279">
        <v>0</v>
      </c>
      <c r="M83" s="1279">
        <f t="shared" si="29"/>
        <v>0</v>
      </c>
      <c r="N83" s="1279">
        <f t="shared" si="29"/>
        <v>0</v>
      </c>
      <c r="Z83" s="2705"/>
      <c r="AA83" s="2781"/>
      <c r="AG83" s="1366"/>
      <c r="AK83" s="2781"/>
    </row>
    <row r="84" spans="1:37" ht="14.25">
      <c r="A84" s="2863" t="s">
        <v>2960</v>
      </c>
      <c r="B84" s="2867">
        <f>估价对象房地状况!G22</f>
        <v>0</v>
      </c>
      <c r="C84" s="2755"/>
      <c r="D84" s="1280">
        <f t="shared" si="25"/>
        <v>0</v>
      </c>
      <c r="E84" s="819"/>
      <c r="F84" s="2490"/>
      <c r="G84" s="1278"/>
      <c r="H84" s="1282" t="str">
        <f t="shared" si="26"/>
        <v>——</v>
      </c>
      <c r="I84" s="813">
        <v>0.04</v>
      </c>
      <c r="J84" s="1279">
        <f t="shared" si="27"/>
        <v>0</v>
      </c>
      <c r="K84" s="1279">
        <f t="shared" si="28"/>
        <v>0</v>
      </c>
      <c r="L84" s="1279">
        <v>0</v>
      </c>
      <c r="M84" s="1279">
        <f t="shared" si="29"/>
        <v>0</v>
      </c>
      <c r="N84" s="1279">
        <f t="shared" si="29"/>
        <v>0</v>
      </c>
      <c r="Z84" s="2705"/>
      <c r="AA84" s="2781"/>
      <c r="AG84" s="1366"/>
      <c r="AK84" s="2781"/>
    </row>
    <row r="85" spans="1:37" ht="24">
      <c r="A85" s="2863" t="s">
        <v>2952</v>
      </c>
      <c r="B85" s="1719">
        <f>估价对象房地状况!G19</f>
        <v>0</v>
      </c>
      <c r="C85" s="2755"/>
      <c r="D85" s="1280">
        <f t="shared" si="25"/>
        <v>0</v>
      </c>
      <c r="E85" s="819"/>
      <c r="F85" s="2490"/>
      <c r="G85" s="1278"/>
      <c r="H85" s="1282" t="str">
        <f t="shared" si="26"/>
        <v>——</v>
      </c>
      <c r="I85" s="813">
        <v>0.06</v>
      </c>
      <c r="J85" s="1279">
        <f t="shared" si="27"/>
        <v>0</v>
      </c>
      <c r="K85" s="1279">
        <f t="shared" si="28"/>
        <v>0</v>
      </c>
      <c r="L85" s="1279">
        <v>0</v>
      </c>
      <c r="M85" s="1279">
        <f t="shared" si="29"/>
        <v>0</v>
      </c>
      <c r="N85" s="1279">
        <f t="shared" si="29"/>
        <v>0</v>
      </c>
      <c r="Z85" s="2705"/>
      <c r="AA85" s="2781"/>
      <c r="AG85" s="1366"/>
      <c r="AK85" s="2781"/>
    </row>
    <row r="86" spans="1:37" ht="24">
      <c r="A86" s="2863" t="s">
        <v>2953</v>
      </c>
      <c r="B86" s="1719">
        <f>估价对象房地状况!G20</f>
        <v>0</v>
      </c>
      <c r="C86" s="2755"/>
      <c r="D86" s="1280">
        <f t="shared" si="25"/>
        <v>0</v>
      </c>
      <c r="E86" s="819"/>
      <c r="F86" s="2490"/>
      <c r="G86" s="1278"/>
      <c r="H86" s="1282" t="str">
        <f t="shared" si="26"/>
        <v>——</v>
      </c>
      <c r="I86" s="813">
        <v>0.15</v>
      </c>
      <c r="J86" s="1279">
        <f t="shared" si="27"/>
        <v>0</v>
      </c>
      <c r="K86" s="1279">
        <f t="shared" si="28"/>
        <v>0</v>
      </c>
      <c r="L86" s="1279">
        <v>0</v>
      </c>
      <c r="M86" s="1279">
        <f t="shared" si="29"/>
        <v>0</v>
      </c>
      <c r="N86" s="1279">
        <f t="shared" si="29"/>
        <v>0</v>
      </c>
      <c r="Z86" s="2705"/>
      <c r="AA86" s="2781"/>
      <c r="AG86" s="1366"/>
      <c r="AK86" s="2781"/>
    </row>
    <row r="87" spans="1:37" ht="24">
      <c r="A87" s="2863" t="s">
        <v>2950</v>
      </c>
      <c r="B87" s="2869" t="s">
        <v>2964</v>
      </c>
      <c r="C87" s="2755"/>
      <c r="D87" s="1280">
        <f t="shared" si="25"/>
        <v>0</v>
      </c>
      <c r="E87" s="819"/>
      <c r="F87" s="2490"/>
      <c r="G87" s="1278"/>
      <c r="H87" s="1282" t="str">
        <f t="shared" si="26"/>
        <v>——</v>
      </c>
      <c r="I87" s="813">
        <v>0.05</v>
      </c>
      <c r="J87" s="1279">
        <f t="shared" si="27"/>
        <v>0</v>
      </c>
      <c r="K87" s="1279">
        <f t="shared" si="28"/>
        <v>0</v>
      </c>
      <c r="L87" s="1279">
        <v>0</v>
      </c>
      <c r="M87" s="1279">
        <f t="shared" si="29"/>
        <v>0</v>
      </c>
      <c r="N87" s="1279">
        <f t="shared" si="29"/>
        <v>0</v>
      </c>
      <c r="Z87" s="2705"/>
      <c r="AA87" s="2781"/>
      <c r="AG87" s="1366"/>
      <c r="AK87" s="2781"/>
    </row>
    <row r="88" spans="1:37" ht="15" thickBot="1">
      <c r="A88" s="2871" t="s">
        <v>2965</v>
      </c>
      <c r="B88" s="2876">
        <f>估价对象房地状况!G18</f>
        <v>0</v>
      </c>
      <c r="C88" s="2755"/>
      <c r="D88" s="1280">
        <f t="shared" si="25"/>
        <v>0</v>
      </c>
      <c r="E88" s="820"/>
      <c r="F88" s="2490"/>
      <c r="G88" s="1278"/>
      <c r="H88" s="1282" t="str">
        <f t="shared" si="26"/>
        <v>——</v>
      </c>
      <c r="I88" s="817">
        <v>0.06</v>
      </c>
      <c r="J88" s="1279">
        <f t="shared" si="27"/>
        <v>0</v>
      </c>
      <c r="K88" s="1279">
        <f t="shared" si="28"/>
        <v>0</v>
      </c>
      <c r="L88" s="1279">
        <v>0</v>
      </c>
      <c r="M88" s="1279">
        <f t="shared" si="29"/>
        <v>0</v>
      </c>
      <c r="N88" s="1279">
        <f t="shared" si="29"/>
        <v>0</v>
      </c>
      <c r="Z88" s="2705"/>
      <c r="AA88" s="2781"/>
      <c r="AG88" s="1366"/>
      <c r="AK88" s="2781"/>
    </row>
    <row r="90" spans="1:37">
      <c r="A90" s="3417" t="s">
        <v>2966</v>
      </c>
      <c r="B90" s="3417"/>
      <c r="C90" s="3417"/>
      <c r="D90" s="3417"/>
      <c r="E90" s="3417"/>
      <c r="F90" s="3417"/>
      <c r="G90" s="3417"/>
      <c r="H90" s="3417"/>
      <c r="I90" s="3417"/>
      <c r="J90" s="3417"/>
      <c r="K90" s="2877"/>
      <c r="L90" s="2877"/>
      <c r="M90" s="2877"/>
      <c r="N90" s="2877"/>
    </row>
    <row r="91" spans="1:37">
      <c r="A91" s="3419" t="s">
        <v>2967</v>
      </c>
      <c r="B91" s="3419" t="s">
        <v>2968</v>
      </c>
      <c r="C91" s="2831" t="s">
        <v>2969</v>
      </c>
      <c r="D91" s="2832"/>
      <c r="E91" s="2832"/>
      <c r="F91" s="2832"/>
      <c r="G91" s="2832"/>
      <c r="H91" s="2832"/>
      <c r="I91" s="2832"/>
      <c r="J91" s="2878"/>
      <c r="K91" s="2879"/>
      <c r="L91" s="2879"/>
      <c r="M91" s="2879"/>
      <c r="N91" s="2879"/>
    </row>
    <row r="92" spans="1:37">
      <c r="A92" s="3419"/>
      <c r="B92" s="3419"/>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420"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21"/>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21"/>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21"/>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21"/>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21"/>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21"/>
      <c r="B99" s="2880" t="s">
        <v>2849</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22"/>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20" t="s">
        <v>2971</v>
      </c>
      <c r="B101" s="2884" t="s">
        <v>2972</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421"/>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421"/>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421"/>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421"/>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421"/>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421"/>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421"/>
      <c r="B108" s="3261"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22"/>
      <c r="B109" s="3262"/>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418" t="s">
        <v>2974</v>
      </c>
      <c r="B110" s="3418"/>
      <c r="C110" s="3418"/>
      <c r="D110" s="3418"/>
      <c r="E110" s="3418"/>
      <c r="F110" s="3418"/>
      <c r="G110" s="3418"/>
      <c r="H110" s="3418"/>
      <c r="I110" s="3418"/>
      <c r="J110" s="3418"/>
      <c r="K110" s="2886"/>
      <c r="L110" s="2886"/>
      <c r="M110" s="2886"/>
      <c r="N110" s="2886"/>
    </row>
    <row r="112" spans="1:14" ht="13.5" thickBot="1"/>
    <row r="113" spans="1:13" ht="25.5" thickBot="1">
      <c r="A113" s="896" t="s">
        <v>2975</v>
      </c>
      <c r="B113" s="1281" t="e">
        <f>G3</f>
        <v>#DIV/0!</v>
      </c>
      <c r="C113" s="897" t="s">
        <v>2976</v>
      </c>
      <c r="D113" s="898" t="e">
        <f>SUMPRODUCT((A115:A118=F113)*(B114:M114=H113)*B115:M118)</f>
        <v>#DIV/0!</v>
      </c>
      <c r="E113" s="2709" t="s">
        <v>2806</v>
      </c>
      <c r="F113" s="2888">
        <f>E2</f>
        <v>0</v>
      </c>
      <c r="G113" s="2709" t="s">
        <v>2807</v>
      </c>
      <c r="H113" s="2888">
        <f>G2</f>
        <v>0</v>
      </c>
      <c r="I113" s="2709"/>
      <c r="J113" s="2889"/>
      <c r="K113" s="2889"/>
      <c r="L113" s="2889"/>
      <c r="M113" s="2889"/>
    </row>
    <row r="114" spans="1:13">
      <c r="A114" s="901"/>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2" t="s">
        <v>2871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1620</v>
      </c>
      <c r="B1" s="1953"/>
      <c r="C1" s="1953"/>
      <c r="D1" s="1953"/>
      <c r="E1" s="1953"/>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955"/>
      <c r="B4" s="3080" t="s">
        <v>1629</v>
      </c>
      <c r="C4" s="3080"/>
      <c r="D4" s="3080"/>
      <c r="E4" s="1955"/>
    </row>
    <row r="5" spans="1:5" ht="16.5" thickTop="1">
      <c r="A5" s="1953"/>
      <c r="B5" s="3078" t="s">
        <v>1621</v>
      </c>
      <c r="C5" s="1956" t="s">
        <v>1622</v>
      </c>
      <c r="D5" s="1036">
        <f ca="1">结果表!H101</f>
        <v>32995</v>
      </c>
      <c r="E5" s="1953"/>
    </row>
    <row r="6" spans="1:5" ht="15.75">
      <c r="A6" s="1953"/>
      <c r="B6" s="3078"/>
      <c r="C6" s="1956" t="s">
        <v>1623</v>
      </c>
      <c r="D6" s="1036" t="str">
        <f ca="1">NUMBERSTRING(INT(D5*10000),2)&amp;"元整"</f>
        <v>叁亿贰仟玖佰玖拾伍万元整</v>
      </c>
      <c r="E6" s="1953"/>
    </row>
    <row r="7" spans="1:5" ht="15.75">
      <c r="A7" s="1953"/>
      <c r="B7" s="3083"/>
      <c r="C7" s="1957" t="s">
        <v>1624</v>
      </c>
      <c r="D7" s="1037">
        <f ca="1">结果表!H102</f>
        <v>19040</v>
      </c>
      <c r="E7" s="1953"/>
    </row>
    <row r="8" spans="1:5" ht="15.75">
      <c r="A8" s="1953"/>
      <c r="B8" s="3084" t="str">
        <f>结果表!E103</f>
        <v>2.估价师知悉的法定优先受偿款</v>
      </c>
      <c r="C8" s="1958" t="s">
        <v>1625</v>
      </c>
      <c r="D8" s="1037">
        <f>结果表!H103</f>
        <v>0</v>
      </c>
      <c r="E8" s="1953"/>
    </row>
    <row r="9" spans="1:5" ht="15.75">
      <c r="A9" s="1953"/>
      <c r="B9" s="3086"/>
      <c r="C9" s="1956" t="s">
        <v>1623</v>
      </c>
      <c r="D9" s="1036" t="str">
        <f>NUMBERSTRING(INT(D8*10000),2)&amp;"元整"</f>
        <v>零元整</v>
      </c>
      <c r="E9" s="1953"/>
    </row>
    <row r="10" spans="1:5" ht="15">
      <c r="A10" s="1953"/>
      <c r="B10" s="1959" t="s">
        <v>1628</v>
      </c>
      <c r="C10" s="1960" t="s">
        <v>1626</v>
      </c>
      <c r="D10" s="1038">
        <f>结果表!H104</f>
        <v>0</v>
      </c>
      <c r="E10" s="1953"/>
    </row>
    <row r="11" spans="1:5" ht="15">
      <c r="A11" s="1953"/>
      <c r="B11" s="1959" t="s">
        <v>1630</v>
      </c>
      <c r="C11" s="1960" t="s">
        <v>1631</v>
      </c>
      <c r="D11" s="1038">
        <f>结果表!H105</f>
        <v>0</v>
      </c>
      <c r="E11" s="1953"/>
    </row>
    <row r="12" spans="1:5" ht="15">
      <c r="A12" s="1953"/>
      <c r="B12" s="1959" t="s">
        <v>1632</v>
      </c>
      <c r="C12" s="1960" t="s">
        <v>1631</v>
      </c>
      <c r="D12" s="1038">
        <f>结果表!H106</f>
        <v>0</v>
      </c>
      <c r="E12" s="1953"/>
    </row>
    <row r="13" spans="1:5" ht="15.75">
      <c r="A13" s="1953"/>
      <c r="B13" s="3077" t="str">
        <f>结果表!E107</f>
        <v>3.房地产抵押价值</v>
      </c>
      <c r="C13" s="1961" t="s">
        <v>1622</v>
      </c>
      <c r="D13" s="1039">
        <f ca="1">结果表!H107</f>
        <v>32995</v>
      </c>
      <c r="E13" s="1953"/>
    </row>
    <row r="14" spans="1:5" ht="15.75">
      <c r="A14" s="1953"/>
      <c r="B14" s="3078"/>
      <c r="C14" s="1956" t="s">
        <v>1623</v>
      </c>
      <c r="D14" s="1036" t="str">
        <f ca="1">NUMBERSTRING(INT(D13*10000),2)&amp;"元整"</f>
        <v>叁亿贰仟玖佰玖拾伍万元整</v>
      </c>
      <c r="E14" s="1953"/>
    </row>
    <row r="15" spans="1:5" ht="15">
      <c r="A15" s="1953"/>
      <c r="B15" s="3083"/>
      <c r="C15" s="1957" t="s">
        <v>1633</v>
      </c>
      <c r="D15" s="1048">
        <f ca="1">结果表!H108</f>
        <v>19040</v>
      </c>
      <c r="E15" s="1953"/>
    </row>
    <row r="16" spans="1:5" ht="15">
      <c r="A16" s="1953"/>
      <c r="B16" s="3084" t="str">
        <f>结果表!E109</f>
        <v>——</v>
      </c>
      <c r="C16" s="1961" t="s">
        <v>1634</v>
      </c>
      <c r="D16" s="1962" t="str">
        <f>结果表!H109</f>
        <v>——</v>
      </c>
      <c r="E16" s="1953"/>
    </row>
    <row r="17" spans="1:5" ht="15.75">
      <c r="A17" s="1953"/>
      <c r="B17" s="3085"/>
      <c r="C17" s="1956" t="s">
        <v>1635</v>
      </c>
      <c r="D17" s="1036" t="e">
        <f>NUMBERSTRING(INT(D16*10000),2)&amp;"元整"</f>
        <v>#VALUE!</v>
      </c>
      <c r="E17" s="1953"/>
    </row>
    <row r="18" spans="1:5" ht="15">
      <c r="A18" s="1953"/>
      <c r="B18" s="3086"/>
      <c r="C18" s="1957" t="s">
        <v>1624</v>
      </c>
      <c r="D18" s="1048" t="str">
        <f>结果表!H110</f>
        <v>——</v>
      </c>
      <c r="E18" s="1953"/>
    </row>
    <row r="19" spans="1:5" ht="15.75">
      <c r="A19" s="1953"/>
      <c r="B19" s="3077" t="str">
        <f>结果表!E111</f>
        <v>——</v>
      </c>
      <c r="C19" s="1961" t="s">
        <v>1622</v>
      </c>
      <c r="D19" s="1037" t="str">
        <f>结果表!H111</f>
        <v>——</v>
      </c>
      <c r="E19" s="1953"/>
    </row>
    <row r="20" spans="1:5" ht="15.75">
      <c r="A20" s="1953"/>
      <c r="B20" s="3078"/>
      <c r="C20" s="1956" t="s">
        <v>1635</v>
      </c>
      <c r="D20" s="1036" t="e">
        <f>NUMBERSTRING(INT(D19*10000),2)&amp;"元整"</f>
        <v>#VALUE!</v>
      </c>
      <c r="E20" s="1953"/>
    </row>
    <row r="21" spans="1:5" ht="15.75" thickBot="1">
      <c r="A21" s="1953"/>
      <c r="B21" s="3079"/>
      <c r="C21" s="1963" t="s">
        <v>1633</v>
      </c>
      <c r="D21" s="1049" t="str">
        <f>结果表!H112</f>
        <v>——</v>
      </c>
      <c r="E21" s="1953"/>
    </row>
    <row r="22" spans="1:5" ht="15" thickTop="1">
      <c r="A22" s="1953"/>
      <c r="B22" s="1964" t="s">
        <v>1636</v>
      </c>
      <c r="C22" s="1953"/>
      <c r="D22" s="1953"/>
      <c r="E22" s="1953"/>
    </row>
    <row r="23" spans="1:5">
      <c r="A23" s="1953"/>
      <c r="B23" s="1953"/>
      <c r="C23" s="1953"/>
      <c r="D23" s="1953"/>
      <c r="E23" s="1953"/>
    </row>
    <row r="24" spans="1:5" ht="18.75">
      <c r="A24" s="1965"/>
      <c r="B24" s="1966" t="s">
        <v>1627</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6" t="s">
        <v>183</v>
      </c>
      <c r="B18" s="875" t="s">
        <v>560</v>
      </c>
      <c r="C18" s="876" t="s">
        <v>561</v>
      </c>
      <c r="D18" s="877"/>
      <c r="E18" s="875">
        <v>1</v>
      </c>
      <c r="F18" s="878" t="s">
        <v>562</v>
      </c>
      <c r="G18" s="879"/>
      <c r="H18" s="871"/>
      <c r="I18" s="871"/>
    </row>
    <row r="19" spans="1:9" s="880" customFormat="1" ht="19.5" customHeight="1">
      <c r="A19" s="3426"/>
      <c r="B19" s="3426" t="s">
        <v>563</v>
      </c>
      <c r="C19" s="876" t="s">
        <v>564</v>
      </c>
      <c r="D19" s="877"/>
      <c r="E19" s="875">
        <v>0.9</v>
      </c>
      <c r="F19" s="878" t="s">
        <v>565</v>
      </c>
      <c r="G19" s="879"/>
      <c r="H19" s="871"/>
      <c r="I19" s="871"/>
    </row>
    <row r="20" spans="1:9" s="880" customFormat="1" ht="19.5" customHeight="1">
      <c r="A20" s="3426"/>
      <c r="B20" s="3426"/>
      <c r="C20" s="876" t="s">
        <v>566</v>
      </c>
      <c r="D20" s="877"/>
      <c r="E20" s="875">
        <v>1.1000000000000001</v>
      </c>
      <c r="F20" s="878" t="s">
        <v>567</v>
      </c>
      <c r="G20" s="879"/>
      <c r="H20" s="871"/>
      <c r="I20" s="871"/>
    </row>
    <row r="21" spans="1:9" s="880" customFormat="1" ht="19.5" customHeight="1">
      <c r="A21" s="3426"/>
      <c r="B21" s="3426"/>
      <c r="C21" s="876" t="s">
        <v>568</v>
      </c>
      <c r="D21" s="877"/>
      <c r="E21" s="875">
        <v>0.8</v>
      </c>
      <c r="F21" s="878" t="s">
        <v>569</v>
      </c>
      <c r="G21" s="879"/>
      <c r="H21" s="871"/>
      <c r="I21" s="871"/>
    </row>
    <row r="22" spans="1:9" s="880" customFormat="1" ht="19.5" customHeight="1">
      <c r="A22" s="3426"/>
      <c r="B22" s="3426"/>
      <c r="C22" s="876" t="s">
        <v>570</v>
      </c>
      <c r="D22" s="877"/>
      <c r="E22" s="875">
        <v>0.5</v>
      </c>
      <c r="F22" s="878"/>
      <c r="G22" s="879"/>
      <c r="H22" s="871"/>
      <c r="I22" s="871"/>
    </row>
    <row r="23" spans="1:9" s="880" customFormat="1" ht="19.5" customHeight="1">
      <c r="A23" s="3426" t="s">
        <v>184</v>
      </c>
      <c r="B23" s="875" t="s">
        <v>560</v>
      </c>
      <c r="C23" s="876" t="s">
        <v>571</v>
      </c>
      <c r="D23" s="877"/>
      <c r="E23" s="875">
        <v>1</v>
      </c>
      <c r="F23" s="878" t="s">
        <v>572</v>
      </c>
      <c r="G23" s="879"/>
      <c r="H23" s="871"/>
      <c r="I23" s="871"/>
    </row>
    <row r="24" spans="1:9" s="880" customFormat="1" ht="19.5" customHeight="1">
      <c r="A24" s="3426"/>
      <c r="B24" s="3426" t="s">
        <v>563</v>
      </c>
      <c r="C24" s="876" t="s">
        <v>573</v>
      </c>
      <c r="D24" s="877"/>
      <c r="E24" s="875">
        <v>0.5</v>
      </c>
      <c r="F24" s="878"/>
      <c r="G24" s="879"/>
      <c r="H24" s="871"/>
      <c r="I24" s="871"/>
    </row>
    <row r="25" spans="1:9" s="880" customFormat="1" ht="19.5" customHeight="1">
      <c r="A25" s="3426"/>
      <c r="B25" s="3426"/>
      <c r="C25" s="876" t="s">
        <v>574</v>
      </c>
      <c r="D25" s="877"/>
      <c r="E25" s="875">
        <v>1.1000000000000001</v>
      </c>
      <c r="F25" s="878"/>
      <c r="G25" s="879"/>
      <c r="H25" s="871"/>
      <c r="I25" s="871"/>
    </row>
    <row r="26" spans="1:9" s="880" customFormat="1" ht="19.5" customHeight="1">
      <c r="A26" s="3426"/>
      <c r="B26" s="3426"/>
      <c r="C26" s="876" t="s">
        <v>575</v>
      </c>
      <c r="D26" s="877"/>
      <c r="E26" s="875">
        <v>1.1000000000000001</v>
      </c>
      <c r="F26" s="878"/>
      <c r="G26" s="879"/>
      <c r="H26" s="871"/>
      <c r="I26" s="871"/>
    </row>
    <row r="27" spans="1:9" s="880" customFormat="1" ht="19.5" customHeight="1">
      <c r="A27" s="3426"/>
      <c r="B27" s="3426"/>
      <c r="C27" s="876" t="s">
        <v>576</v>
      </c>
      <c r="D27" s="877"/>
      <c r="E27" s="875">
        <v>0.9</v>
      </c>
      <c r="F27" s="878" t="s">
        <v>577</v>
      </c>
      <c r="G27" s="879"/>
      <c r="H27" s="871"/>
      <c r="I27" s="871"/>
    </row>
    <row r="28" spans="1:9" s="880" customFormat="1" ht="19.5" customHeight="1">
      <c r="A28" s="3426"/>
      <c r="B28" s="3426"/>
      <c r="C28" s="876" t="s">
        <v>578</v>
      </c>
      <c r="D28" s="877"/>
      <c r="E28" s="875">
        <v>0.9</v>
      </c>
      <c r="F28" s="878" t="s">
        <v>579</v>
      </c>
      <c r="G28" s="879"/>
      <c r="H28" s="871"/>
      <c r="I28" s="871"/>
    </row>
    <row r="29" spans="1:9" s="880" customFormat="1" ht="19.5" customHeight="1">
      <c r="A29" s="3426"/>
      <c r="B29" s="3426"/>
      <c r="C29" s="876" t="s">
        <v>580</v>
      </c>
      <c r="D29" s="877"/>
      <c r="E29" s="875">
        <v>0.9</v>
      </c>
      <c r="F29" s="878" t="s">
        <v>581</v>
      </c>
      <c r="G29" s="879"/>
      <c r="H29" s="871"/>
      <c r="I29" s="871"/>
    </row>
    <row r="30" spans="1:9" s="880" customFormat="1" ht="19.5" customHeight="1">
      <c r="A30" s="3426"/>
      <c r="B30" s="3426"/>
      <c r="C30" s="876" t="s">
        <v>582</v>
      </c>
      <c r="D30" s="877"/>
      <c r="E30" s="875">
        <v>0.9</v>
      </c>
      <c r="F30" s="878" t="s">
        <v>583</v>
      </c>
      <c r="G30" s="879"/>
      <c r="H30" s="871"/>
      <c r="I30" s="871"/>
    </row>
    <row r="31" spans="1:9" s="880" customFormat="1" ht="19.5" customHeight="1">
      <c r="A31" s="3426"/>
      <c r="B31" s="3426"/>
      <c r="C31" s="876" t="s">
        <v>584</v>
      </c>
      <c r="D31" s="877"/>
      <c r="E31" s="875">
        <v>0.8</v>
      </c>
      <c r="F31" s="878" t="s">
        <v>585</v>
      </c>
      <c r="G31" s="879"/>
      <c r="H31" s="871"/>
      <c r="I31" s="871"/>
    </row>
    <row r="32" spans="1:9" s="880" customFormat="1" ht="19.5" customHeight="1">
      <c r="A32" s="3426"/>
      <c r="B32" s="3426"/>
      <c r="C32" s="876" t="s">
        <v>586</v>
      </c>
      <c r="D32" s="877"/>
      <c r="E32" s="875">
        <v>0.8</v>
      </c>
      <c r="F32" s="878" t="s">
        <v>587</v>
      </c>
      <c r="G32" s="879"/>
      <c r="H32" s="871"/>
      <c r="I32" s="871"/>
    </row>
    <row r="33" spans="1:9" s="880" customFormat="1" ht="19.5" customHeight="1">
      <c r="A33" s="3426" t="s">
        <v>185</v>
      </c>
      <c r="B33" s="875" t="s">
        <v>560</v>
      </c>
      <c r="C33" s="876" t="s">
        <v>588</v>
      </c>
      <c r="D33" s="877"/>
      <c r="E33" s="875">
        <v>1</v>
      </c>
      <c r="F33" s="878" t="s">
        <v>589</v>
      </c>
      <c r="G33" s="879"/>
      <c r="H33" s="871"/>
      <c r="I33" s="871"/>
    </row>
    <row r="34" spans="1:9" s="880" customFormat="1" ht="19.5" customHeight="1">
      <c r="A34" s="3426"/>
      <c r="B34" s="875" t="s">
        <v>563</v>
      </c>
      <c r="C34" s="876" t="s">
        <v>590</v>
      </c>
      <c r="D34" s="877"/>
      <c r="E34" s="875">
        <v>1.5</v>
      </c>
      <c r="F34" s="878" t="s">
        <v>591</v>
      </c>
      <c r="G34" s="879"/>
      <c r="H34" s="871"/>
      <c r="I34" s="871"/>
    </row>
    <row r="35" spans="1:9" s="880" customFormat="1" ht="19.5" customHeight="1">
      <c r="A35" s="3426" t="s">
        <v>186</v>
      </c>
      <c r="B35" s="875" t="s">
        <v>560</v>
      </c>
      <c r="C35" s="876" t="s">
        <v>592</v>
      </c>
      <c r="D35" s="877"/>
      <c r="E35" s="875">
        <v>1</v>
      </c>
      <c r="F35" s="878" t="s">
        <v>593</v>
      </c>
      <c r="G35" s="879"/>
      <c r="H35" s="871"/>
      <c r="I35" s="871"/>
    </row>
    <row r="36" spans="1:9" s="880" customFormat="1" ht="19.5" customHeight="1">
      <c r="A36" s="3426"/>
      <c r="B36" s="3426" t="s">
        <v>563</v>
      </c>
      <c r="C36" s="876" t="s">
        <v>594</v>
      </c>
      <c r="D36" s="877"/>
      <c r="E36" s="875">
        <v>1</v>
      </c>
      <c r="F36" s="878" t="s">
        <v>595</v>
      </c>
      <c r="G36" s="879"/>
      <c r="H36" s="871"/>
      <c r="I36" s="871"/>
    </row>
    <row r="37" spans="1:9" s="880" customFormat="1" ht="19.5" customHeight="1">
      <c r="A37" s="3426"/>
      <c r="B37" s="3426"/>
      <c r="C37" s="876" t="s">
        <v>596</v>
      </c>
      <c r="D37" s="877"/>
      <c r="E37" s="875">
        <v>1.5</v>
      </c>
      <c r="F37" s="878" t="s">
        <v>597</v>
      </c>
      <c r="G37" s="879"/>
      <c r="H37" s="871"/>
      <c r="I37" s="871"/>
    </row>
    <row r="38" spans="1:9" s="880" customFormat="1" ht="19.5" customHeight="1">
      <c r="A38" s="3426"/>
      <c r="B38" s="3426"/>
      <c r="C38" s="876" t="s">
        <v>598</v>
      </c>
      <c r="D38" s="877"/>
      <c r="E38" s="875">
        <v>1</v>
      </c>
      <c r="F38" s="878" t="s">
        <v>599</v>
      </c>
      <c r="G38" s="879"/>
      <c r="H38" s="871"/>
      <c r="I38" s="871"/>
    </row>
    <row r="39" spans="1:9" s="880" customFormat="1" ht="19.5" customHeight="1">
      <c r="A39" s="3426"/>
      <c r="B39" s="342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6" t="s">
        <v>614</v>
      </c>
      <c r="C61" s="811" t="s">
        <v>615</v>
      </c>
      <c r="D61" s="811" t="s">
        <v>616</v>
      </c>
      <c r="E61" s="888">
        <v>0.5</v>
      </c>
      <c r="F61" s="875">
        <v>80</v>
      </c>
    </row>
    <row r="62" spans="1:8" s="871" customFormat="1" ht="24">
      <c r="A62" s="875">
        <v>2</v>
      </c>
      <c r="B62" s="3426"/>
      <c r="C62" s="811" t="s">
        <v>617</v>
      </c>
      <c r="D62" s="811" t="s">
        <v>618</v>
      </c>
      <c r="E62" s="888">
        <v>0.5</v>
      </c>
      <c r="F62" s="875">
        <v>80</v>
      </c>
    </row>
    <row r="63" spans="1:8" s="871" customFormat="1" ht="36">
      <c r="A63" s="875">
        <v>3</v>
      </c>
      <c r="B63" s="3426"/>
      <c r="C63" s="811" t="s">
        <v>619</v>
      </c>
      <c r="D63" s="811" t="s">
        <v>620</v>
      </c>
      <c r="E63" s="888">
        <v>0.5</v>
      </c>
      <c r="F63" s="875">
        <v>80</v>
      </c>
    </row>
    <row r="64" spans="1:8" s="871" customFormat="1" ht="36">
      <c r="A64" s="875">
        <v>4</v>
      </c>
      <c r="B64" s="3426"/>
      <c r="C64" s="811" t="s">
        <v>621</v>
      </c>
      <c r="D64" s="811" t="s">
        <v>622</v>
      </c>
      <c r="E64" s="888">
        <v>0.4</v>
      </c>
      <c r="F64" s="875">
        <v>60</v>
      </c>
    </row>
    <row r="65" spans="1:6" s="871" customFormat="1" ht="36">
      <c r="A65" s="875">
        <v>5</v>
      </c>
      <c r="B65" s="3426"/>
      <c r="C65" s="811" t="s">
        <v>623</v>
      </c>
      <c r="D65" s="811" t="s">
        <v>624</v>
      </c>
      <c r="E65" s="888">
        <v>0.2</v>
      </c>
      <c r="F65" s="875">
        <v>30</v>
      </c>
    </row>
    <row r="66" spans="1:6" s="871" customFormat="1" ht="36">
      <c r="A66" s="875">
        <v>6</v>
      </c>
      <c r="B66" s="3426"/>
      <c r="C66" s="811" t="s">
        <v>625</v>
      </c>
      <c r="D66" s="811" t="s">
        <v>626</v>
      </c>
      <c r="E66" s="888">
        <v>0.3</v>
      </c>
      <c r="F66" s="875">
        <v>50</v>
      </c>
    </row>
    <row r="67" spans="1:6" s="871" customFormat="1" ht="36">
      <c r="A67" s="875">
        <v>7</v>
      </c>
      <c r="B67" s="3426"/>
      <c r="C67" s="811" t="s">
        <v>627</v>
      </c>
      <c r="D67" s="811" t="s">
        <v>628</v>
      </c>
      <c r="E67" s="888">
        <v>0.2</v>
      </c>
      <c r="F67" s="875">
        <v>30</v>
      </c>
    </row>
    <row r="68" spans="1:6" s="871" customFormat="1" ht="36">
      <c r="A68" s="875">
        <v>8</v>
      </c>
      <c r="B68" s="3426"/>
      <c r="C68" s="811" t="s">
        <v>629</v>
      </c>
      <c r="D68" s="811" t="s">
        <v>630</v>
      </c>
      <c r="E68" s="888">
        <v>0.2</v>
      </c>
      <c r="F68" s="875">
        <v>30</v>
      </c>
    </row>
    <row r="69" spans="1:6" s="871" customFormat="1" ht="36">
      <c r="A69" s="875">
        <v>9</v>
      </c>
      <c r="B69" s="3426"/>
      <c r="C69" s="811" t="s">
        <v>631</v>
      </c>
      <c r="D69" s="811" t="s">
        <v>632</v>
      </c>
      <c r="E69" s="888">
        <v>0.2</v>
      </c>
      <c r="F69" s="875">
        <v>30</v>
      </c>
    </row>
    <row r="70" spans="1:6" s="871" customFormat="1" ht="48">
      <c r="A70" s="875">
        <v>10</v>
      </c>
      <c r="B70" s="3426"/>
      <c r="C70" s="811" t="s">
        <v>633</v>
      </c>
      <c r="D70" s="811" t="s">
        <v>634</v>
      </c>
      <c r="E70" s="888">
        <v>0.2</v>
      </c>
      <c r="F70" s="875">
        <v>30</v>
      </c>
    </row>
    <row r="71" spans="1:6" s="871" customFormat="1" ht="48">
      <c r="A71" s="875">
        <v>11</v>
      </c>
      <c r="B71" s="3426"/>
      <c r="C71" s="811" t="s">
        <v>635</v>
      </c>
      <c r="D71" s="811" t="s">
        <v>636</v>
      </c>
      <c r="E71" s="888">
        <v>0.2</v>
      </c>
      <c r="F71" s="875">
        <v>30</v>
      </c>
    </row>
    <row r="72" spans="1:6" s="871" customFormat="1" ht="36">
      <c r="A72" s="875">
        <v>12</v>
      </c>
      <c r="B72" s="3426"/>
      <c r="C72" s="811" t="s">
        <v>637</v>
      </c>
      <c r="D72" s="811" t="s">
        <v>638</v>
      </c>
      <c r="E72" s="888">
        <v>0.5</v>
      </c>
      <c r="F72" s="875">
        <v>80</v>
      </c>
    </row>
    <row r="73" spans="1:6" s="871" customFormat="1" ht="24">
      <c r="A73" s="875">
        <v>13</v>
      </c>
      <c r="B73" s="3426"/>
      <c r="C73" s="811" t="s">
        <v>639</v>
      </c>
      <c r="D73" s="811" t="s">
        <v>640</v>
      </c>
      <c r="E73" s="888">
        <v>0.4</v>
      </c>
      <c r="F73" s="875">
        <v>60</v>
      </c>
    </row>
    <row r="74" spans="1:6" s="871" customFormat="1" ht="24">
      <c r="A74" s="875">
        <v>14</v>
      </c>
      <c r="B74" s="3426"/>
      <c r="C74" s="811" t="s">
        <v>641</v>
      </c>
      <c r="D74" s="811" t="s">
        <v>642</v>
      </c>
      <c r="E74" s="888">
        <v>0.2</v>
      </c>
      <c r="F74" s="875">
        <v>30</v>
      </c>
    </row>
    <row r="75" spans="1:6" s="871" customFormat="1" ht="24">
      <c r="A75" s="875">
        <v>15</v>
      </c>
      <c r="B75" s="3426"/>
      <c r="C75" s="811" t="s">
        <v>643</v>
      </c>
      <c r="D75" s="811" t="s">
        <v>644</v>
      </c>
      <c r="E75" s="888">
        <v>0.2</v>
      </c>
      <c r="F75" s="875">
        <v>30</v>
      </c>
    </row>
    <row r="76" spans="1:6" s="871" customFormat="1" ht="24">
      <c r="A76" s="875">
        <v>16</v>
      </c>
      <c r="B76" s="3426" t="s">
        <v>645</v>
      </c>
      <c r="C76" s="811" t="s">
        <v>646</v>
      </c>
      <c r="D76" s="811" t="s">
        <v>647</v>
      </c>
      <c r="E76" s="888">
        <v>0.5</v>
      </c>
      <c r="F76" s="875">
        <v>80</v>
      </c>
    </row>
    <row r="77" spans="1:6" s="871" customFormat="1" ht="24">
      <c r="A77" s="875">
        <v>17</v>
      </c>
      <c r="B77" s="3426"/>
      <c r="C77" s="811" t="s">
        <v>648</v>
      </c>
      <c r="D77" s="811" t="s">
        <v>649</v>
      </c>
      <c r="E77" s="888">
        <v>0.5</v>
      </c>
      <c r="F77" s="875">
        <v>80</v>
      </c>
    </row>
    <row r="78" spans="1:6" s="871" customFormat="1" ht="24">
      <c r="A78" s="875">
        <v>18</v>
      </c>
      <c r="B78" s="3426"/>
      <c r="C78" s="811" t="s">
        <v>650</v>
      </c>
      <c r="D78" s="811" t="s">
        <v>651</v>
      </c>
      <c r="E78" s="888">
        <v>0.2</v>
      </c>
      <c r="F78" s="875">
        <v>30</v>
      </c>
    </row>
    <row r="79" spans="1:6" s="871" customFormat="1" ht="24">
      <c r="A79" s="875">
        <v>19</v>
      </c>
      <c r="B79" s="3426"/>
      <c r="C79" s="811" t="s">
        <v>652</v>
      </c>
      <c r="D79" s="811" t="s">
        <v>653</v>
      </c>
      <c r="E79" s="888">
        <v>0.5</v>
      </c>
      <c r="F79" s="875">
        <v>80</v>
      </c>
    </row>
    <row r="80" spans="1:6" s="871" customFormat="1" ht="36">
      <c r="A80" s="875">
        <v>20</v>
      </c>
      <c r="B80" s="3426"/>
      <c r="C80" s="811" t="s">
        <v>654</v>
      </c>
      <c r="D80" s="811" t="s">
        <v>655</v>
      </c>
      <c r="E80" s="888">
        <v>0.2</v>
      </c>
      <c r="F80" s="875">
        <v>30</v>
      </c>
    </row>
    <row r="81" spans="1:6" s="871" customFormat="1" ht="36">
      <c r="A81" s="875">
        <v>21</v>
      </c>
      <c r="B81" s="3426"/>
      <c r="C81" s="811" t="s">
        <v>656</v>
      </c>
      <c r="D81" s="811" t="s">
        <v>657</v>
      </c>
      <c r="E81" s="888">
        <v>0.2</v>
      </c>
      <c r="F81" s="875">
        <v>30</v>
      </c>
    </row>
    <row r="82" spans="1:6" s="871" customFormat="1" ht="48">
      <c r="A82" s="875">
        <v>22</v>
      </c>
      <c r="B82" s="3426"/>
      <c r="C82" s="811" t="s">
        <v>658</v>
      </c>
      <c r="D82" s="811" t="s">
        <v>659</v>
      </c>
      <c r="E82" s="888">
        <v>0.2</v>
      </c>
      <c r="F82" s="875">
        <v>30</v>
      </c>
    </row>
    <row r="83" spans="1:6" s="871" customFormat="1" ht="48">
      <c r="A83" s="875">
        <v>23</v>
      </c>
      <c r="B83" s="3426"/>
      <c r="C83" s="811" t="s">
        <v>660</v>
      </c>
      <c r="D83" s="811" t="s">
        <v>661</v>
      </c>
      <c r="E83" s="888">
        <v>0.2</v>
      </c>
      <c r="F83" s="875">
        <v>30</v>
      </c>
    </row>
    <row r="84" spans="1:6" s="871" customFormat="1" ht="36">
      <c r="A84" s="875">
        <v>24</v>
      </c>
      <c r="B84" s="3426"/>
      <c r="C84" s="811" t="s">
        <v>662</v>
      </c>
      <c r="D84" s="811" t="s">
        <v>663</v>
      </c>
      <c r="E84" s="888">
        <v>0.2</v>
      </c>
      <c r="F84" s="875">
        <v>30</v>
      </c>
    </row>
    <row r="85" spans="1:6" s="871" customFormat="1" ht="36">
      <c r="A85" s="875">
        <v>25</v>
      </c>
      <c r="B85" s="3426"/>
      <c r="C85" s="811" t="s">
        <v>664</v>
      </c>
      <c r="D85" s="811" t="s">
        <v>665</v>
      </c>
      <c r="E85" s="888">
        <v>0.5</v>
      </c>
      <c r="F85" s="875">
        <v>80</v>
      </c>
    </row>
    <row r="86" spans="1:6" s="871" customFormat="1" ht="36">
      <c r="A86" s="875">
        <v>26</v>
      </c>
      <c r="B86" s="3426"/>
      <c r="C86" s="811" t="s">
        <v>666</v>
      </c>
      <c r="D86" s="811" t="s">
        <v>667</v>
      </c>
      <c r="E86" s="888">
        <v>0.2</v>
      </c>
      <c r="F86" s="875">
        <v>30</v>
      </c>
    </row>
    <row r="87" spans="1:6" s="871" customFormat="1" ht="36">
      <c r="A87" s="875">
        <v>27</v>
      </c>
      <c r="B87" s="3426"/>
      <c r="C87" s="811" t="s">
        <v>668</v>
      </c>
      <c r="D87" s="811" t="s">
        <v>669</v>
      </c>
      <c r="E87" s="888">
        <v>0.2</v>
      </c>
      <c r="F87" s="875">
        <v>30</v>
      </c>
    </row>
    <row r="88" spans="1:6" s="871" customFormat="1" ht="36">
      <c r="A88" s="875">
        <v>28</v>
      </c>
      <c r="B88" s="3426"/>
      <c r="C88" s="811" t="s">
        <v>670</v>
      </c>
      <c r="D88" s="811" t="s">
        <v>671</v>
      </c>
      <c r="E88" s="888">
        <v>0.2</v>
      </c>
      <c r="F88" s="875">
        <v>30</v>
      </c>
    </row>
    <row r="89" spans="1:6" s="871" customFormat="1" ht="24">
      <c r="A89" s="875">
        <v>29</v>
      </c>
      <c r="B89" s="3426"/>
      <c r="C89" s="811" t="s">
        <v>672</v>
      </c>
      <c r="D89" s="811" t="s">
        <v>673</v>
      </c>
      <c r="E89" s="888">
        <v>0.2</v>
      </c>
      <c r="F89" s="875">
        <v>30</v>
      </c>
    </row>
    <row r="90" spans="1:6" s="871" customFormat="1" ht="24">
      <c r="A90" s="875">
        <v>30</v>
      </c>
      <c r="B90" s="3426"/>
      <c r="C90" s="811" t="s">
        <v>674</v>
      </c>
      <c r="D90" s="811" t="s">
        <v>675</v>
      </c>
      <c r="E90" s="888">
        <v>0.2</v>
      </c>
      <c r="F90" s="875">
        <v>30</v>
      </c>
    </row>
    <row r="91" spans="1:6" s="871" customFormat="1" ht="36">
      <c r="A91" s="875">
        <v>31</v>
      </c>
      <c r="B91" s="3426"/>
      <c r="C91" s="811" t="s">
        <v>676</v>
      </c>
      <c r="D91" s="811" t="s">
        <v>677</v>
      </c>
      <c r="E91" s="888">
        <v>0.2</v>
      </c>
      <c r="F91" s="875">
        <v>30</v>
      </c>
    </row>
    <row r="92" spans="1:6" s="871" customFormat="1" ht="24">
      <c r="A92" s="875">
        <v>32</v>
      </c>
      <c r="B92" s="3426" t="s">
        <v>678</v>
      </c>
      <c r="C92" s="875" t="s">
        <v>679</v>
      </c>
      <c r="D92" s="811" t="s">
        <v>680</v>
      </c>
      <c r="E92" s="888">
        <v>0.2</v>
      </c>
      <c r="F92" s="875">
        <v>30</v>
      </c>
    </row>
    <row r="93" spans="1:6" s="871" customFormat="1" ht="36">
      <c r="A93" s="875">
        <v>33</v>
      </c>
      <c r="B93" s="3426"/>
      <c r="C93" s="875" t="s">
        <v>681</v>
      </c>
      <c r="D93" s="811" t="s">
        <v>682</v>
      </c>
      <c r="E93" s="888">
        <v>0.2</v>
      </c>
      <c r="F93" s="875">
        <v>30</v>
      </c>
    </row>
    <row r="94" spans="1:6" s="871" customFormat="1" ht="48">
      <c r="A94" s="875">
        <v>34</v>
      </c>
      <c r="B94" s="3426"/>
      <c r="C94" s="875" t="s">
        <v>683</v>
      </c>
      <c r="D94" s="811" t="s">
        <v>684</v>
      </c>
      <c r="E94" s="888">
        <v>0.2</v>
      </c>
      <c r="F94" s="875">
        <v>30</v>
      </c>
    </row>
    <row r="95" spans="1:6" s="871" customFormat="1" ht="36">
      <c r="A95" s="875">
        <v>35</v>
      </c>
      <c r="B95" s="3426"/>
      <c r="C95" s="875" t="s">
        <v>685</v>
      </c>
      <c r="D95" s="811" t="s">
        <v>686</v>
      </c>
      <c r="E95" s="888">
        <v>0.2</v>
      </c>
      <c r="F95" s="875">
        <v>30</v>
      </c>
    </row>
    <row r="96" spans="1:6" s="871" customFormat="1" ht="48">
      <c r="A96" s="875">
        <v>36</v>
      </c>
      <c r="B96" s="3426"/>
      <c r="C96" s="811" t="s">
        <v>687</v>
      </c>
      <c r="D96" s="811" t="s">
        <v>688</v>
      </c>
      <c r="E96" s="888">
        <v>0.2</v>
      </c>
      <c r="F96" s="875">
        <v>30</v>
      </c>
    </row>
    <row r="97" spans="1:6" s="871" customFormat="1" ht="36">
      <c r="A97" s="875">
        <v>37</v>
      </c>
      <c r="B97" s="3426"/>
      <c r="C97" s="875" t="s">
        <v>689</v>
      </c>
      <c r="D97" s="811" t="s">
        <v>690</v>
      </c>
      <c r="E97" s="888">
        <v>0.2</v>
      </c>
      <c r="F97" s="875">
        <v>30</v>
      </c>
    </row>
    <row r="98" spans="1:6" s="871" customFormat="1" ht="36">
      <c r="A98" s="875">
        <v>38</v>
      </c>
      <c r="B98" s="3426"/>
      <c r="C98" s="875" t="s">
        <v>691</v>
      </c>
      <c r="D98" s="811" t="s">
        <v>692</v>
      </c>
      <c r="E98" s="888">
        <v>0.2</v>
      </c>
      <c r="F98" s="875">
        <v>30</v>
      </c>
    </row>
    <row r="99" spans="1:6" s="871" customFormat="1" ht="36">
      <c r="A99" s="875">
        <v>39</v>
      </c>
      <c r="B99" s="3426" t="s">
        <v>693</v>
      </c>
      <c r="C99" s="875" t="s">
        <v>694</v>
      </c>
      <c r="D99" s="811" t="s">
        <v>695</v>
      </c>
      <c r="E99" s="888">
        <v>0.3</v>
      </c>
      <c r="F99" s="875">
        <v>50</v>
      </c>
    </row>
    <row r="100" spans="1:6" s="871" customFormat="1" ht="24">
      <c r="A100" s="875">
        <v>40</v>
      </c>
      <c r="B100" s="3426"/>
      <c r="C100" s="875" t="s">
        <v>696</v>
      </c>
      <c r="D100" s="811" t="s">
        <v>697</v>
      </c>
      <c r="E100" s="888">
        <v>0.2</v>
      </c>
      <c r="F100" s="875">
        <v>30</v>
      </c>
    </row>
    <row r="101" spans="1:6" s="871" customFormat="1" ht="36">
      <c r="A101" s="875">
        <v>41</v>
      </c>
      <c r="B101" s="342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6" t="s">
        <v>708</v>
      </c>
      <c r="C105" s="875" t="s">
        <v>709</v>
      </c>
      <c r="D105" s="811" t="s">
        <v>710</v>
      </c>
      <c r="E105" s="888">
        <v>0.2</v>
      </c>
      <c r="F105" s="875">
        <v>30</v>
      </c>
    </row>
    <row r="106" spans="1:6" s="871" customFormat="1" ht="36">
      <c r="A106" s="875">
        <v>46</v>
      </c>
      <c r="B106" s="3426"/>
      <c r="C106" s="875" t="s">
        <v>711</v>
      </c>
      <c r="D106" s="811" t="s">
        <v>712</v>
      </c>
      <c r="E106" s="888">
        <v>0.2</v>
      </c>
      <c r="F106" s="875">
        <v>30</v>
      </c>
    </row>
    <row r="107" spans="1:6" s="871" customFormat="1" ht="36">
      <c r="A107" s="875">
        <v>47</v>
      </c>
      <c r="B107" s="3426" t="s">
        <v>713</v>
      </c>
      <c r="C107" s="875" t="s">
        <v>714</v>
      </c>
      <c r="D107" s="811" t="s">
        <v>715</v>
      </c>
      <c r="E107" s="888">
        <v>0.3</v>
      </c>
      <c r="F107" s="875">
        <v>50</v>
      </c>
    </row>
    <row r="108" spans="1:6" s="871" customFormat="1" ht="36">
      <c r="A108" s="875">
        <v>48</v>
      </c>
      <c r="B108" s="342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6" t="s">
        <v>724</v>
      </c>
      <c r="C111" s="875" t="s">
        <v>725</v>
      </c>
      <c r="D111" s="811" t="s">
        <v>726</v>
      </c>
      <c r="E111" s="888">
        <v>0.2</v>
      </c>
      <c r="F111" s="875">
        <v>30</v>
      </c>
    </row>
    <row r="112" spans="1:6" s="871" customFormat="1" ht="24">
      <c r="A112" s="875">
        <v>52</v>
      </c>
      <c r="B112" s="3426"/>
      <c r="C112" s="875" t="s">
        <v>727</v>
      </c>
      <c r="D112" s="811" t="s">
        <v>728</v>
      </c>
      <c r="E112" s="888">
        <v>0.2</v>
      </c>
      <c r="F112" s="875">
        <v>30</v>
      </c>
    </row>
    <row r="113" spans="1:6" s="871" customFormat="1" ht="24">
      <c r="A113" s="875">
        <v>53</v>
      </c>
      <c r="B113" s="342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6" t="s">
        <v>737</v>
      </c>
      <c r="C116" s="875" t="s">
        <v>738</v>
      </c>
      <c r="D116" s="811" t="s">
        <v>739</v>
      </c>
      <c r="E116" s="888">
        <v>0.2</v>
      </c>
      <c r="F116" s="875">
        <v>30</v>
      </c>
    </row>
    <row r="117" spans="1:6" ht="36">
      <c r="A117" s="875">
        <v>57</v>
      </c>
      <c r="B117" s="342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0" t="s">
        <v>2997</v>
      </c>
    </row>
    <row r="2" spans="1:5" ht="15.75">
      <c r="A2" s="2895" t="s">
        <v>2989</v>
      </c>
      <c r="B2" s="2896" t="e">
        <f ca="1">SUMIF(B6:B13,"&lt;&gt;#ref!",B6:B13)</f>
        <v>#DIV/0!</v>
      </c>
      <c r="C2" s="2895" t="s">
        <v>2990</v>
      </c>
      <c r="D2" s="2895" t="s">
        <v>2991</v>
      </c>
      <c r="E2" s="2896" t="e">
        <f ca="1">SUM(E6:E13)</f>
        <v>#REF!</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4">
        <f ca="1">SUMIF(INDIRECT("'"&amp;A6&amp;"'"&amp;"!C:C"),"建筑面积",INDIRECT("'"&amp;A6&amp;"'"&amp;"!D:D"))</f>
        <v>0</v>
      </c>
    </row>
    <row r="7" spans="1:5" ht="15.75">
      <c r="A7" s="2900"/>
      <c r="B7" s="2896" t="e">
        <f ca="1">SUMIF(INDIRECT("'"&amp;A7&amp;"'"&amp;"!A:A"),"总价",INDIRECT("'"&amp;A7&amp;"'"&amp;"!B:B"))</f>
        <v>#REF!</v>
      </c>
      <c r="C7" s="2895" t="s">
        <v>2990</v>
      </c>
      <c r="D7" s="2897"/>
      <c r="E7" s="2564"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4" t="e">
        <f t="shared" ca="1" si="0"/>
        <v>#REF!</v>
      </c>
    </row>
    <row r="9" spans="1:5" ht="15.75">
      <c r="A9" s="2900"/>
      <c r="B9" s="2896" t="e">
        <f t="shared" ca="1" si="1"/>
        <v>#REF!</v>
      </c>
      <c r="C9" s="2895" t="s">
        <v>2990</v>
      </c>
      <c r="D9" s="2897"/>
      <c r="E9" s="2564" t="e">
        <f t="shared" ca="1" si="0"/>
        <v>#REF!</v>
      </c>
    </row>
    <row r="10" spans="1:5" ht="15.75">
      <c r="A10" s="2900"/>
      <c r="B10" s="2896" t="e">
        <f t="shared" ca="1" si="1"/>
        <v>#REF!</v>
      </c>
      <c r="C10" s="2895" t="s">
        <v>2990</v>
      </c>
      <c r="D10" s="2897"/>
      <c r="E10" s="2564" t="e">
        <f t="shared" ca="1" si="0"/>
        <v>#REF!</v>
      </c>
    </row>
    <row r="11" spans="1:5" ht="15.75">
      <c r="A11" s="2900"/>
      <c r="B11" s="2896" t="e">
        <f t="shared" ca="1" si="1"/>
        <v>#REF!</v>
      </c>
      <c r="C11" s="2895" t="s">
        <v>2990</v>
      </c>
      <c r="D11" s="2897"/>
      <c r="E11" s="2564" t="e">
        <f t="shared" ca="1" si="0"/>
        <v>#REF!</v>
      </c>
    </row>
    <row r="12" spans="1:5" ht="15.75">
      <c r="A12" s="2900"/>
      <c r="B12" s="2896" t="e">
        <f t="shared" ca="1" si="1"/>
        <v>#REF!</v>
      </c>
      <c r="C12" s="2895" t="s">
        <v>2990</v>
      </c>
      <c r="D12" s="2897"/>
      <c r="E12" s="2564" t="e">
        <f t="shared" ca="1" si="0"/>
        <v>#REF!</v>
      </c>
    </row>
    <row r="13" spans="1:5" ht="15.75">
      <c r="A13" s="2900"/>
      <c r="B13" s="2896" t="e">
        <f t="shared" ca="1" si="1"/>
        <v>#REF!</v>
      </c>
      <c r="C13" s="2895" t="s">
        <v>2990</v>
      </c>
      <c r="D13" s="2897"/>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48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f ca="1">ROUND(IF(F10="押一",F6*F8*F7/12*F11,IF(F10="押二",F6*F8*F7/12*2*F11,IF(F10="押三",F6*F8*F7/12*3*F11,C11*F11)))/10000,0)</f>
        <v>0</v>
      </c>
      <c r="D10" s="1818" t="s">
        <v>3019</v>
      </c>
      <c r="E10" s="357" t="s">
        <v>1409</v>
      </c>
      <c r="F10" s="1360"/>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432" t="s">
        <v>1148</v>
      </c>
      <c r="C1" s="3432"/>
      <c r="D1" s="3432"/>
      <c r="E1" s="3432"/>
      <c r="F1" s="3432"/>
      <c r="G1" s="3431" t="s">
        <v>1149</v>
      </c>
      <c r="H1" s="3431"/>
      <c r="I1" s="3431"/>
      <c r="J1" s="3431"/>
      <c r="K1" s="3431"/>
      <c r="L1" s="3431"/>
      <c r="N1" s="3431" t="s">
        <v>1150</v>
      </c>
      <c r="O1" s="3431"/>
      <c r="P1" s="3431"/>
      <c r="Q1" s="3431"/>
      <c r="R1" s="1440"/>
      <c r="S1" s="3431" t="s">
        <v>1151</v>
      </c>
      <c r="T1" s="3431"/>
      <c r="U1" s="3431"/>
      <c r="V1" s="3431"/>
      <c r="X1" s="3430" t="s">
        <v>1152</v>
      </c>
      <c r="Y1" s="3431"/>
      <c r="Z1" s="3431"/>
      <c r="AA1" s="3431"/>
      <c r="AB1" s="3431"/>
      <c r="AD1" s="3430" t="s">
        <v>1153</v>
      </c>
      <c r="AE1" s="3431"/>
      <c r="AF1" s="3431"/>
      <c r="AG1" s="3431"/>
      <c r="AH1" s="3431"/>
    </row>
    <row r="2" spans="1:34" s="1441" customFormat="1" ht="14.25" thickBot="1">
      <c r="B2" s="1442" t="s">
        <v>1154</v>
      </c>
      <c r="C2" s="1442" t="s">
        <v>1155</v>
      </c>
      <c r="D2" s="1443" t="s">
        <v>1156</v>
      </c>
      <c r="E2" s="1443" t="s">
        <v>1157</v>
      </c>
      <c r="F2" s="1442" t="s">
        <v>1158</v>
      </c>
      <c r="G2" s="1444"/>
      <c r="H2" s="1445"/>
      <c r="I2" s="1442" t="s">
        <v>1154</v>
      </c>
      <c r="J2" s="1443" t="s">
        <v>1383</v>
      </c>
      <c r="K2" s="1443" t="s">
        <v>751</v>
      </c>
      <c r="L2" s="1442" t="s">
        <v>1158</v>
      </c>
      <c r="N2" s="1442" t="s">
        <v>1154</v>
      </c>
      <c r="O2" s="1443" t="s">
        <v>1383</v>
      </c>
      <c r="P2" s="1443" t="s">
        <v>751</v>
      </c>
      <c r="Q2" s="1442" t="s">
        <v>1158</v>
      </c>
      <c r="R2" s="1446"/>
      <c r="S2" s="1442" t="s">
        <v>1154</v>
      </c>
      <c r="T2" s="1443" t="s">
        <v>1383</v>
      </c>
      <c r="U2" s="1443" t="s">
        <v>751</v>
      </c>
      <c r="V2" s="1442" t="s">
        <v>1158</v>
      </c>
      <c r="X2" s="1442" t="s">
        <v>1154</v>
      </c>
      <c r="Y2" s="1442" t="s">
        <v>1155</v>
      </c>
      <c r="Z2" s="1443" t="s">
        <v>1156</v>
      </c>
      <c r="AA2" s="1443" t="s">
        <v>1157</v>
      </c>
      <c r="AB2" s="1442" t="s">
        <v>1158</v>
      </c>
      <c r="AD2" s="1442" t="s">
        <v>1154</v>
      </c>
      <c r="AE2" s="1442" t="s">
        <v>1155</v>
      </c>
      <c r="AF2" s="1443" t="s">
        <v>1156</v>
      </c>
      <c r="AG2" s="1443" t="s">
        <v>1157</v>
      </c>
      <c r="AH2" s="1442" t="s">
        <v>1158</v>
      </c>
    </row>
    <row r="3" spans="1:34" s="2914" customFormat="1" ht="14.25">
      <c r="A3" s="2923" t="s">
        <v>3031</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7" customFormat="1" ht="14.25">
      <c r="B4" s="1448"/>
      <c r="C4" s="1448"/>
      <c r="D4" s="1449"/>
      <c r="E4" s="1449"/>
      <c r="F4" s="1448"/>
      <c r="G4" s="1450"/>
      <c r="H4" s="1451"/>
      <c r="I4" s="2908"/>
      <c r="J4" s="2908"/>
      <c r="K4" s="2908"/>
      <c r="L4" s="2908"/>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3030</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1">
        <f t="shared" ref="N5:N10" si="7">I5/100</f>
        <v>0</v>
      </c>
      <c r="O5" s="1461">
        <f t="shared" ref="O5" si="8">J5/100</f>
        <v>0</v>
      </c>
      <c r="P5" s="1461">
        <f t="shared" ref="P5" si="9">K5/100</f>
        <v>0</v>
      </c>
      <c r="Q5" s="1461">
        <f t="shared" ref="Q5" si="10">L5/100</f>
        <v>0</v>
      </c>
      <c r="R5" s="1726"/>
      <c r="S5" s="1727"/>
      <c r="T5" s="1726"/>
      <c r="U5" s="1726"/>
      <c r="V5" s="1726"/>
      <c r="W5" s="2913" t="s">
        <v>3032</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3027</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1">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3028</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07"/>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5" t="s">
        <v>1384</v>
      </c>
      <c r="B8" s="1471">
        <f t="shared" si="21"/>
        <v>419.31181600000002</v>
      </c>
      <c r="C8" s="1471">
        <f t="shared" si="22"/>
        <v>313.95436800000004</v>
      </c>
      <c r="D8" s="1471">
        <f t="shared" si="23"/>
        <v>313.95436800000004</v>
      </c>
      <c r="E8" s="1471">
        <f t="shared" si="24"/>
        <v>596.63028431999999</v>
      </c>
      <c r="F8" s="1471">
        <f t="shared" si="25"/>
        <v>274.74220703999998</v>
      </c>
      <c r="G8" s="2906"/>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7"/>
      <c r="AD8" s="1783">
        <f>ROUND(AVERAGE(I8:I$21)/100,4)</f>
        <v>2.46E-2</v>
      </c>
      <c r="AE8" s="1783">
        <f>ROUND(AVERAGE(J8:J$21)/100,4)</f>
        <v>1.6E-2</v>
      </c>
      <c r="AF8" s="1783">
        <f t="shared" si="1"/>
        <v>1.6E-2</v>
      </c>
      <c r="AG8" s="1783">
        <f>ROUND(AVERAGE(K8:K$21)/100,4)</f>
        <v>2.75E-2</v>
      </c>
      <c r="AH8" s="1783">
        <f>ROUND(AVERAGE(L8:L$21)/100,4)</f>
        <v>1.37E-2</v>
      </c>
    </row>
    <row r="9" spans="1:34" s="1460" customFormat="1" ht="13.5" thickBot="1">
      <c r="A9" s="1455" t="s">
        <v>1159</v>
      </c>
      <c r="B9" s="1471">
        <f>B10*(1+N9)</f>
        <v>405.524</v>
      </c>
      <c r="C9" s="1471">
        <f>C10*(1+O9)</f>
        <v>307.79840000000002</v>
      </c>
      <c r="D9" s="1471">
        <f>C9</f>
        <v>307.79840000000002</v>
      </c>
      <c r="E9" s="1471">
        <f>E10*(1+P9)</f>
        <v>574.67759999999998</v>
      </c>
      <c r="F9" s="1471">
        <f>F10*(1+Q9)</f>
        <v>270.20280000000002</v>
      </c>
      <c r="G9" s="2907"/>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5" t="s">
        <v>154</v>
      </c>
      <c r="B10" s="1463">
        <v>392</v>
      </c>
      <c r="C10" s="1463">
        <v>302</v>
      </c>
      <c r="D10" s="1463">
        <f>C10</f>
        <v>302</v>
      </c>
      <c r="E10" s="1463">
        <v>553</v>
      </c>
      <c r="F10" s="1464">
        <v>266</v>
      </c>
      <c r="G10" s="3433">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428"/>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428"/>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429"/>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427">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428"/>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428"/>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429"/>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427">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428"/>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428"/>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429"/>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1160</v>
      </c>
      <c r="X21" s="1499">
        <v>1</v>
      </c>
      <c r="Y21" s="1499">
        <v>1</v>
      </c>
      <c r="Z21" s="1499">
        <v>1</v>
      </c>
      <c r="AA21" s="1499">
        <v>1</v>
      </c>
      <c r="AB21" s="1499">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5" t="s">
        <v>1161</v>
      </c>
      <c r="B22" s="1463">
        <v>299</v>
      </c>
      <c r="C22" s="1463">
        <v>252</v>
      </c>
      <c r="D22" s="1463">
        <f t="shared" si="35"/>
        <v>252</v>
      </c>
      <c r="E22" s="1463">
        <v>409</v>
      </c>
      <c r="F22" s="1464">
        <v>227</v>
      </c>
      <c r="G22" s="3434">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1162</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435"/>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1163</v>
      </c>
      <c r="B24" s="1471">
        <f t="shared" si="44"/>
        <v>288.2649053828776</v>
      </c>
      <c r="C24" s="1471">
        <f t="shared" si="44"/>
        <v>243.64564425013293</v>
      </c>
      <c r="D24" s="1471">
        <f t="shared" si="35"/>
        <v>243.64564425013293</v>
      </c>
      <c r="E24" s="1471">
        <f t="shared" si="45"/>
        <v>393.31080825986544</v>
      </c>
      <c r="F24" s="1471">
        <f t="shared" si="45"/>
        <v>223.07903790551154</v>
      </c>
      <c r="G24" s="3435"/>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1164</v>
      </c>
      <c r="B25" s="1471">
        <f t="shared" si="44"/>
        <v>282.50186729015837</v>
      </c>
      <c r="C25" s="1471">
        <f t="shared" si="44"/>
        <v>238.09796174155468</v>
      </c>
      <c r="D25" s="1471">
        <f t="shared" si="35"/>
        <v>238.09796174155468</v>
      </c>
      <c r="E25" s="1471">
        <f t="shared" si="45"/>
        <v>385.33438646014054</v>
      </c>
      <c r="F25" s="1471">
        <f t="shared" si="45"/>
        <v>221.55034055567739</v>
      </c>
      <c r="G25" s="3436"/>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1165</v>
      </c>
      <c r="B26" s="1505">
        <v>278</v>
      </c>
      <c r="C26" s="1505">
        <v>234</v>
      </c>
      <c r="D26" s="1505">
        <f t="shared" si="35"/>
        <v>234</v>
      </c>
      <c r="E26" s="1505">
        <v>379</v>
      </c>
      <c r="F26" s="1506">
        <v>220</v>
      </c>
      <c r="G26" s="3427">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1166</v>
      </c>
      <c r="B27" s="1471">
        <f>B26/(1+N26)</f>
        <v>275.49301357645425</v>
      </c>
      <c r="C27" s="1471">
        <f>C26/(1+O26)</f>
        <v>232.41954707985698</v>
      </c>
      <c r="D27" s="1471">
        <f t="shared" si="35"/>
        <v>232.41954707985698</v>
      </c>
      <c r="E27" s="1471">
        <f t="shared" ref="E27:F29" si="46">E26/(1+P26)</f>
        <v>375.32184591008121</v>
      </c>
      <c r="F27" s="1471">
        <f t="shared" si="46"/>
        <v>218.03766105054513</v>
      </c>
      <c r="G27" s="3428"/>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1167</v>
      </c>
      <c r="B28" s="1471">
        <f>B27/(1+N27)</f>
        <v>275.24529281292263</v>
      </c>
      <c r="C28" s="1471">
        <f>C27/(1+O27)</f>
        <v>231.74747938962707</v>
      </c>
      <c r="D28" s="1471">
        <f t="shared" si="35"/>
        <v>231.74747938962707</v>
      </c>
      <c r="E28" s="1471">
        <f t="shared" si="46"/>
        <v>375.35938184826603</v>
      </c>
      <c r="F28" s="1471">
        <f t="shared" si="46"/>
        <v>216.78033510692495</v>
      </c>
      <c r="G28" s="3428"/>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1168</v>
      </c>
      <c r="B29" s="1471">
        <f>B28/(1+N28)</f>
        <v>275.19025476197027</v>
      </c>
      <c r="C29" s="1507">
        <v>232</v>
      </c>
      <c r="D29" s="1507">
        <f t="shared" si="35"/>
        <v>232</v>
      </c>
      <c r="E29" s="1471">
        <f t="shared" si="46"/>
        <v>375.65990977608692</v>
      </c>
      <c r="F29" s="1471">
        <f t="shared" si="46"/>
        <v>214.12518283971252</v>
      </c>
      <c r="G29" s="3429"/>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1169</v>
      </c>
      <c r="B30" s="1463">
        <v>275</v>
      </c>
      <c r="C30" s="1463">
        <v>232</v>
      </c>
      <c r="D30" s="1463">
        <f t="shared" si="35"/>
        <v>232</v>
      </c>
      <c r="E30" s="1463">
        <v>376</v>
      </c>
      <c r="F30" s="1464">
        <v>213</v>
      </c>
      <c r="G30" s="3427">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1170</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428">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1171</v>
      </c>
      <c r="B32" s="1471">
        <f t="shared" si="47"/>
        <v>275.19335084830601</v>
      </c>
      <c r="C32" s="1471">
        <f t="shared" si="47"/>
        <v>230.18088050139744</v>
      </c>
      <c r="D32" s="1471">
        <f t="shared" si="35"/>
        <v>230.18088050139744</v>
      </c>
      <c r="E32" s="1471">
        <f t="shared" si="48"/>
        <v>377.58482925212331</v>
      </c>
      <c r="F32" s="1471">
        <f t="shared" si="48"/>
        <v>210.90687997847917</v>
      </c>
      <c r="G32" s="3428">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1172</v>
      </c>
      <c r="B33" s="1471">
        <f t="shared" si="47"/>
        <v>276.29854502841971</v>
      </c>
      <c r="C33" s="1471">
        <f t="shared" si="47"/>
        <v>229.79023709833027</v>
      </c>
      <c r="D33" s="1471">
        <f t="shared" si="35"/>
        <v>229.79023709833027</v>
      </c>
      <c r="E33" s="1471">
        <f t="shared" si="48"/>
        <v>379.78759731655936</v>
      </c>
      <c r="F33" s="1471">
        <f t="shared" si="48"/>
        <v>211.32953905659235</v>
      </c>
      <c r="G33" s="3429">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1173</v>
      </c>
      <c r="B34" s="1463">
        <v>269</v>
      </c>
      <c r="C34" s="1463">
        <v>221</v>
      </c>
      <c r="D34" s="1463">
        <f t="shared" si="35"/>
        <v>221</v>
      </c>
      <c r="E34" s="1463">
        <v>373</v>
      </c>
      <c r="F34" s="1464">
        <v>196</v>
      </c>
      <c r="G34" s="3427">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1174</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428">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1175</v>
      </c>
      <c r="B36" s="1471">
        <f t="shared" si="49"/>
        <v>242.95398227588385</v>
      </c>
      <c r="C36" s="1471">
        <f t="shared" si="49"/>
        <v>199.59137053614126</v>
      </c>
      <c r="D36" s="1471">
        <f t="shared" si="35"/>
        <v>199.59137053614126</v>
      </c>
      <c r="E36" s="1471">
        <f t="shared" si="50"/>
        <v>335.92189522342125</v>
      </c>
      <c r="F36" s="1471">
        <f t="shared" si="50"/>
        <v>183.10139991109489</v>
      </c>
      <c r="G36" s="3428">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1176</v>
      </c>
      <c r="B37" s="1471">
        <f t="shared" si="49"/>
        <v>232.06990378821649</v>
      </c>
      <c r="C37" s="1471">
        <f t="shared" si="49"/>
        <v>192.74878854286936</v>
      </c>
      <c r="D37" s="1471">
        <f t="shared" si="35"/>
        <v>192.74878854286936</v>
      </c>
      <c r="E37" s="1471">
        <f t="shared" si="50"/>
        <v>319.71247284992984</v>
      </c>
      <c r="F37" s="1471">
        <f t="shared" si="50"/>
        <v>175.67053622862409</v>
      </c>
      <c r="G37" s="3429">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1177</v>
      </c>
      <c r="B38" s="1463">
        <v>220</v>
      </c>
      <c r="C38" s="1463">
        <v>187</v>
      </c>
      <c r="D38" s="1463">
        <f t="shared" si="35"/>
        <v>187</v>
      </c>
      <c r="E38" s="1463">
        <v>301</v>
      </c>
      <c r="F38" s="1464">
        <v>168</v>
      </c>
      <c r="G38" s="3427">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1178</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428">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1179</v>
      </c>
      <c r="B40" s="1471">
        <f t="shared" si="51"/>
        <v>210.630522469011</v>
      </c>
      <c r="C40" s="1471">
        <f t="shared" si="51"/>
        <v>181.69567812247232</v>
      </c>
      <c r="D40" s="1471">
        <f t="shared" si="35"/>
        <v>181.69567812247232</v>
      </c>
      <c r="E40" s="1471">
        <f t="shared" si="52"/>
        <v>286.13517466736738</v>
      </c>
      <c r="F40" s="1471">
        <f t="shared" si="52"/>
        <v>165.47535084591149</v>
      </c>
      <c r="G40" s="3428">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1180</v>
      </c>
      <c r="B41" s="1471">
        <f t="shared" si="51"/>
        <v>208.83454537875372</v>
      </c>
      <c r="C41" s="1471">
        <f t="shared" si="51"/>
        <v>183.77230517090351</v>
      </c>
      <c r="D41" s="1471">
        <f t="shared" si="35"/>
        <v>183.77230517090351</v>
      </c>
      <c r="E41" s="1471">
        <f t="shared" si="52"/>
        <v>281.10342338870947</v>
      </c>
      <c r="F41" s="1471">
        <f t="shared" si="52"/>
        <v>168.97309388942256</v>
      </c>
      <c r="G41" s="3429">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1181</v>
      </c>
      <c r="B42" s="1505">
        <v>214</v>
      </c>
      <c r="C42" s="1505">
        <v>188</v>
      </c>
      <c r="D42" s="1505">
        <f t="shared" si="35"/>
        <v>188</v>
      </c>
      <c r="E42" s="1505">
        <v>289</v>
      </c>
      <c r="F42" s="1506">
        <v>166</v>
      </c>
      <c r="G42" s="3427">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1182</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428">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1183</v>
      </c>
      <c r="B44" s="1471">
        <f t="shared" si="53"/>
        <v>206.31694671589116</v>
      </c>
      <c r="C44" s="1471">
        <f t="shared" si="53"/>
        <v>183.61041121036101</v>
      </c>
      <c r="D44" s="1471">
        <f t="shared" si="35"/>
        <v>183.61041121036101</v>
      </c>
      <c r="E44" s="1471">
        <f t="shared" si="54"/>
        <v>276.66850301795557</v>
      </c>
      <c r="F44" s="1471">
        <f t="shared" si="54"/>
        <v>165.1360938278614</v>
      </c>
      <c r="G44" s="3428">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1184</v>
      </c>
      <c r="B45" s="1508">
        <f t="shared" si="53"/>
        <v>196.62341248059772</v>
      </c>
      <c r="C45" s="1508">
        <f t="shared" si="53"/>
        <v>170.99125648199012</v>
      </c>
      <c r="D45" s="1508">
        <f t="shared" si="35"/>
        <v>170.99125648199012</v>
      </c>
      <c r="E45" s="1508">
        <f t="shared" si="54"/>
        <v>266.07857570490052</v>
      </c>
      <c r="F45" s="1508">
        <f t="shared" si="54"/>
        <v>154.53499328828505</v>
      </c>
      <c r="G45" s="3429">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1185</v>
      </c>
      <c r="B46" s="1463">
        <v>188</v>
      </c>
      <c r="C46" s="1463">
        <v>165</v>
      </c>
      <c r="D46" s="1463">
        <f t="shared" si="35"/>
        <v>165</v>
      </c>
      <c r="E46" s="1463">
        <v>254</v>
      </c>
      <c r="F46" s="1464">
        <v>148</v>
      </c>
      <c r="G46" s="3427">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1186</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428">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1187</v>
      </c>
      <c r="B48" s="1471">
        <f t="shared" si="57"/>
        <v>168.82017748715555</v>
      </c>
      <c r="C48" s="1471">
        <f t="shared" si="57"/>
        <v>148.06267029972753</v>
      </c>
      <c r="D48" s="1471">
        <f t="shared" si="35"/>
        <v>148.06267029972753</v>
      </c>
      <c r="E48" s="1471">
        <f t="shared" si="58"/>
        <v>216.46288379323747</v>
      </c>
      <c r="F48" s="1471">
        <f t="shared" si="58"/>
        <v>134.23529411764704</v>
      </c>
      <c r="G48" s="3428">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1188</v>
      </c>
      <c r="B49" s="1471">
        <f t="shared" si="57"/>
        <v>163.84913591779542</v>
      </c>
      <c r="C49" s="1471">
        <f t="shared" si="57"/>
        <v>145.0283378746594</v>
      </c>
      <c r="D49" s="1471">
        <f t="shared" si="35"/>
        <v>145.0283378746594</v>
      </c>
      <c r="E49" s="1471">
        <f t="shared" si="58"/>
        <v>204.95180722891567</v>
      </c>
      <c r="F49" s="1471">
        <f t="shared" si="58"/>
        <v>125.95920303605313</v>
      </c>
      <c r="G49" s="3429">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1189</v>
      </c>
      <c r="B50" s="1484">
        <v>159</v>
      </c>
      <c r="C50" s="1484">
        <v>141</v>
      </c>
      <c r="D50" s="1484">
        <f t="shared" si="35"/>
        <v>141</v>
      </c>
      <c r="E50" s="1484">
        <v>195</v>
      </c>
      <c r="F50" s="1485">
        <v>122</v>
      </c>
      <c r="G50" s="3427">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1190</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428">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1191</v>
      </c>
      <c r="B52" s="1471">
        <f t="shared" si="61"/>
        <v>146.57412060301507</v>
      </c>
      <c r="C52" s="1471">
        <f t="shared" si="61"/>
        <v>136.46831955922866</v>
      </c>
      <c r="D52" s="1471">
        <f t="shared" si="35"/>
        <v>136.46831955922866</v>
      </c>
      <c r="E52" s="1471">
        <f t="shared" si="62"/>
        <v>166.73864894795128</v>
      </c>
      <c r="F52" s="1471">
        <f t="shared" si="62"/>
        <v>115.05882352941177</v>
      </c>
      <c r="G52" s="3428">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1192</v>
      </c>
      <c r="B53" s="1471">
        <f t="shared" si="61"/>
        <v>144.04145728643215</v>
      </c>
      <c r="C53" s="1471">
        <f t="shared" si="61"/>
        <v>136.12396694214877</v>
      </c>
      <c r="D53" s="1471">
        <f t="shared" si="35"/>
        <v>136.12396694214877</v>
      </c>
      <c r="E53" s="1471">
        <f t="shared" si="62"/>
        <v>158.32225913621264</v>
      </c>
      <c r="F53" s="1471">
        <f t="shared" si="62"/>
        <v>114.04278074866311</v>
      </c>
      <c r="G53" s="3429">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1193</v>
      </c>
      <c r="B54" s="1484">
        <v>138</v>
      </c>
      <c r="C54" s="1484">
        <v>131</v>
      </c>
      <c r="D54" s="1484">
        <f t="shared" si="35"/>
        <v>131</v>
      </c>
      <c r="E54" s="1484">
        <v>155</v>
      </c>
      <c r="F54" s="1485">
        <v>114</v>
      </c>
      <c r="G54" s="3427">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1194</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428">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1195</v>
      </c>
      <c r="B56" s="1471">
        <f t="shared" si="65"/>
        <v>124.29032258064517</v>
      </c>
      <c r="C56" s="1471">
        <f t="shared" si="65"/>
        <v>123.8968609865471</v>
      </c>
      <c r="D56" s="1471">
        <f t="shared" si="35"/>
        <v>123.8968609865471</v>
      </c>
      <c r="E56" s="1471">
        <f t="shared" si="66"/>
        <v>138.00507614213197</v>
      </c>
      <c r="F56" s="1471">
        <f t="shared" si="66"/>
        <v>107.96106557377048</v>
      </c>
      <c r="G56" s="3428">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1196</v>
      </c>
      <c r="B57" s="1471">
        <f t="shared" si="65"/>
        <v>122.57204301075269</v>
      </c>
      <c r="C57" s="1471">
        <f t="shared" si="65"/>
        <v>123.4932735426009</v>
      </c>
      <c r="D57" s="1471">
        <f t="shared" si="35"/>
        <v>123.4932735426009</v>
      </c>
      <c r="E57" s="1471">
        <f t="shared" si="66"/>
        <v>129.82233502538071</v>
      </c>
      <c r="F57" s="1471">
        <f t="shared" si="66"/>
        <v>107.39446721311475</v>
      </c>
      <c r="G57" s="3429">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1197</v>
      </c>
      <c r="B58" s="1505">
        <v>121</v>
      </c>
      <c r="C58" s="1505">
        <v>122</v>
      </c>
      <c r="D58" s="1505">
        <f t="shared" si="35"/>
        <v>122</v>
      </c>
      <c r="E58" s="1505">
        <v>124</v>
      </c>
      <c r="F58" s="1506">
        <v>107</v>
      </c>
      <c r="G58" s="3427">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1198</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428">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1199</v>
      </c>
      <c r="B60" s="1471">
        <f t="shared" si="69"/>
        <v>116.99099099099099</v>
      </c>
      <c r="C60" s="1471">
        <f t="shared" si="69"/>
        <v>118.84848484848486</v>
      </c>
      <c r="D60" s="1471">
        <f t="shared" si="35"/>
        <v>118.84848484848486</v>
      </c>
      <c r="E60" s="1471">
        <f t="shared" si="70"/>
        <v>117.60960960960961</v>
      </c>
      <c r="F60" s="1471">
        <f t="shared" si="70"/>
        <v>104</v>
      </c>
      <c r="G60" s="3428">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1200</v>
      </c>
      <c r="B61" s="1508">
        <f t="shared" si="69"/>
        <v>112.48648648648648</v>
      </c>
      <c r="C61" s="1508">
        <f t="shared" si="69"/>
        <v>115.21212121212122</v>
      </c>
      <c r="D61" s="1508">
        <f t="shared" si="35"/>
        <v>115.21212121212122</v>
      </c>
      <c r="E61" s="1508">
        <f t="shared" si="70"/>
        <v>110.4024024024024</v>
      </c>
      <c r="F61" s="1508">
        <f t="shared" si="70"/>
        <v>104</v>
      </c>
      <c r="G61" s="3429">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1201</v>
      </c>
      <c r="B62" s="1526">
        <v>111</v>
      </c>
      <c r="C62" s="1526">
        <v>114</v>
      </c>
      <c r="D62" s="1526">
        <f t="shared" si="35"/>
        <v>114</v>
      </c>
      <c r="E62" s="1526">
        <v>108</v>
      </c>
      <c r="F62" s="1527">
        <v>104</v>
      </c>
      <c r="G62" s="3427">
        <v>2003</v>
      </c>
      <c r="H62" s="1516">
        <v>4</v>
      </c>
      <c r="I62" s="1528"/>
      <c r="J62" s="1528"/>
      <c r="K62" s="1528"/>
      <c r="L62" s="1528"/>
      <c r="N62" s="1529"/>
      <c r="O62" s="1528"/>
      <c r="P62" s="1528"/>
      <c r="Q62" s="1528"/>
      <c r="S62" s="1529"/>
      <c r="T62" s="1528"/>
      <c r="U62" s="1528"/>
      <c r="V62" s="1528"/>
      <c r="X62" s="1520"/>
      <c r="Y62" s="1520"/>
      <c r="Z62" s="1520"/>
    </row>
    <row r="63" spans="1:26">
      <c r="A63" s="1455" t="s">
        <v>1202</v>
      </c>
      <c r="B63" s="1530">
        <f t="shared" ref="B63:C65" si="71">B64+(B$62-B$66)/4</f>
        <v>109.75</v>
      </c>
      <c r="C63" s="1530">
        <f t="shared" si="71"/>
        <v>112.25</v>
      </c>
      <c r="D63" s="1530">
        <f t="shared" si="35"/>
        <v>112.25</v>
      </c>
      <c r="E63" s="1530">
        <f t="shared" ref="E63:F65" si="72">E64+(E$62-E$66)/4</f>
        <v>107.25</v>
      </c>
      <c r="F63" s="1530">
        <f t="shared" si="72"/>
        <v>103.5</v>
      </c>
      <c r="G63" s="3428">
        <v>2003</v>
      </c>
      <c r="H63" s="1481">
        <v>3</v>
      </c>
      <c r="I63" s="1528"/>
      <c r="J63" s="1528"/>
      <c r="K63" s="1528"/>
      <c r="L63" s="1528"/>
      <c r="X63" s="1520"/>
      <c r="Y63" s="1520"/>
      <c r="Z63" s="1520"/>
    </row>
    <row r="64" spans="1:26">
      <c r="A64" s="1455" t="s">
        <v>1203</v>
      </c>
      <c r="B64" s="1530">
        <f t="shared" si="71"/>
        <v>108.5</v>
      </c>
      <c r="C64" s="1530">
        <f t="shared" si="71"/>
        <v>110.5</v>
      </c>
      <c r="D64" s="1530">
        <f t="shared" si="35"/>
        <v>110.5</v>
      </c>
      <c r="E64" s="1530">
        <f t="shared" si="72"/>
        <v>106.5</v>
      </c>
      <c r="F64" s="1530">
        <f t="shared" si="72"/>
        <v>103</v>
      </c>
      <c r="G64" s="3428">
        <v>2003</v>
      </c>
      <c r="H64" s="1459">
        <v>2</v>
      </c>
      <c r="I64" s="1528"/>
      <c r="J64" s="1528"/>
      <c r="K64" s="1528"/>
      <c r="L64" s="1528"/>
      <c r="X64" s="1520"/>
      <c r="Y64" s="1520"/>
      <c r="Z64" s="1520"/>
    </row>
    <row r="65" spans="1:26" ht="13.5" thickBot="1">
      <c r="A65" s="1455" t="s">
        <v>1204</v>
      </c>
      <c r="B65" s="1530">
        <f t="shared" si="71"/>
        <v>107.25</v>
      </c>
      <c r="C65" s="1530">
        <f t="shared" si="71"/>
        <v>108.75</v>
      </c>
      <c r="D65" s="1530">
        <f t="shared" si="35"/>
        <v>108.75</v>
      </c>
      <c r="E65" s="1530">
        <f t="shared" si="72"/>
        <v>105.75</v>
      </c>
      <c r="F65" s="1530">
        <f t="shared" si="72"/>
        <v>102.5</v>
      </c>
      <c r="G65" s="3429">
        <v>2003</v>
      </c>
      <c r="H65" s="1531">
        <v>1</v>
      </c>
      <c r="I65" s="1528"/>
      <c r="J65" s="1528"/>
      <c r="K65" s="1528"/>
      <c r="L65" s="1528"/>
      <c r="S65" s="1466"/>
      <c r="T65" s="1467"/>
      <c r="U65" s="1467"/>
      <c r="X65" s="1520"/>
      <c r="Y65" s="1520"/>
      <c r="Z65" s="1520"/>
    </row>
    <row r="66" spans="1:26" ht="13.5" thickBot="1">
      <c r="A66" s="1455" t="s">
        <v>1205</v>
      </c>
      <c r="B66" s="1532">
        <v>106</v>
      </c>
      <c r="C66" s="1532">
        <v>107</v>
      </c>
      <c r="D66" s="1532">
        <f t="shared" si="35"/>
        <v>107</v>
      </c>
      <c r="E66" s="1532">
        <v>105</v>
      </c>
      <c r="F66" s="1533">
        <v>102</v>
      </c>
      <c r="G66" s="3427">
        <v>2002</v>
      </c>
      <c r="H66" s="1476">
        <v>4</v>
      </c>
      <c r="I66" s="1528"/>
      <c r="J66" s="1528"/>
      <c r="K66" s="1528"/>
      <c r="L66" s="1528"/>
      <c r="N66" s="1529"/>
      <c r="O66" s="1528"/>
      <c r="P66" s="1528"/>
      <c r="Q66" s="1528"/>
      <c r="S66" s="1529"/>
      <c r="T66" s="1528"/>
      <c r="U66" s="1528"/>
      <c r="V66" s="1528"/>
      <c r="X66" s="1520"/>
      <c r="Y66" s="1520"/>
      <c r="Z66" s="1520"/>
    </row>
    <row r="67" spans="1:26">
      <c r="A67" s="1455" t="s">
        <v>1206</v>
      </c>
      <c r="B67" s="1530">
        <f t="shared" ref="B67:C69" si="73">B68+(B$66-B$70)/4</f>
        <v>105</v>
      </c>
      <c r="C67" s="1530">
        <f t="shared" si="73"/>
        <v>106</v>
      </c>
      <c r="D67" s="1530">
        <f t="shared" si="35"/>
        <v>106</v>
      </c>
      <c r="E67" s="1530">
        <f t="shared" ref="E67:F69" si="74">E68+(E$66-E$70)/4</f>
        <v>104.5</v>
      </c>
      <c r="F67" s="1530">
        <f t="shared" si="74"/>
        <v>101.5</v>
      </c>
      <c r="G67" s="3428">
        <v>2002</v>
      </c>
      <c r="H67" s="1481">
        <v>3</v>
      </c>
      <c r="I67" s="1528"/>
      <c r="J67" s="1528"/>
      <c r="K67" s="1528"/>
      <c r="L67" s="1528"/>
      <c r="X67" s="1520"/>
      <c r="Y67" s="1520"/>
      <c r="Z67" s="1520"/>
    </row>
    <row r="68" spans="1:26">
      <c r="A68" s="1455" t="s">
        <v>1207</v>
      </c>
      <c r="B68" s="1530">
        <f t="shared" si="73"/>
        <v>104</v>
      </c>
      <c r="C68" s="1530">
        <f t="shared" si="73"/>
        <v>105</v>
      </c>
      <c r="D68" s="1530">
        <f t="shared" si="35"/>
        <v>105</v>
      </c>
      <c r="E68" s="1530">
        <f t="shared" si="74"/>
        <v>104</v>
      </c>
      <c r="F68" s="1530">
        <f t="shared" si="74"/>
        <v>101</v>
      </c>
      <c r="G68" s="3428">
        <v>2002</v>
      </c>
      <c r="H68" s="1459">
        <v>2</v>
      </c>
      <c r="I68" s="1528"/>
      <c r="J68" s="1528"/>
      <c r="K68" s="1528"/>
      <c r="L68" s="1528"/>
      <c r="X68" s="1520"/>
      <c r="Y68" s="1520"/>
      <c r="Z68" s="1520"/>
    </row>
    <row r="69" spans="1:26" s="1492" customFormat="1" ht="13.5" thickBot="1">
      <c r="A69" s="1488" t="s">
        <v>1208</v>
      </c>
      <c r="B69" s="1534">
        <f t="shared" si="73"/>
        <v>103</v>
      </c>
      <c r="C69" s="1534">
        <f t="shared" si="73"/>
        <v>104</v>
      </c>
      <c r="D69" s="1534">
        <f t="shared" si="35"/>
        <v>104</v>
      </c>
      <c r="E69" s="1534">
        <f t="shared" si="74"/>
        <v>103.5</v>
      </c>
      <c r="F69" s="1534">
        <f t="shared" si="74"/>
        <v>100.5</v>
      </c>
      <c r="G69" s="3429">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1209</v>
      </c>
      <c r="G72" s="1544"/>
      <c r="N72" s="1544"/>
      <c r="S72" s="1544"/>
    </row>
    <row r="73" spans="1:26" s="1543" customFormat="1">
      <c r="A73" s="1543" t="s">
        <v>1210</v>
      </c>
      <c r="G73" s="1544"/>
      <c r="N73" s="1544"/>
      <c r="S73" s="1544"/>
    </row>
    <row r="74" spans="1:26" s="1543" customFormat="1">
      <c r="A74" s="1543" t="s">
        <v>1211</v>
      </c>
      <c r="G74" s="1544"/>
      <c r="I74" s="1545"/>
      <c r="J74" s="1545"/>
      <c r="K74" s="1545"/>
      <c r="L74" s="1545"/>
      <c r="N74" s="1546"/>
      <c r="O74" s="1545"/>
      <c r="P74" s="1545"/>
      <c r="Q74" s="1545"/>
      <c r="S74" s="1546"/>
      <c r="T74" s="1545"/>
      <c r="U74" s="1545"/>
      <c r="V74" s="1545"/>
    </row>
    <row r="75" spans="1:26" s="1543" customFormat="1">
      <c r="A75" s="1543" t="s">
        <v>1212</v>
      </c>
      <c r="G75" s="1544"/>
      <c r="N75" s="1544"/>
      <c r="S75" s="1544"/>
    </row>
    <row r="82" spans="7:22" ht="13.5" thickBot="1"/>
    <row r="83" spans="7:22">
      <c r="G83" s="1465"/>
      <c r="S83" s="1547" t="s">
        <v>1213</v>
      </c>
      <c r="T83" s="1548" t="s">
        <v>1214</v>
      </c>
      <c r="U83" s="1548" t="s">
        <v>1215</v>
      </c>
      <c r="V83" s="1548" t="s">
        <v>1216</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35807</v>
      </c>
      <c r="C2" s="2" t="s">
        <v>133</v>
      </c>
      <c r="D2" s="242"/>
      <c r="E2" s="242"/>
      <c r="F2" s="242"/>
      <c r="G2" s="242"/>
    </row>
    <row r="3" spans="1:7" s="243" customFormat="1" ht="18" customHeight="1" thickBot="1">
      <c r="A3" s="246" t="s">
        <v>85</v>
      </c>
      <c r="B3" s="247">
        <f ca="1">ROUND(B2*10000/'数据-汇总表'!E3,0)</f>
        <v>20663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347</v>
      </c>
      <c r="D10" s="1028">
        <f>'数据-汇总表'!E6</f>
        <v>17329.439999999999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347</v>
      </c>
      <c r="D19" s="1032">
        <f>'数据-汇总表'!E3</f>
        <v>17329.439999999999</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3"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48">
        <f ca="1">ROUND(SUM(C23:C25),0)</f>
        <v>921</v>
      </c>
      <c r="D22" s="278">
        <f ca="1">C26</f>
        <v>4.0000000000000002E-4</v>
      </c>
      <c r="E22" s="279" t="s">
        <v>126</v>
      </c>
      <c r="F22" s="280">
        <f ca="1">'数据-取费表'!B40</f>
        <v>4.3499999999999997E-2</v>
      </c>
      <c r="G22" s="1283" t="str">
        <f>IF('数据-取费表'!B22&lt;=1,"单利计息","复利计息")</f>
        <v>单利计息</v>
      </c>
    </row>
    <row r="23" spans="1:7" s="257" customFormat="1" ht="13.5" customHeight="1">
      <c r="A23" s="947" t="s">
        <v>794</v>
      </c>
      <c r="B23" s="258" t="s">
        <v>1061</v>
      </c>
      <c r="C23" s="1349">
        <f ca="1">ROUND(IF('数据-取费表'!B22&lt;=1,C5*F22*'数据-取费表'!B23,C5*(POWER((1+F22),'数据-取费表'!B23)-1)),0)</f>
        <v>897</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49">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4.0000000000000002E-4</v>
      </c>
      <c r="D26" s="281"/>
      <c r="E26" s="284"/>
      <c r="F26" s="282"/>
      <c r="G26" s="286"/>
    </row>
    <row r="27" spans="1:7" s="257" customFormat="1" ht="24.75">
      <c r="A27" s="944" t="s">
        <v>787</v>
      </c>
      <c r="B27" s="287" t="s">
        <v>112</v>
      </c>
      <c r="C27" s="288">
        <f>C28</f>
        <v>3206</v>
      </c>
      <c r="D27" s="278">
        <f>C29</f>
        <v>3.0000000000000001E-3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3206</v>
      </c>
      <c r="D28" s="278"/>
      <c r="E28" s="279"/>
      <c r="F28" s="289"/>
      <c r="G28" s="290"/>
    </row>
    <row r="29" spans="1:7" s="257" customFormat="1" ht="13.5" customHeight="1">
      <c r="A29" s="947" t="s">
        <v>792</v>
      </c>
      <c r="B29" s="291" t="s">
        <v>1063</v>
      </c>
      <c r="C29" s="281">
        <f>ROUND(C21*F27*'数据-取费表'!B21/'数据-取费表'!B20,4)</f>
        <v>3.0000000000000001E-3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6685</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6065</v>
      </c>
      <c r="D34" s="260"/>
      <c r="E34" s="263"/>
      <c r="F34" s="300">
        <f>IF('数据-取费表'!B24=0,1,'数据-取费表'!N16)</f>
        <v>1</v>
      </c>
      <c r="G34" s="262" t="s">
        <v>116</v>
      </c>
    </row>
    <row r="35" spans="1:7" ht="13.5" customHeight="1">
      <c r="A35" s="947" t="s">
        <v>796</v>
      </c>
      <c r="B35" s="258" t="s">
        <v>60</v>
      </c>
      <c r="C35" s="263">
        <f>ROUND(C34*F35,0)</f>
        <v>182</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347</v>
      </c>
      <c r="D37" s="260">
        <f>'数据-汇总表'!E3</f>
        <v>17329.439999999999</v>
      </c>
      <c r="E37" s="292">
        <f>'数据-取费表'!B35</f>
        <v>200</v>
      </c>
      <c r="F37" s="302"/>
      <c r="G37" s="304" t="s">
        <v>119</v>
      </c>
    </row>
    <row r="38" spans="1:7" ht="13.5" customHeight="1">
      <c r="A38" s="947" t="s">
        <v>799</v>
      </c>
      <c r="B38" s="258" t="s">
        <v>63</v>
      </c>
      <c r="C38" s="263">
        <f>ROUND(C34*F38,0)</f>
        <v>91</v>
      </c>
      <c r="D38" s="263"/>
      <c r="E38" s="263"/>
      <c r="F38" s="302">
        <f>'数据-取费表'!B36</f>
        <v>1.4999999999999999E-2</v>
      </c>
      <c r="G38" s="262" t="s">
        <v>117</v>
      </c>
    </row>
    <row r="39" spans="1:7" s="257" customFormat="1" ht="13.5" customHeight="1">
      <c r="A39" s="944" t="s">
        <v>783</v>
      </c>
      <c r="B39" s="253" t="s">
        <v>104</v>
      </c>
      <c r="C39" s="275">
        <f>ROUND(C33*F20,0)</f>
        <v>134</v>
      </c>
      <c r="D39" s="275"/>
      <c r="E39" s="275"/>
      <c r="F39" s="276"/>
      <c r="G39" s="1283"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148</v>
      </c>
      <c r="D41" s="278">
        <f ca="1">C44</f>
        <v>4.0000000000000002E-4</v>
      </c>
      <c r="E41" s="279" t="s">
        <v>129</v>
      </c>
      <c r="F41" s="280"/>
      <c r="G41" s="1283" t="str">
        <f>IF('数据-取费表'!B22&lt;=1,"单利计息","复利计息")</f>
        <v>单利计息</v>
      </c>
    </row>
    <row r="42" spans="1:7" ht="13.5" customHeight="1">
      <c r="A42" s="947" t="s">
        <v>794</v>
      </c>
      <c r="B42" s="258" t="s">
        <v>1061</v>
      </c>
      <c r="C42" s="281">
        <f ca="1">ROUND(IF('数据-取费表'!B22&lt;=1,C33*F22*'数据-取费表'!B21/2,C33*(POWER((1+F22),'数据-取费表'!B21/2)-1)),0)</f>
        <v>145</v>
      </c>
      <c r="D42" s="281"/>
      <c r="E42" s="281"/>
      <c r="F42" s="282"/>
      <c r="G42" s="3288" t="s">
        <v>121</v>
      </c>
    </row>
    <row r="43" spans="1:7" ht="13.5" customHeight="1">
      <c r="A43" s="947" t="s">
        <v>792</v>
      </c>
      <c r="B43" s="258" t="s">
        <v>1064</v>
      </c>
      <c r="C43" s="281">
        <f ca="1">ROUND(IF('数据-取费表'!B22&lt;=1,C39*F22*'数据-取费表'!B21/2,C39*(POWER((1+F22),'数据-取费表'!B21/2)-1)),0)</f>
        <v>3</v>
      </c>
      <c r="D43" s="281"/>
      <c r="E43" s="281"/>
      <c r="F43" s="282"/>
      <c r="G43" s="3289"/>
    </row>
    <row r="44" spans="1:7" ht="13.5" customHeight="1">
      <c r="A44" s="947" t="s">
        <v>793</v>
      </c>
      <c r="B44" s="258" t="s">
        <v>1066</v>
      </c>
      <c r="C44" s="281">
        <f ca="1">ROUND(IF('数据-取费表'!B22&lt;=1,C40*F22*'数据-取费表'!B21/2,C40*(POWER((1+F22),'数据-取费表'!B21/2)-1)),4)</f>
        <v>4.0000000000000002E-4</v>
      </c>
      <c r="D44" s="281"/>
      <c r="E44" s="281"/>
      <c r="F44" s="282"/>
      <c r="G44" s="3290"/>
    </row>
    <row r="45" spans="1:7" s="257" customFormat="1" ht="13.5" customHeight="1">
      <c r="A45" s="944" t="s">
        <v>786</v>
      </c>
      <c r="B45" s="287" t="s">
        <v>112</v>
      </c>
      <c r="C45" s="288">
        <f>C46</f>
        <v>1023</v>
      </c>
      <c r="D45" s="278">
        <f>C47</f>
        <v>3.0000000000000001E-3</v>
      </c>
      <c r="E45" s="279" t="s">
        <v>129</v>
      </c>
      <c r="F45" s="289"/>
      <c r="G45" s="290" t="s">
        <v>1072</v>
      </c>
    </row>
    <row r="46" spans="1:7" s="257" customFormat="1" ht="13.5" customHeight="1">
      <c r="A46" s="947" t="s">
        <v>794</v>
      </c>
      <c r="B46" s="291" t="s">
        <v>1065</v>
      </c>
      <c r="C46" s="292">
        <f>ROUND((C33+C39)*F27,0)</f>
        <v>1023</v>
      </c>
      <c r="D46" s="306"/>
      <c r="E46" s="279"/>
      <c r="F46" s="289"/>
      <c r="G46" s="290"/>
    </row>
    <row r="47" spans="1:7" s="257" customFormat="1" ht="13.5" customHeight="1">
      <c r="A47" s="947" t="s">
        <v>792</v>
      </c>
      <c r="B47" s="291" t="s">
        <v>1067</v>
      </c>
      <c r="C47" s="281">
        <f>ROUND(C40*F27,4)</f>
        <v>3.0000000000000001E-3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8645</v>
      </c>
      <c r="D49" s="275"/>
      <c r="E49" s="275"/>
      <c r="F49" s="307"/>
      <c r="G49" s="277" t="s">
        <v>1073</v>
      </c>
    </row>
    <row r="50" spans="1:7" s="301" customFormat="1" ht="24">
      <c r="A50" s="944" t="s">
        <v>789</v>
      </c>
      <c r="B50" s="253" t="s">
        <v>124</v>
      </c>
      <c r="C50" s="275"/>
      <c r="D50" s="275"/>
      <c r="E50" s="275"/>
      <c r="F50" s="307">
        <f>IF('数据-取费表'!B24=0,'数据-取费表'!N16,1)</f>
        <v>0.95</v>
      </c>
      <c r="G50" s="290" t="s">
        <v>125</v>
      </c>
    </row>
    <row r="51" spans="1:7" ht="16.5" customHeight="1">
      <c r="A51" s="944" t="s">
        <v>790</v>
      </c>
      <c r="B51" s="253" t="s">
        <v>132</v>
      </c>
      <c r="C51" s="275">
        <f ca="1">ROUND(C49*F50,0)</f>
        <v>8213</v>
      </c>
      <c r="D51" s="275"/>
      <c r="E51" s="275"/>
      <c r="F51" s="307"/>
      <c r="G51" s="277" t="s">
        <v>64</v>
      </c>
    </row>
    <row r="52" spans="1:7" s="251" customFormat="1" ht="16.5" thickBot="1">
      <c r="A52" s="308" t="s">
        <v>65</v>
      </c>
      <c r="B52" s="309"/>
      <c r="C52" s="310">
        <f ca="1">C31+C51</f>
        <v>35807</v>
      </c>
      <c r="D52" s="309"/>
      <c r="E52" s="309"/>
      <c r="F52" s="309"/>
      <c r="G52" s="311"/>
    </row>
    <row r="55" spans="1:7" ht="15">
      <c r="B55" s="313" t="s">
        <v>66</v>
      </c>
      <c r="C55" s="314"/>
    </row>
    <row r="56" spans="1:7">
      <c r="B56" s="316" t="s">
        <v>67</v>
      </c>
      <c r="C56" s="317">
        <f ca="1">ROUND(C51/C52,3)</f>
        <v>0.22900000000000001</v>
      </c>
    </row>
    <row r="57" spans="1:7">
      <c r="B57" s="316" t="s">
        <v>68</v>
      </c>
      <c r="C57" s="318">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37" t="s">
        <v>156</v>
      </c>
      <c r="B1" s="3437"/>
      <c r="C1" s="3437"/>
      <c r="D1" s="3437"/>
      <c r="E1" s="3437"/>
      <c r="F1" s="343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38" t="s">
        <v>169</v>
      </c>
      <c r="B2" s="3438"/>
      <c r="C2" s="3438"/>
      <c r="D2" s="3438"/>
      <c r="E2" s="3438"/>
      <c r="F2" s="343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3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37" t="s">
        <v>871</v>
      </c>
      <c r="B1" s="343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1298</v>
      </c>
      <c r="C1" s="1688">
        <f>项目基本情况!D3</f>
        <v>43185</v>
      </c>
      <c r="D1" s="1694" t="s">
        <v>1299</v>
      </c>
      <c r="E1" s="1689">
        <f>'数据-取费表'!B22</f>
        <v>1</v>
      </c>
      <c r="F1" s="1694" t="s">
        <v>1300</v>
      </c>
      <c r="G1" s="1690">
        <f ca="1">INDIRECT("d"&amp;$K$1)/100</f>
        <v>4.3499999999999997E-2</v>
      </c>
      <c r="H1" s="1694" t="s">
        <v>1330</v>
      </c>
      <c r="I1" s="1690">
        <f ca="1">F4/100</f>
        <v>1.4999999999999999E-2</v>
      </c>
      <c r="J1" s="1695">
        <f>IF(C1&gt;C13,0,MATCH(C1,C$13:C$100,-1))+IF(SUMIF(C13:C100,C1,D13:D100)=0,13,12)</f>
        <v>13</v>
      </c>
      <c r="K1" s="1695">
        <f ca="1">MATCH(E1,C3:C7,1)+IF(SUMIF(C3:C7,E1,D3:D7)=0,2,1)</f>
        <v>4</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1301</v>
      </c>
      <c r="E2" s="1630"/>
      <c r="F2" s="1630" t="s">
        <v>1302</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1303</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1304</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1305</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1306</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1307</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1308</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1309</v>
      </c>
      <c r="C10" s="1658"/>
      <c r="D10" s="1658"/>
      <c r="E10" s="1658"/>
      <c r="F10" s="1658"/>
      <c r="G10" s="1658"/>
      <c r="H10" s="1658"/>
      <c r="I10" s="1632"/>
      <c r="J10" s="1632"/>
      <c r="K10" s="1658"/>
      <c r="L10" s="1659" t="s">
        <v>1310</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1311</v>
      </c>
      <c r="C11" s="1663" t="s">
        <v>1312</v>
      </c>
      <c r="D11" s="1664" t="s">
        <v>1313</v>
      </c>
      <c r="E11" s="1665"/>
      <c r="F11" s="1664" t="s">
        <v>1314</v>
      </c>
      <c r="G11" s="1666"/>
      <c r="H11" s="1665"/>
      <c r="I11" s="1664" t="s">
        <v>1315</v>
      </c>
      <c r="J11" s="1665"/>
      <c r="K11" s="1661"/>
      <c r="L11" s="1662" t="s">
        <v>1311</v>
      </c>
      <c r="M11" s="1663" t="s">
        <v>1312</v>
      </c>
      <c r="N11" s="1662" t="s">
        <v>1316</v>
      </c>
      <c r="O11" s="1664" t="s">
        <v>1317</v>
      </c>
      <c r="P11" s="1666"/>
      <c r="Q11" s="1666"/>
      <c r="R11" s="1666"/>
      <c r="S11" s="1666"/>
      <c r="T11" s="1665"/>
      <c r="U11" s="1664" t="s">
        <v>1318</v>
      </c>
      <c r="V11" s="1666"/>
      <c r="W11" s="1665"/>
      <c r="X11" s="1662" t="s">
        <v>1319</v>
      </c>
      <c r="Y11" s="1662" t="s">
        <v>1320</v>
      </c>
      <c r="Z11" s="1662" t="s">
        <v>1321</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1322</v>
      </c>
      <c r="E12" s="1671" t="s">
        <v>1323</v>
      </c>
      <c r="F12" s="1671" t="s">
        <v>1324</v>
      </c>
      <c r="G12" s="1671" t="s">
        <v>1325</v>
      </c>
      <c r="H12" s="1671" t="s">
        <v>1307</v>
      </c>
      <c r="I12" s="1672" t="s">
        <v>1326</v>
      </c>
      <c r="J12" s="1672" t="s">
        <v>1326</v>
      </c>
      <c r="K12" s="1668"/>
      <c r="L12" s="1669"/>
      <c r="M12" s="1670"/>
      <c r="N12" s="1669"/>
      <c r="O12" s="1672" t="s">
        <v>1327</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1328</v>
      </c>
      <c r="C13" s="1676">
        <v>42301</v>
      </c>
      <c r="D13" s="1677">
        <v>4.3499999999999996</v>
      </c>
      <c r="E13" s="1677">
        <v>4.3499999999999996</v>
      </c>
      <c r="F13" s="1677">
        <v>4.75</v>
      </c>
      <c r="G13" s="1677">
        <v>4.75</v>
      </c>
      <c r="H13" s="1677">
        <v>4.9000000000000004</v>
      </c>
      <c r="I13" s="1677">
        <v>2.75</v>
      </c>
      <c r="J13" s="1677">
        <v>3.25</v>
      </c>
      <c r="K13" s="1674"/>
      <c r="L13" s="1675" t="s">
        <v>1328</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1329</v>
      </c>
      <c r="Y42" s="1681" t="s">
        <v>1329</v>
      </c>
      <c r="Z42" s="1681" t="s">
        <v>1329</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1329</v>
      </c>
      <c r="Y43" s="1681" t="s">
        <v>1329</v>
      </c>
      <c r="Z43" s="1681" t="s">
        <v>1329</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1329</v>
      </c>
      <c r="Y44" s="1681" t="s">
        <v>1329</v>
      </c>
      <c r="Z44" s="1681" t="s">
        <v>1329</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1329</v>
      </c>
      <c r="Y45" s="1681" t="s">
        <v>1329</v>
      </c>
      <c r="Z45" s="1681" t="s">
        <v>1329</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1329</v>
      </c>
      <c r="Y46" s="1681" t="s">
        <v>1329</v>
      </c>
      <c r="Z46" s="1681" t="s">
        <v>1329</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1329</v>
      </c>
      <c r="Y47" s="1681" t="s">
        <v>1329</v>
      </c>
      <c r="Z47" s="1681" t="s">
        <v>1329</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1329</v>
      </c>
      <c r="Y48" s="1681" t="s">
        <v>1329</v>
      </c>
      <c r="Z48" s="1681" t="s">
        <v>1329</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1329</v>
      </c>
      <c r="Y49" s="1681" t="s">
        <v>1329</v>
      </c>
      <c r="Z49" s="1681" t="s">
        <v>1329</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1329</v>
      </c>
      <c r="Y50" s="1681" t="s">
        <v>1329</v>
      </c>
      <c r="Z50" s="1681" t="s">
        <v>1329</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1329</v>
      </c>
      <c r="V51" s="1681" t="s">
        <v>1329</v>
      </c>
      <c r="W51" s="1681" t="s">
        <v>1329</v>
      </c>
      <c r="X51" s="1681" t="s">
        <v>1329</v>
      </c>
      <c r="Y51" s="1681" t="s">
        <v>1329</v>
      </c>
      <c r="Z51" s="1681" t="s">
        <v>1329</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1329</v>
      </c>
      <c r="J55" s="1681" t="s">
        <v>1329</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1370</v>
      </c>
      <c r="E1" s="1770" t="s">
        <v>1374</v>
      </c>
      <c r="F1" s="1771" t="s">
        <v>1378</v>
      </c>
    </row>
    <row r="2" spans="1:13" ht="20.25">
      <c r="A2" s="1777" t="s">
        <v>1371</v>
      </c>
    </row>
    <row r="3" spans="1:13" ht="16.5">
      <c r="A3" s="1778" t="s">
        <v>1372</v>
      </c>
    </row>
    <row r="4" spans="1:13" ht="14.25">
      <c r="A4" s="1768" t="s">
        <v>1373</v>
      </c>
      <c r="B4" s="1773" t="s">
        <v>1375</v>
      </c>
      <c r="C4" s="1774"/>
      <c r="D4" s="1775"/>
      <c r="E4" s="1773" t="s">
        <v>27</v>
      </c>
      <c r="F4" s="1774"/>
      <c r="G4" s="1775"/>
      <c r="H4" s="1773" t="s">
        <v>1376</v>
      </c>
      <c r="I4" s="1774"/>
      <c r="J4" s="1775"/>
      <c r="K4" s="1773" t="s">
        <v>6</v>
      </c>
      <c r="L4" s="1774"/>
      <c r="M4" s="1775"/>
    </row>
    <row r="5" spans="1:13" ht="14.25">
      <c r="A5" s="1769" t="s">
        <v>1377</v>
      </c>
      <c r="B5" s="1768" t="s">
        <v>1379</v>
      </c>
      <c r="C5" s="1768" t="s">
        <v>1380</v>
      </c>
      <c r="D5" s="1768" t="s">
        <v>1381</v>
      </c>
      <c r="E5" s="1768" t="s">
        <v>1379</v>
      </c>
      <c r="F5" s="1768" t="s">
        <v>1380</v>
      </c>
      <c r="G5" s="1768" t="s">
        <v>1381</v>
      </c>
      <c r="H5" s="1768" t="s">
        <v>1379</v>
      </c>
      <c r="I5" s="1768" t="s">
        <v>1380</v>
      </c>
      <c r="J5" s="1768" t="s">
        <v>1381</v>
      </c>
      <c r="K5" s="1768" t="s">
        <v>1379</v>
      </c>
      <c r="L5" s="1768" t="s">
        <v>1380</v>
      </c>
      <c r="M5" s="1768" t="s">
        <v>1381</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1640</v>
      </c>
      <c r="B2" s="3097" t="s">
        <v>1641</v>
      </c>
      <c r="C2" s="3097" t="s">
        <v>1642</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1"/>
      <c r="B3" s="3091"/>
      <c r="C3" s="3091"/>
      <c r="D3" s="1040" t="s">
        <v>1637</v>
      </c>
      <c r="E3" s="1040" t="s">
        <v>1643</v>
      </c>
      <c r="F3" s="1040" t="s">
        <v>1637</v>
      </c>
      <c r="G3" s="1040" t="s">
        <v>1638</v>
      </c>
      <c r="H3" s="1040" t="s">
        <v>1637</v>
      </c>
      <c r="I3" s="1040" t="s">
        <v>1638</v>
      </c>
    </row>
    <row r="4" spans="1:9" ht="30">
      <c r="A4" s="1967" t="str">
        <f>项目基本情况!S2</f>
        <v>北京市通州区砖厂南里40、41、207号楼商业用房房地产</v>
      </c>
      <c r="B4" s="1040">
        <f>项目基本情况!C17</f>
        <v>17329.439999999999</v>
      </c>
      <c r="C4" s="1040">
        <f>项目基本情况!C18</f>
        <v>0</v>
      </c>
      <c r="D4" s="1040" t="e">
        <f ca="1">结果表!D118</f>
        <v>#N/A</v>
      </c>
      <c r="E4" s="1040" t="e">
        <f ca="1">结果表!E118</f>
        <v>#N/A</v>
      </c>
      <c r="F4" s="1040" t="e">
        <f ca="1">结果表!F118</f>
        <v>#N/A</v>
      </c>
      <c r="G4" s="1040" t="e">
        <f ca="1">结果表!G118</f>
        <v>#N/A</v>
      </c>
      <c r="H4" s="1040">
        <f ca="1">结果表!H118</f>
        <v>32995</v>
      </c>
      <c r="I4" s="1040">
        <f ca="1">结果表!I118</f>
        <v>19040</v>
      </c>
    </row>
    <row r="5" spans="1:9" ht="30" customHeight="1">
      <c r="A5" s="3091" t="s">
        <v>1639</v>
      </c>
      <c r="B5" s="3091"/>
      <c r="C5" s="3091"/>
      <c r="D5" s="3092" t="e">
        <f ca="1">结果表!D119</f>
        <v>#N/A</v>
      </c>
      <c r="E5" s="3092"/>
      <c r="F5" s="3092" t="e">
        <f ca="1">结果表!F119</f>
        <v>#N/A</v>
      </c>
      <c r="G5" s="3092"/>
      <c r="H5" s="3092" t="str">
        <f ca="1">结果表!H119</f>
        <v>叁亿贰仟玖佰玖拾伍万元整</v>
      </c>
      <c r="I5" s="3092"/>
    </row>
    <row r="6" spans="1:9" ht="15.75">
      <c r="A6" s="3090" t="str">
        <f>结果表!A120</f>
        <v>估价师知悉的法定优先受偿款</v>
      </c>
      <c r="B6" s="3090"/>
      <c r="C6" s="3090"/>
      <c r="D6" s="3090">
        <f>结果表!D120</f>
        <v>0</v>
      </c>
      <c r="E6" s="3090"/>
      <c r="F6" s="3090"/>
      <c r="G6" s="3090"/>
      <c r="H6" s="3090"/>
      <c r="I6" s="3090"/>
    </row>
    <row r="7" spans="1:9" ht="15">
      <c r="A7" s="3091" t="s">
        <v>1639</v>
      </c>
      <c r="B7" s="3091"/>
      <c r="C7" s="3091"/>
      <c r="D7" s="3093" t="str">
        <f>结果表!D121</f>
        <v>零元整</v>
      </c>
      <c r="E7" s="3094"/>
      <c r="F7" s="3094"/>
      <c r="G7" s="3094"/>
      <c r="H7" s="3094"/>
      <c r="I7" s="3095"/>
    </row>
    <row r="8" spans="1:9" ht="15.75">
      <c r="A8" s="3090" t="str">
        <f>结果表!A122</f>
        <v>房地产抵押价值</v>
      </c>
      <c r="B8" s="3090"/>
      <c r="C8" s="3090"/>
      <c r="D8" s="3090">
        <f ca="1">结果表!D122</f>
        <v>32995</v>
      </c>
      <c r="E8" s="3090"/>
      <c r="F8" s="3090"/>
      <c r="G8" s="3090"/>
      <c r="H8" s="3090"/>
      <c r="I8" s="3090"/>
    </row>
    <row r="9" spans="1:9" ht="15">
      <c r="A9" s="3091" t="s">
        <v>1639</v>
      </c>
      <c r="B9" s="3091"/>
      <c r="C9" s="3091"/>
      <c r="D9" s="3092" t="str">
        <f ca="1">结果表!D123</f>
        <v>叁亿贰仟玖佰玖拾伍万元整</v>
      </c>
      <c r="E9" s="3092"/>
      <c r="F9" s="3092"/>
      <c r="G9" s="3092"/>
      <c r="H9" s="3092"/>
      <c r="I9" s="3092"/>
    </row>
    <row r="10" spans="1:9" ht="15.75">
      <c r="A10" s="3090" t="str">
        <f>结果表!A124</f>
        <v/>
      </c>
      <c r="B10" s="3090"/>
      <c r="C10" s="3090"/>
      <c r="D10" s="3090" t="str">
        <f>结果表!D124</f>
        <v>——</v>
      </c>
      <c r="E10" s="3090"/>
      <c r="F10" s="3090"/>
      <c r="G10" s="3090"/>
      <c r="H10" s="3090"/>
      <c r="I10" s="3090"/>
    </row>
    <row r="11" spans="1:9" ht="15">
      <c r="A11" s="3091" t="s">
        <v>1639</v>
      </c>
      <c r="B11" s="3091"/>
      <c r="C11" s="3091"/>
      <c r="D11" s="3092" t="e">
        <f>结果表!D125</f>
        <v>#VALUE!</v>
      </c>
      <c r="E11" s="3092"/>
      <c r="F11" s="3092"/>
      <c r="G11" s="3092"/>
      <c r="H11" s="3092"/>
      <c r="I11" s="3092"/>
    </row>
    <row r="12" spans="1:9" ht="15.75">
      <c r="A12" s="3090" t="str">
        <f>结果表!A126</f>
        <v/>
      </c>
      <c r="B12" s="3090"/>
      <c r="C12" s="3090"/>
      <c r="D12" s="3090" t="str">
        <f>结果表!D126</f>
        <v>——</v>
      </c>
      <c r="E12" s="3090"/>
      <c r="F12" s="3090"/>
      <c r="G12" s="3090"/>
      <c r="H12" s="3090"/>
      <c r="I12" s="3090"/>
    </row>
    <row r="13" spans="1:9" ht="15.75" thickBot="1">
      <c r="A13" s="3087" t="s">
        <v>1639</v>
      </c>
      <c r="B13" s="3087"/>
      <c r="C13" s="3087"/>
      <c r="D13" s="3088" t="e">
        <f>结果表!D127</f>
        <v>#VALUE!</v>
      </c>
      <c r="E13" s="3088"/>
      <c r="F13" s="3088"/>
      <c r="G13" s="3088"/>
      <c r="H13" s="3088"/>
      <c r="I13" s="3088"/>
    </row>
    <row r="14" spans="1:9" ht="15" thickTop="1">
      <c r="A14" s="3089" t="s">
        <v>1644</v>
      </c>
      <c r="B14" s="3089"/>
      <c r="C14" s="3089"/>
      <c r="D14" s="3089"/>
      <c r="E14" s="3089"/>
      <c r="F14" s="3089"/>
      <c r="G14" s="3089"/>
      <c r="H14" s="3089"/>
      <c r="I14" s="3089"/>
    </row>
    <row r="16" spans="1:9" ht="18.75">
      <c r="A16" s="1968" t="s">
        <v>1627</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O24" sqref="C1:O24"/>
    </sheetView>
  </sheetViews>
  <sheetFormatPr defaultRowHeight="13.5"/>
  <sheetData>
    <row r="1" spans="3:15" ht="25.5">
      <c r="C1" s="3442" t="s">
        <v>3327</v>
      </c>
      <c r="D1" s="3442" t="s">
        <v>3328</v>
      </c>
      <c r="E1" s="3442" t="s">
        <v>3329</v>
      </c>
      <c r="F1" s="3442" t="s">
        <v>3330</v>
      </c>
      <c r="G1" s="3442" t="s">
        <v>3331</v>
      </c>
      <c r="H1" s="3442" t="str">
        <f>典型户型修正!D23</f>
        <v>临街状况</v>
      </c>
      <c r="I1" s="3442" t="s">
        <v>3333</v>
      </c>
      <c r="J1" s="3442" t="s">
        <v>3334</v>
      </c>
      <c r="K1" s="3442" t="s">
        <v>3335</v>
      </c>
      <c r="L1" s="3442" t="s">
        <v>3336</v>
      </c>
      <c r="M1" s="3442" t="s">
        <v>3337</v>
      </c>
      <c r="N1" s="3442" t="s">
        <v>3332</v>
      </c>
      <c r="O1" s="3442" t="s">
        <v>1358</v>
      </c>
    </row>
    <row r="2" spans="3:15">
      <c r="C2" s="3441">
        <v>101</v>
      </c>
      <c r="D2" s="3441">
        <f>典型户型修正!P24</f>
        <v>1</v>
      </c>
      <c r="E2" s="3441">
        <f>典型户型修正!B24</f>
        <v>117.95</v>
      </c>
      <c r="F2" s="3441">
        <f>典型户型修正!C24</f>
        <v>1</v>
      </c>
      <c r="G2" s="3441">
        <f>典型户型修正!Q24</f>
        <v>1</v>
      </c>
      <c r="H2" s="3441" t="str">
        <f>典型户型修正!D24</f>
        <v>单面</v>
      </c>
      <c r="I2" s="3441">
        <f>典型户型修正!E24</f>
        <v>1</v>
      </c>
      <c r="J2" s="3441" t="str">
        <f>典型户型修正!F24</f>
        <v>一般</v>
      </c>
      <c r="K2" s="3441">
        <f>典型户型修正!G24</f>
        <v>1</v>
      </c>
      <c r="L2" s="3441" t="str">
        <f>典型户型修正!H24</f>
        <v>精装修</v>
      </c>
      <c r="M2" s="3441">
        <f>典型户型修正!I24</f>
        <v>1</v>
      </c>
      <c r="N2" s="3441">
        <f>典型户型修正!R24</f>
        <v>43484</v>
      </c>
      <c r="O2" s="3441">
        <f>典型户型修正!S24</f>
        <v>513</v>
      </c>
    </row>
    <row r="3" spans="3:15">
      <c r="C3" s="3441">
        <v>102</v>
      </c>
      <c r="D3" s="3441">
        <f>典型户型修正!P25</f>
        <v>1</v>
      </c>
      <c r="E3" s="3441">
        <f>典型户型修正!B25</f>
        <v>212.21</v>
      </c>
      <c r="F3" s="3441">
        <f>典型户型修正!C25</f>
        <v>0.99</v>
      </c>
      <c r="G3" s="3441">
        <f>典型户型修正!Q25</f>
        <v>1</v>
      </c>
      <c r="H3" s="3441" t="str">
        <f>典型户型修正!D25</f>
        <v>单面</v>
      </c>
      <c r="I3" s="3441">
        <f>典型户型修正!E25</f>
        <v>1</v>
      </c>
      <c r="J3" s="3441" t="str">
        <f>典型户型修正!F25</f>
        <v>一般</v>
      </c>
      <c r="K3" s="3441">
        <f>典型户型修正!G25</f>
        <v>1</v>
      </c>
      <c r="L3" s="3441" t="str">
        <f>典型户型修正!H25</f>
        <v>精装修</v>
      </c>
      <c r="M3" s="3441">
        <f>典型户型修正!I25</f>
        <v>1</v>
      </c>
      <c r="N3" s="3441">
        <f>典型户型修正!R25</f>
        <v>43049</v>
      </c>
      <c r="O3" s="3441">
        <f>典型户型修正!S25</f>
        <v>914</v>
      </c>
    </row>
    <row r="4" spans="3:15">
      <c r="C4" s="3441">
        <v>201</v>
      </c>
      <c r="D4" s="3441">
        <f>典型户型修正!P26</f>
        <v>2</v>
      </c>
      <c r="E4" s="3441">
        <f>典型户型修正!B26</f>
        <v>487.19</v>
      </c>
      <c r="F4" s="3441">
        <f>典型户型修正!C26</f>
        <v>0.99</v>
      </c>
      <c r="G4" s="3441">
        <f>典型户型修正!Q26</f>
        <v>0.65</v>
      </c>
      <c r="H4" s="3441" t="str">
        <f>典型户型修正!D26</f>
        <v>不临街</v>
      </c>
      <c r="I4" s="3441">
        <f>典型户型修正!E26</f>
        <v>0.97</v>
      </c>
      <c r="J4" s="3441" t="str">
        <f>典型户型修正!F26</f>
        <v>较差</v>
      </c>
      <c r="K4" s="3441">
        <f>典型户型修正!G26</f>
        <v>0.97</v>
      </c>
      <c r="L4" s="3441" t="str">
        <f>典型户型修正!H26</f>
        <v>精装修</v>
      </c>
      <c r="M4" s="3441">
        <f>典型户型修正!I26</f>
        <v>1</v>
      </c>
      <c r="N4" s="3441">
        <f>典型户型修正!R26</f>
        <v>26328</v>
      </c>
      <c r="O4" s="3441">
        <f>典型户型修正!S26</f>
        <v>1283</v>
      </c>
    </row>
    <row r="5" spans="3:15">
      <c r="C5" s="3441">
        <v>202</v>
      </c>
      <c r="D5" s="3441">
        <f>典型户型修正!P27</f>
        <v>2</v>
      </c>
      <c r="E5" s="3441">
        <f>典型户型修正!B27</f>
        <v>493.67</v>
      </c>
      <c r="F5" s="3441">
        <f>典型户型修正!C27</f>
        <v>0.99</v>
      </c>
      <c r="G5" s="3441">
        <f>典型户型修正!Q27</f>
        <v>0.65</v>
      </c>
      <c r="H5" s="3441" t="str">
        <f>典型户型修正!D27</f>
        <v>不临街</v>
      </c>
      <c r="I5" s="3441">
        <f>典型户型修正!E27</f>
        <v>0.97</v>
      </c>
      <c r="J5" s="3441" t="str">
        <f>典型户型修正!F27</f>
        <v>较差</v>
      </c>
      <c r="K5" s="3441">
        <f>典型户型修正!G27</f>
        <v>0.97</v>
      </c>
      <c r="L5" s="3441" t="str">
        <f>典型户型修正!H27</f>
        <v>精装修</v>
      </c>
      <c r="M5" s="3441">
        <f>典型户型修正!I27</f>
        <v>1</v>
      </c>
      <c r="N5" s="3441">
        <f>典型户型修正!R27</f>
        <v>26328</v>
      </c>
      <c r="O5" s="3441">
        <f>典型户型修正!S27</f>
        <v>1300</v>
      </c>
    </row>
    <row r="6" spans="3:15">
      <c r="C6" s="3441">
        <v>212</v>
      </c>
      <c r="D6" s="3441">
        <f>典型户型修正!P28</f>
        <v>2</v>
      </c>
      <c r="E6" s="3441">
        <f>典型户型修正!B28</f>
        <v>424.89</v>
      </c>
      <c r="F6" s="3441">
        <f>典型户型修正!C28</f>
        <v>0.99</v>
      </c>
      <c r="G6" s="3441">
        <f>典型户型修正!Q28</f>
        <v>0.65</v>
      </c>
      <c r="H6" s="3441" t="str">
        <f>典型户型修正!D28</f>
        <v>不临街</v>
      </c>
      <c r="I6" s="3441">
        <f>典型户型修正!E28</f>
        <v>0.97</v>
      </c>
      <c r="J6" s="3441" t="str">
        <f>典型户型修正!F28</f>
        <v>较差</v>
      </c>
      <c r="K6" s="3441">
        <f>典型户型修正!G28</f>
        <v>0.97</v>
      </c>
      <c r="L6" s="3441" t="str">
        <f>典型户型修正!H28</f>
        <v>精装修</v>
      </c>
      <c r="M6" s="3441">
        <f>典型户型修正!I28</f>
        <v>1</v>
      </c>
      <c r="N6" s="3441">
        <f>典型户型修正!R28</f>
        <v>26328</v>
      </c>
      <c r="O6" s="3441">
        <f>典型户型修正!S28</f>
        <v>1119</v>
      </c>
    </row>
    <row r="7" spans="3:15">
      <c r="C7" s="3441">
        <v>213</v>
      </c>
      <c r="D7" s="3441">
        <f>典型户型修正!P29</f>
        <v>2</v>
      </c>
      <c r="E7" s="3441">
        <f>典型户型修正!B29</f>
        <v>447.14</v>
      </c>
      <c r="F7" s="3441">
        <f>典型户型修正!C29</f>
        <v>0.99</v>
      </c>
      <c r="G7" s="3441">
        <f>典型户型修正!Q29</f>
        <v>0.65</v>
      </c>
      <c r="H7" s="3441" t="str">
        <f>典型户型修正!D29</f>
        <v>不临街</v>
      </c>
      <c r="I7" s="3441">
        <f>典型户型修正!E29</f>
        <v>0.97</v>
      </c>
      <c r="J7" s="3441" t="str">
        <f>典型户型修正!F29</f>
        <v>较差</v>
      </c>
      <c r="K7" s="3441">
        <f>典型户型修正!G29</f>
        <v>0.97</v>
      </c>
      <c r="L7" s="3441" t="str">
        <f>典型户型修正!H29</f>
        <v>精装修</v>
      </c>
      <c r="M7" s="3441">
        <f>典型户型修正!I29</f>
        <v>1</v>
      </c>
      <c r="N7" s="3441">
        <f>典型户型修正!R29</f>
        <v>26328</v>
      </c>
      <c r="O7" s="3441">
        <f>典型户型修正!S29</f>
        <v>1177</v>
      </c>
    </row>
    <row r="8" spans="3:15">
      <c r="C8" s="3441">
        <v>301</v>
      </c>
      <c r="D8" s="3441">
        <f>典型户型修正!P30</f>
        <v>3</v>
      </c>
      <c r="E8" s="3441">
        <f>典型户型修正!B30</f>
        <v>5414.13</v>
      </c>
      <c r="F8" s="3441">
        <f>典型户型修正!C30</f>
        <v>0.9</v>
      </c>
      <c r="G8" s="3441">
        <f>典型户型修正!Q30</f>
        <v>0.55000000000000004</v>
      </c>
      <c r="H8" s="3441" t="str">
        <f>典型户型修正!D30</f>
        <v>不临街</v>
      </c>
      <c r="I8" s="3441">
        <f>典型户型修正!E30</f>
        <v>0.97</v>
      </c>
      <c r="J8" s="3441" t="str">
        <f>典型户型修正!F30</f>
        <v>较差</v>
      </c>
      <c r="K8" s="3441">
        <f>典型户型修正!G30</f>
        <v>0.97</v>
      </c>
      <c r="L8" s="3441" t="str">
        <f>典型户型修正!H30</f>
        <v>精装修</v>
      </c>
      <c r="M8" s="3441">
        <f>典型户型修正!I30</f>
        <v>1</v>
      </c>
      <c r="N8" s="3441">
        <f>典型户型修正!R30</f>
        <v>20252</v>
      </c>
      <c r="O8" s="3441">
        <f>典型户型修正!S30</f>
        <v>10965</v>
      </c>
    </row>
    <row r="9" spans="3:15">
      <c r="C9" s="3441">
        <v>201</v>
      </c>
      <c r="D9" s="3441">
        <f>典型户型修正!P31</f>
        <v>2</v>
      </c>
      <c r="E9" s="3441">
        <f>典型户型修正!B31</f>
        <v>421.09</v>
      </c>
      <c r="F9" s="3441">
        <f>典型户型修正!C31</f>
        <v>0.99</v>
      </c>
      <c r="G9" s="3441">
        <f>典型户型修正!Q31</f>
        <v>0.65</v>
      </c>
      <c r="H9" s="3441" t="str">
        <f>典型户型修正!D31</f>
        <v>不临街</v>
      </c>
      <c r="I9" s="3441">
        <f>典型户型修正!E31</f>
        <v>0.97</v>
      </c>
      <c r="J9" s="3441" t="str">
        <f>典型户型修正!F31</f>
        <v>较差</v>
      </c>
      <c r="K9" s="3441">
        <f>典型户型修正!G31</f>
        <v>0.97</v>
      </c>
      <c r="L9" s="3441" t="str">
        <f>典型户型修正!H31</f>
        <v>精装修</v>
      </c>
      <c r="M9" s="3441">
        <f>典型户型修正!I31</f>
        <v>1</v>
      </c>
      <c r="N9" s="3441">
        <f>典型户型修正!R31</f>
        <v>26328</v>
      </c>
      <c r="O9" s="3441">
        <f>典型户型修正!S31</f>
        <v>1109</v>
      </c>
    </row>
    <row r="10" spans="3:15">
      <c r="C10" s="3441">
        <v>205</v>
      </c>
      <c r="D10" s="3441">
        <f>典型户型修正!P32</f>
        <v>2</v>
      </c>
      <c r="E10" s="3441">
        <f>典型户型修正!B32</f>
        <v>176.09</v>
      </c>
      <c r="F10" s="3441">
        <f>典型户型修正!C32</f>
        <v>1</v>
      </c>
      <c r="G10" s="3441">
        <f>典型户型修正!Q32</f>
        <v>0.65</v>
      </c>
      <c r="H10" s="3441" t="str">
        <f>典型户型修正!D32</f>
        <v>不临街</v>
      </c>
      <c r="I10" s="3441">
        <f>典型户型修正!E32</f>
        <v>0.97</v>
      </c>
      <c r="J10" s="3441" t="str">
        <f>典型户型修正!F32</f>
        <v>较差</v>
      </c>
      <c r="K10" s="3441">
        <f>典型户型修正!G32</f>
        <v>0.97</v>
      </c>
      <c r="L10" s="3441" t="str">
        <f>典型户型修正!H32</f>
        <v>精装修</v>
      </c>
      <c r="M10" s="3441">
        <f>典型户型修正!I32</f>
        <v>1</v>
      </c>
      <c r="N10" s="3441">
        <f>典型户型修正!R32</f>
        <v>26594</v>
      </c>
      <c r="O10" s="3441">
        <f>典型户型修正!S32</f>
        <v>468</v>
      </c>
    </row>
    <row r="11" spans="3:15">
      <c r="C11" s="3441">
        <v>206</v>
      </c>
      <c r="D11" s="3441">
        <f>典型户型修正!P33</f>
        <v>2</v>
      </c>
      <c r="E11" s="3441">
        <f>典型户型修正!B33</f>
        <v>389.8</v>
      </c>
      <c r="F11" s="3441">
        <f>典型户型修正!C33</f>
        <v>0.99</v>
      </c>
      <c r="G11" s="3441">
        <f>典型户型修正!Q33</f>
        <v>0.65</v>
      </c>
      <c r="H11" s="3441" t="str">
        <f>典型户型修正!D33</f>
        <v>不临街</v>
      </c>
      <c r="I11" s="3441">
        <f>典型户型修正!E33</f>
        <v>0.97</v>
      </c>
      <c r="J11" s="3441" t="str">
        <f>典型户型修正!F33</f>
        <v>较差</v>
      </c>
      <c r="K11" s="3441">
        <f>典型户型修正!G33</f>
        <v>0.97</v>
      </c>
      <c r="L11" s="3441" t="str">
        <f>典型户型修正!H33</f>
        <v>精装修</v>
      </c>
      <c r="M11" s="3441">
        <f>典型户型修正!I33</f>
        <v>1</v>
      </c>
      <c r="N11" s="3441">
        <f>典型户型修正!R33</f>
        <v>26328</v>
      </c>
      <c r="O11" s="3441">
        <f>典型户型修正!S33</f>
        <v>1026</v>
      </c>
    </row>
    <row r="12" spans="3:15">
      <c r="C12" s="3441">
        <v>207</v>
      </c>
      <c r="D12" s="3441">
        <f>典型户型修正!P34</f>
        <v>2</v>
      </c>
      <c r="E12" s="3441">
        <f>典型户型修正!B34</f>
        <v>495.92</v>
      </c>
      <c r="F12" s="3441">
        <f>典型户型修正!C34</f>
        <v>0.99</v>
      </c>
      <c r="G12" s="3441">
        <f>典型户型修正!Q34</f>
        <v>0.65</v>
      </c>
      <c r="H12" s="3441" t="str">
        <f>典型户型修正!D34</f>
        <v>不临街</v>
      </c>
      <c r="I12" s="3441">
        <f>典型户型修正!E34</f>
        <v>0.97</v>
      </c>
      <c r="J12" s="3441" t="str">
        <f>典型户型修正!F34</f>
        <v>较差</v>
      </c>
      <c r="K12" s="3441">
        <f>典型户型修正!G34</f>
        <v>0.97</v>
      </c>
      <c r="L12" s="3441" t="str">
        <f>典型户型修正!H34</f>
        <v>精装修</v>
      </c>
      <c r="M12" s="3441">
        <f>典型户型修正!I34</f>
        <v>1</v>
      </c>
      <c r="N12" s="3441">
        <f>典型户型修正!R34</f>
        <v>26328</v>
      </c>
      <c r="O12" s="3441">
        <f>典型户型修正!S34</f>
        <v>1306</v>
      </c>
    </row>
    <row r="13" spans="3:15">
      <c r="C13" s="3441">
        <v>208</v>
      </c>
      <c r="D13" s="3441">
        <f>典型户型修正!P35</f>
        <v>2</v>
      </c>
      <c r="E13" s="3441">
        <f>典型户型修正!B35</f>
        <v>210.47</v>
      </c>
      <c r="F13" s="3441">
        <f>典型户型修正!C35</f>
        <v>0.99</v>
      </c>
      <c r="G13" s="3441">
        <f>典型户型修正!Q35</f>
        <v>0.65</v>
      </c>
      <c r="H13" s="3441" t="str">
        <f>典型户型修正!D35</f>
        <v>不临街</v>
      </c>
      <c r="I13" s="3441">
        <f>典型户型修正!E35</f>
        <v>0.97</v>
      </c>
      <c r="J13" s="3441" t="str">
        <f>典型户型修正!F35</f>
        <v>较差</v>
      </c>
      <c r="K13" s="3441">
        <f>典型户型修正!G35</f>
        <v>0.97</v>
      </c>
      <c r="L13" s="3441" t="str">
        <f>典型户型修正!H35</f>
        <v>精装修</v>
      </c>
      <c r="M13" s="3441">
        <f>典型户型修正!I35</f>
        <v>1</v>
      </c>
      <c r="N13" s="3441">
        <f>典型户型修正!R35</f>
        <v>26328</v>
      </c>
      <c r="O13" s="3441">
        <f>典型户型修正!S35</f>
        <v>554</v>
      </c>
    </row>
    <row r="14" spans="3:15">
      <c r="C14" s="3441">
        <v>-101</v>
      </c>
      <c r="D14" s="3441">
        <f>典型户型修正!P36</f>
        <v>-1</v>
      </c>
      <c r="E14" s="3441">
        <f>典型户型修正!B36</f>
        <v>7686.99</v>
      </c>
      <c r="F14" s="3441">
        <f>典型户型修正!C36</f>
        <v>0.9</v>
      </c>
      <c r="G14" s="3441">
        <f>典型户型修正!Q36</f>
        <v>0.5</v>
      </c>
      <c r="H14" s="3441" t="str">
        <f>典型户型修正!D36</f>
        <v>单面</v>
      </c>
      <c r="I14" s="3441">
        <f>典型户型修正!E36</f>
        <v>1</v>
      </c>
      <c r="J14" s="3441" t="str">
        <f>典型户型修正!F36</f>
        <v>一般</v>
      </c>
      <c r="K14" s="3441">
        <f>典型户型修正!G36</f>
        <v>1</v>
      </c>
      <c r="L14" s="3441" t="str">
        <f>典型户型修正!H36</f>
        <v>精装修</v>
      </c>
      <c r="M14" s="3441">
        <f>典型户型修正!I36</f>
        <v>1</v>
      </c>
      <c r="N14" s="3441">
        <f>典型户型修正!R36</f>
        <v>19568</v>
      </c>
      <c r="O14" s="3441">
        <f>典型户型修正!S36</f>
        <v>15042</v>
      </c>
    </row>
    <row r="15" spans="3:15">
      <c r="C15" s="3441">
        <v>-102</v>
      </c>
      <c r="D15" s="3441">
        <f>典型户型修正!P37</f>
        <v>-1</v>
      </c>
      <c r="E15" s="3441">
        <f>典型户型修正!B37</f>
        <v>26.76</v>
      </c>
      <c r="F15" s="3441">
        <f>典型户型修正!C37</f>
        <v>1.01</v>
      </c>
      <c r="G15" s="3441">
        <f>典型户型修正!Q37</f>
        <v>0.5</v>
      </c>
      <c r="H15" s="3441" t="str">
        <f>典型户型修正!D37</f>
        <v>单面</v>
      </c>
      <c r="I15" s="3441">
        <f>典型户型修正!E37</f>
        <v>1</v>
      </c>
      <c r="J15" s="3441" t="str">
        <f>典型户型修正!F37</f>
        <v>一般</v>
      </c>
      <c r="K15" s="3441">
        <f>典型户型修正!G37</f>
        <v>1</v>
      </c>
      <c r="L15" s="3441" t="str">
        <f>典型户型修正!H37</f>
        <v>正在装修</v>
      </c>
      <c r="M15" s="3441">
        <f>典型户型修正!I37</f>
        <v>0.97</v>
      </c>
      <c r="N15" s="3441">
        <f>典型户型修正!R37</f>
        <v>21301</v>
      </c>
      <c r="O15" s="3441">
        <f>典型户型修正!S37</f>
        <v>57</v>
      </c>
    </row>
    <row r="16" spans="3:15">
      <c r="C16" s="3441">
        <v>-103</v>
      </c>
      <c r="D16" s="3441">
        <f>典型户型修正!P38</f>
        <v>-1</v>
      </c>
      <c r="E16" s="3441">
        <f>典型户型修正!B38</f>
        <v>33.29</v>
      </c>
      <c r="F16" s="3441">
        <f>典型户型修正!C38</f>
        <v>1.01</v>
      </c>
      <c r="G16" s="3441">
        <f>典型户型修正!Q38</f>
        <v>0.5</v>
      </c>
      <c r="H16" s="3441" t="str">
        <f>典型户型修正!D38</f>
        <v>单面</v>
      </c>
      <c r="I16" s="3441">
        <f>典型户型修正!E38</f>
        <v>1</v>
      </c>
      <c r="J16" s="3441" t="str">
        <f>典型户型修正!F38</f>
        <v>一般</v>
      </c>
      <c r="K16" s="3441">
        <f>典型户型修正!G38</f>
        <v>1</v>
      </c>
      <c r="L16" s="3441" t="str">
        <f>典型户型修正!H38</f>
        <v>正在装修</v>
      </c>
      <c r="M16" s="3441">
        <f>典型户型修正!I38</f>
        <v>0.97</v>
      </c>
      <c r="N16" s="3441">
        <f>典型户型修正!R38</f>
        <v>21301</v>
      </c>
      <c r="O16" s="3441">
        <f>典型户型修正!S38</f>
        <v>71</v>
      </c>
    </row>
    <row r="17" spans="3:15">
      <c r="C17" s="3441">
        <v>-104</v>
      </c>
      <c r="D17" s="3441">
        <f>典型户型修正!P39</f>
        <v>-1</v>
      </c>
      <c r="E17" s="3441">
        <f>典型户型修正!B39</f>
        <v>49.94</v>
      </c>
      <c r="F17" s="3441">
        <f>典型户型修正!C39</f>
        <v>1.01</v>
      </c>
      <c r="G17" s="3441">
        <f>典型户型修正!Q39</f>
        <v>0.5</v>
      </c>
      <c r="H17" s="3441" t="str">
        <f>典型户型修正!D39</f>
        <v>单面</v>
      </c>
      <c r="I17" s="3441">
        <f>典型户型修正!E39</f>
        <v>1</v>
      </c>
      <c r="J17" s="3441" t="str">
        <f>典型户型修正!F39</f>
        <v>一般</v>
      </c>
      <c r="K17" s="3441">
        <f>典型户型修正!G39</f>
        <v>1</v>
      </c>
      <c r="L17" s="3441" t="str">
        <f>典型户型修正!H39</f>
        <v>正在装修</v>
      </c>
      <c r="M17" s="3441">
        <f>典型户型修正!I39</f>
        <v>0.97</v>
      </c>
      <c r="N17" s="3441">
        <f>典型户型修正!R39</f>
        <v>21301</v>
      </c>
      <c r="O17" s="3441">
        <f>典型户型修正!S39</f>
        <v>106</v>
      </c>
    </row>
    <row r="18" spans="3:15">
      <c r="C18" s="3441">
        <v>-105</v>
      </c>
      <c r="D18" s="3441">
        <f>典型户型修正!P40</f>
        <v>-1</v>
      </c>
      <c r="E18" s="3441">
        <f>典型户型修正!B40</f>
        <v>62.02</v>
      </c>
      <c r="F18" s="3441">
        <f>典型户型修正!C40</f>
        <v>1.01</v>
      </c>
      <c r="G18" s="3441">
        <f>典型户型修正!Q40</f>
        <v>0.5</v>
      </c>
      <c r="H18" s="3441" t="str">
        <f>典型户型修正!D40</f>
        <v>单面</v>
      </c>
      <c r="I18" s="3441">
        <f>典型户型修正!E40</f>
        <v>1</v>
      </c>
      <c r="J18" s="3441" t="str">
        <f>典型户型修正!F40</f>
        <v>一般</v>
      </c>
      <c r="K18" s="3441">
        <f>典型户型修正!G40</f>
        <v>1</v>
      </c>
      <c r="L18" s="3441" t="str">
        <f>典型户型修正!H40</f>
        <v>正在装修</v>
      </c>
      <c r="M18" s="3441">
        <f>典型户型修正!I40</f>
        <v>0.97</v>
      </c>
      <c r="N18" s="3441">
        <f>典型户型修正!R40</f>
        <v>21301</v>
      </c>
      <c r="O18" s="3441">
        <f>典型户型修正!S40</f>
        <v>132</v>
      </c>
    </row>
    <row r="19" spans="3:15">
      <c r="C19" s="3441">
        <v>-106</v>
      </c>
      <c r="D19" s="3441">
        <f>典型户型修正!P41</f>
        <v>-1</v>
      </c>
      <c r="E19" s="3441">
        <f>典型户型修正!B41</f>
        <v>41.8</v>
      </c>
      <c r="F19" s="3441">
        <f>典型户型修正!C41</f>
        <v>1.01</v>
      </c>
      <c r="G19" s="3441">
        <f>典型户型修正!Q41</f>
        <v>0.5</v>
      </c>
      <c r="H19" s="3441" t="str">
        <f>典型户型修正!D41</f>
        <v>单面</v>
      </c>
      <c r="I19" s="3441">
        <f>典型户型修正!E41</f>
        <v>1</v>
      </c>
      <c r="J19" s="3441" t="str">
        <f>典型户型修正!F41</f>
        <v>一般</v>
      </c>
      <c r="K19" s="3441">
        <f>典型户型修正!G41</f>
        <v>1</v>
      </c>
      <c r="L19" s="3441" t="str">
        <f>典型户型修正!H41</f>
        <v>正在装修</v>
      </c>
      <c r="M19" s="3441">
        <f>典型户型修正!I41</f>
        <v>0.97</v>
      </c>
      <c r="N19" s="3441">
        <f>典型户型修正!R41</f>
        <v>21301</v>
      </c>
      <c r="O19" s="3441">
        <f>典型户型修正!S41</f>
        <v>89</v>
      </c>
    </row>
    <row r="20" spans="3:15">
      <c r="C20" s="3441">
        <v>-107</v>
      </c>
      <c r="D20" s="3441">
        <f>典型户型修正!P42</f>
        <v>-1</v>
      </c>
      <c r="E20" s="3441">
        <f>典型户型修正!B42</f>
        <v>33.15</v>
      </c>
      <c r="F20" s="3441">
        <f>典型户型修正!C42</f>
        <v>1.01</v>
      </c>
      <c r="G20" s="3441">
        <f>典型户型修正!Q42</f>
        <v>0.5</v>
      </c>
      <c r="H20" s="3441" t="str">
        <f>典型户型修正!D42</f>
        <v>单面</v>
      </c>
      <c r="I20" s="3441">
        <f>典型户型修正!E42</f>
        <v>1</v>
      </c>
      <c r="J20" s="3441" t="str">
        <f>典型户型修正!F42</f>
        <v>一般</v>
      </c>
      <c r="K20" s="3441">
        <f>典型户型修正!G42</f>
        <v>1</v>
      </c>
      <c r="L20" s="3441" t="str">
        <f>典型户型修正!H42</f>
        <v>正在装修</v>
      </c>
      <c r="M20" s="3441">
        <f>典型户型修正!I42</f>
        <v>0.97</v>
      </c>
      <c r="N20" s="3441">
        <f>典型户型修正!R42</f>
        <v>21301</v>
      </c>
      <c r="O20" s="3441">
        <f>典型户型修正!S42</f>
        <v>71</v>
      </c>
    </row>
    <row r="21" spans="3:15">
      <c r="C21" s="3441">
        <v>-108</v>
      </c>
      <c r="D21" s="3441">
        <f>典型户型修正!P43</f>
        <v>-1</v>
      </c>
      <c r="E21" s="3441">
        <f>典型户型修正!B43</f>
        <v>34.979999999999997</v>
      </c>
      <c r="F21" s="3441">
        <f>典型户型修正!C43</f>
        <v>1.01</v>
      </c>
      <c r="G21" s="3441">
        <f>典型户型修正!Q43</f>
        <v>0.5</v>
      </c>
      <c r="H21" s="3441" t="str">
        <f>典型户型修正!D43</f>
        <v>单面</v>
      </c>
      <c r="I21" s="3441">
        <f>典型户型修正!E43</f>
        <v>1</v>
      </c>
      <c r="J21" s="3441" t="str">
        <f>典型户型修正!F43</f>
        <v>一般</v>
      </c>
      <c r="K21" s="3441">
        <f>典型户型修正!G43</f>
        <v>1</v>
      </c>
      <c r="L21" s="3441" t="str">
        <f>典型户型修正!H43</f>
        <v>正在装修</v>
      </c>
      <c r="M21" s="3441">
        <f>典型户型修正!I43</f>
        <v>0.97</v>
      </c>
      <c r="N21" s="3441">
        <f>典型户型修正!R43</f>
        <v>21301</v>
      </c>
      <c r="O21" s="3441">
        <f>典型户型修正!S43</f>
        <v>75</v>
      </c>
    </row>
    <row r="22" spans="3:15">
      <c r="C22" s="3441">
        <v>-109</v>
      </c>
      <c r="D22" s="3441">
        <f>典型户型修正!P44</f>
        <v>-1</v>
      </c>
      <c r="E22" s="3441">
        <f>典型户型修正!B44</f>
        <v>34.979999999999997</v>
      </c>
      <c r="F22" s="3441">
        <f>典型户型修正!C44</f>
        <v>1.01</v>
      </c>
      <c r="G22" s="3441">
        <f>典型户型修正!Q44</f>
        <v>0.5</v>
      </c>
      <c r="H22" s="3441" t="str">
        <f>典型户型修正!D44</f>
        <v>单面</v>
      </c>
      <c r="I22" s="3441">
        <f>典型户型修正!E44</f>
        <v>1</v>
      </c>
      <c r="J22" s="3441" t="str">
        <f>典型户型修正!F44</f>
        <v>一般</v>
      </c>
      <c r="K22" s="3441">
        <f>典型户型修正!G44</f>
        <v>1</v>
      </c>
      <c r="L22" s="3441" t="str">
        <f>典型户型修正!H44</f>
        <v>正在装修</v>
      </c>
      <c r="M22" s="3441">
        <f>典型户型修正!I44</f>
        <v>0.97</v>
      </c>
      <c r="N22" s="3441">
        <f>典型户型修正!R44</f>
        <v>21301</v>
      </c>
      <c r="O22" s="3441">
        <f>典型户型修正!S44</f>
        <v>75</v>
      </c>
    </row>
    <row r="23" spans="3:15">
      <c r="C23" s="3441">
        <v>-110</v>
      </c>
      <c r="D23" s="3441">
        <f>典型户型修正!P45</f>
        <v>-1</v>
      </c>
      <c r="E23" s="3441">
        <f>典型户型修正!B45</f>
        <v>34.979999999999997</v>
      </c>
      <c r="F23" s="3441">
        <f>典型户型修正!C45</f>
        <v>1.01</v>
      </c>
      <c r="G23" s="3441">
        <f>典型户型修正!Q45</f>
        <v>0.5</v>
      </c>
      <c r="H23" s="3441" t="str">
        <f>典型户型修正!D45</f>
        <v>单面</v>
      </c>
      <c r="I23" s="3441">
        <f>典型户型修正!E45</f>
        <v>1</v>
      </c>
      <c r="J23" s="3441" t="str">
        <f>典型户型修正!F45</f>
        <v>一般</v>
      </c>
      <c r="K23" s="3441">
        <f>典型户型修正!G45</f>
        <v>1</v>
      </c>
      <c r="L23" s="3441" t="str">
        <f>典型户型修正!H45</f>
        <v>正在装修</v>
      </c>
      <c r="M23" s="3441">
        <f>典型户型修正!I45</f>
        <v>0.97</v>
      </c>
      <c r="N23" s="3441">
        <f>典型户型修正!R45</f>
        <v>21301</v>
      </c>
      <c r="O23" s="3441">
        <f>典型户型修正!S45</f>
        <v>75</v>
      </c>
    </row>
    <row r="24" spans="3:15">
      <c r="C24" s="3441" t="s">
        <v>3264</v>
      </c>
      <c r="D24" s="3441" t="s">
        <v>3338</v>
      </c>
      <c r="E24" s="3441">
        <f>SUM(E2:E23)</f>
        <v>17329.439999999999</v>
      </c>
      <c r="F24" s="3441" t="s">
        <v>3338</v>
      </c>
      <c r="G24" s="3441" t="s">
        <v>3338</v>
      </c>
      <c r="H24" s="3441" t="s">
        <v>3338</v>
      </c>
      <c r="I24" s="3441" t="s">
        <v>3338</v>
      </c>
      <c r="J24" s="3441" t="s">
        <v>3338</v>
      </c>
      <c r="K24" s="3441" t="s">
        <v>3338</v>
      </c>
      <c r="L24" s="3441" t="s">
        <v>3338</v>
      </c>
      <c r="M24" s="3441" t="s">
        <v>3338</v>
      </c>
      <c r="N24" s="3441" t="s">
        <v>3338</v>
      </c>
      <c r="O24" s="3441">
        <f>SUM(O2:O23)</f>
        <v>37527</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104" t="s">
        <v>1661</v>
      </c>
      <c r="B1" s="3104"/>
      <c r="C1" s="3104"/>
      <c r="D1" s="3104"/>
    </row>
    <row r="2" spans="1:4" ht="18">
      <c r="A2" s="3105" t="s">
        <v>1645</v>
      </c>
      <c r="B2" s="3105"/>
      <c r="C2" s="3105"/>
      <c r="D2" s="3105"/>
    </row>
    <row r="3" spans="1:4" ht="18.75">
      <c r="A3" s="1971" t="s">
        <v>1646</v>
      </c>
      <c r="B3" s="1971" t="s">
        <v>1647</v>
      </c>
      <c r="C3" s="1971" t="s">
        <v>1648</v>
      </c>
      <c r="D3" s="1971" t="s">
        <v>1649</v>
      </c>
    </row>
    <row r="4" spans="1:4" ht="56.25" customHeight="1">
      <c r="A4" s="1972" t="str">
        <f>项目基本情况!B4</f>
        <v>崔锴</v>
      </c>
      <c r="B4" s="1973">
        <f ca="1">项目基本情况!C4</f>
        <v>1120100036</v>
      </c>
      <c r="C4" s="1974"/>
      <c r="D4" s="1975" t="s">
        <v>1650</v>
      </c>
    </row>
    <row r="5" spans="1:4" ht="56.25" customHeight="1">
      <c r="A5" s="1972" t="str">
        <f>项目基本情况!D4</f>
        <v>欧红伟</v>
      </c>
      <c r="B5" s="1973">
        <f ca="1">项目基本情况!E4</f>
        <v>1120000080</v>
      </c>
      <c r="C5" s="1976"/>
      <c r="D5" s="1975" t="s">
        <v>1650</v>
      </c>
    </row>
    <row r="6" spans="1:4" ht="18">
      <c r="A6" s="3105" t="s">
        <v>1651</v>
      </c>
      <c r="B6" s="3105"/>
      <c r="C6" s="3105"/>
      <c r="D6" s="3105"/>
    </row>
    <row r="7" spans="1:4" ht="18.75">
      <c r="A7" s="1971" t="s">
        <v>1646</v>
      </c>
      <c r="B7" s="1973" t="s">
        <v>1652</v>
      </c>
      <c r="C7" s="1971" t="s">
        <v>1648</v>
      </c>
      <c r="D7" s="1971" t="s">
        <v>1649</v>
      </c>
    </row>
    <row r="8" spans="1:4" ht="56.25" customHeight="1">
      <c r="A8" s="1977" t="s">
        <v>869</v>
      </c>
      <c r="B8" s="1977" t="s">
        <v>1</v>
      </c>
      <c r="C8" s="1974"/>
      <c r="D8" s="1975" t="s">
        <v>1650</v>
      </c>
    </row>
    <row r="9" spans="1:4">
      <c r="A9" s="726"/>
      <c r="B9" s="726"/>
      <c r="C9" s="726"/>
      <c r="D9" s="726"/>
    </row>
    <row r="10" spans="1:4" ht="18.75">
      <c r="A10" s="1978" t="s">
        <v>1653</v>
      </c>
      <c r="B10" s="726"/>
      <c r="C10" s="726"/>
      <c r="D10" s="726"/>
    </row>
    <row r="11" spans="1:4" ht="30" customHeight="1">
      <c r="A11" s="3106" t="s">
        <v>1654</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098" t="str">
        <f>IF(项目基本情况!B8="抵押","4.本次评估估价师所知悉的法定优先受偿款情况说明如下：","——")</f>
        <v>4.本次评估估价师所知悉的法定优先受偿款情况说明如下：</v>
      </c>
      <c r="B14" s="3103"/>
      <c r="C14" s="3103"/>
      <c r="D14" s="3103"/>
    </row>
    <row r="15" spans="1:4" ht="42" customHeight="1">
      <c r="A15" s="3098"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8"/>
      <c r="C15" s="3098"/>
      <c r="D15" s="3098"/>
    </row>
    <row r="16" spans="1:4" ht="30" customHeight="1">
      <c r="A16" s="3100" t="s">
        <v>1655</v>
      </c>
      <c r="B16" s="3100"/>
      <c r="C16" s="3100"/>
      <c r="D16" s="3100"/>
    </row>
    <row r="17" spans="1:4" ht="144" customHeight="1">
      <c r="A17" s="3100" t="s">
        <v>1656</v>
      </c>
      <c r="B17" s="3100"/>
      <c r="C17" s="3100"/>
      <c r="D17" s="3100"/>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8"/>
      <c r="C20" s="3098"/>
      <c r="D20" s="3098"/>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1"/>
      <c r="C21" s="3101"/>
      <c r="D21" s="3101"/>
    </row>
    <row r="22" spans="1:4" ht="18.75" customHeight="1">
      <c r="A22" s="3102" t="s">
        <v>1657</v>
      </c>
      <c r="B22" s="3102"/>
      <c r="C22" s="3102"/>
      <c r="D22" s="3102"/>
    </row>
    <row r="23" spans="1:4">
      <c r="A23" s="1979"/>
      <c r="B23" s="1951"/>
      <c r="C23" s="1951"/>
      <c r="D23" s="1951"/>
    </row>
    <row r="24" spans="1:4">
      <c r="A24" s="1979"/>
      <c r="B24" s="1951"/>
      <c r="C24" s="1951"/>
      <c r="D24" s="1951"/>
    </row>
    <row r="25" spans="1:4" ht="18.75">
      <c r="A25" s="1980" t="s">
        <v>1658</v>
      </c>
    </row>
    <row r="26" spans="1:4" ht="18">
      <c r="A26" s="1949"/>
    </row>
    <row r="27" spans="1:4" ht="18.75">
      <c r="A27" s="1949" t="s">
        <v>1659</v>
      </c>
    </row>
    <row r="30" spans="1:4" ht="18.75">
      <c r="D30" s="1980" t="s">
        <v>1660</v>
      </c>
    </row>
    <row r="31" spans="1:4" ht="13.5" customHeight="1">
      <c r="C31" s="3099">
        <v>42551</v>
      </c>
      <c r="D31" s="30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1662</v>
      </c>
    </row>
    <row r="3" spans="1:7">
      <c r="A3" s="1985" t="s">
        <v>82</v>
      </c>
      <c r="B3" s="1969" t="s">
        <v>1663</v>
      </c>
      <c r="G3" s="1986"/>
    </row>
    <row r="4" spans="1:7">
      <c r="G4" s="1986"/>
    </row>
    <row r="5" spans="1:7">
      <c r="A5" s="1988" t="s">
        <v>73</v>
      </c>
      <c r="B5" s="1969" t="s">
        <v>1664</v>
      </c>
      <c r="G5" s="1986"/>
    </row>
    <row r="6" spans="1:7">
      <c r="G6" s="1986"/>
    </row>
    <row r="7" spans="1:7">
      <c r="A7" s="1989" t="s">
        <v>135</v>
      </c>
      <c r="B7" s="1969" t="s">
        <v>1665</v>
      </c>
      <c r="G7" s="1986"/>
    </row>
    <row r="8" spans="1:7">
      <c r="G8" s="1986"/>
    </row>
    <row r="9" spans="1:7">
      <c r="A9" s="1990" t="s">
        <v>74</v>
      </c>
      <c r="B9" s="1969" t="s">
        <v>1666</v>
      </c>
    </row>
    <row r="11" spans="1:7">
      <c r="A11" s="1991" t="s">
        <v>75</v>
      </c>
      <c r="B11" s="1992" t="s">
        <v>72</v>
      </c>
    </row>
    <row r="13" spans="1:7">
      <c r="A13" s="1993" t="s">
        <v>1667</v>
      </c>
    </row>
    <row r="15" spans="1:7" ht="13.5">
      <c r="A15" s="3112" t="s">
        <v>1668</v>
      </c>
      <c r="B15" s="3107" t="s">
        <v>136</v>
      </c>
      <c r="C15" s="3108"/>
    </row>
    <row r="16" spans="1:7" ht="13.5">
      <c r="A16" s="3113"/>
      <c r="B16" s="3107" t="s">
        <v>69</v>
      </c>
      <c r="C16" s="3108"/>
    </row>
    <row r="17" spans="1:3" ht="13.5">
      <c r="A17" s="3113"/>
      <c r="B17" s="3110" t="s">
        <v>1669</v>
      </c>
      <c r="C17" s="1994" t="s">
        <v>1668</v>
      </c>
    </row>
    <row r="18" spans="1:3" ht="13.5">
      <c r="A18" s="3113"/>
      <c r="B18" s="3110"/>
      <c r="C18" s="1994" t="s">
        <v>1670</v>
      </c>
    </row>
    <row r="19" spans="1:3" ht="13.5">
      <c r="A19" s="3113"/>
      <c r="B19" s="3110"/>
      <c r="C19" s="1994" t="s">
        <v>1671</v>
      </c>
    </row>
    <row r="20" spans="1:3" ht="13.5">
      <c r="A20" s="3114"/>
      <c r="B20" s="3109" t="s">
        <v>1672</v>
      </c>
      <c r="C20" s="3108"/>
    </row>
    <row r="21" spans="1:3" ht="13.5">
      <c r="A21" s="1995" t="s">
        <v>1673</v>
      </c>
      <c r="B21" s="1996"/>
      <c r="C21" s="1997"/>
    </row>
    <row r="22" spans="1:3" ht="13.5">
      <c r="A22" s="3111" t="s">
        <v>1674</v>
      </c>
      <c r="B22" s="3109" t="s">
        <v>1675</v>
      </c>
      <c r="C22" s="3108"/>
    </row>
    <row r="23" spans="1:3" ht="13.5">
      <c r="A23" s="3111"/>
      <c r="B23" s="3109" t="s">
        <v>1676</v>
      </c>
      <c r="C23" s="3108"/>
    </row>
    <row r="24" spans="1:3" ht="13.5">
      <c r="A24" s="3111"/>
      <c r="B24" s="3109" t="s">
        <v>1677</v>
      </c>
      <c r="C24" s="3108"/>
    </row>
    <row r="25" spans="1:3" ht="13.5">
      <c r="A25" s="3111"/>
      <c r="B25" s="3110" t="s">
        <v>1678</v>
      </c>
      <c r="C25" s="1994" t="s">
        <v>1679</v>
      </c>
    </row>
    <row r="26" spans="1:3" ht="13.5">
      <c r="A26" s="3111"/>
      <c r="B26" s="3110"/>
      <c r="C26" s="1994" t="s">
        <v>1680</v>
      </c>
    </row>
    <row r="27" spans="1:3" ht="13.5">
      <c r="A27" s="3111"/>
      <c r="B27" s="3110"/>
      <c r="C27" s="1994" t="s">
        <v>1681</v>
      </c>
    </row>
    <row r="28" spans="1:3" ht="13.5">
      <c r="A28" s="3111"/>
      <c r="B28" s="3110"/>
      <c r="C28" s="1994" t="s">
        <v>1682</v>
      </c>
    </row>
    <row r="29" spans="1:3" ht="13.5">
      <c r="A29" s="3111"/>
      <c r="B29" s="3110"/>
      <c r="C29" s="1994" t="s">
        <v>1683</v>
      </c>
    </row>
    <row r="30" spans="1:3" ht="13.5">
      <c r="A30" s="3111"/>
      <c r="B30" s="3110"/>
      <c r="C30" s="1994" t="s">
        <v>1684</v>
      </c>
    </row>
    <row r="31" spans="1:3" ht="13.5">
      <c r="A31" s="3111"/>
      <c r="B31" s="3110"/>
      <c r="C31" s="1994" t="s">
        <v>1685</v>
      </c>
    </row>
    <row r="32" spans="1:3" ht="13.5">
      <c r="A32" s="3111"/>
      <c r="B32" s="3110"/>
      <c r="C32" s="1994" t="s">
        <v>1686</v>
      </c>
    </row>
    <row r="33" spans="1:3" ht="13.5">
      <c r="A33" s="3111"/>
      <c r="B33" s="3110"/>
      <c r="C33" s="1994" t="s">
        <v>1687</v>
      </c>
    </row>
    <row r="34" spans="1:3">
      <c r="A34" s="1998" t="s">
        <v>76</v>
      </c>
    </row>
    <row r="37" spans="1:3">
      <c r="A37" s="1998" t="s">
        <v>1688</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43200</v>
      </c>
      <c r="C2" s="1015" t="s">
        <v>826</v>
      </c>
      <c r="D2" s="1015"/>
    </row>
    <row r="3" spans="1:6" ht="24" customHeight="1">
      <c r="A3" s="1016" t="s">
        <v>827</v>
      </c>
      <c r="B3" s="1017" t="s">
        <v>828</v>
      </c>
      <c r="C3" s="2336" t="s">
        <v>829</v>
      </c>
      <c r="D3" s="2339" t="s">
        <v>830</v>
      </c>
      <c r="E3" s="1018" t="s">
        <v>831</v>
      </c>
      <c r="F3" s="1017" t="s">
        <v>829</v>
      </c>
    </row>
    <row r="4" spans="1:6" ht="24" customHeight="1">
      <c r="A4" s="1696" t="s">
        <v>832</v>
      </c>
      <c r="B4" s="1018">
        <f ca="1">IF(C4&lt;B2,"已过期",1119970066)</f>
        <v>1119970066</v>
      </c>
      <c r="C4" s="2337">
        <v>43849</v>
      </c>
      <c r="D4" s="2340" t="s">
        <v>832</v>
      </c>
      <c r="E4" s="1018">
        <f ca="1">IF(F4&lt;B2,"已过期",96010014)</f>
        <v>96010014</v>
      </c>
      <c r="F4" s="1026">
        <v>47118</v>
      </c>
    </row>
    <row r="5" spans="1:6" ht="24" customHeight="1">
      <c r="A5" s="1696" t="s">
        <v>833</v>
      </c>
      <c r="B5" s="1018">
        <f ca="1">IF(C5&lt;B2,"已过期",1119970074)</f>
        <v>1119970074</v>
      </c>
      <c r="C5" s="2337">
        <v>43849</v>
      </c>
      <c r="D5" s="2340" t="s">
        <v>833</v>
      </c>
      <c r="E5" s="1018">
        <f ca="1">IF(F5&lt;B2,"已过期",2002110027)</f>
        <v>2002110027</v>
      </c>
      <c r="F5" s="1026">
        <v>46752</v>
      </c>
    </row>
    <row r="6" spans="1:6" ht="24" customHeight="1">
      <c r="A6" s="1696" t="s">
        <v>834</v>
      </c>
      <c r="B6" s="1018">
        <f ca="1">IF(C6&lt;B2,"已过期",1119970111)</f>
        <v>1119970111</v>
      </c>
      <c r="C6" s="2337">
        <v>43849</v>
      </c>
      <c r="D6" s="2340" t="s">
        <v>834</v>
      </c>
      <c r="E6" s="1018">
        <f ca="1">IF(F6&lt;B2,"已过期",94010078)</f>
        <v>94010078</v>
      </c>
      <c r="F6" s="1026">
        <v>46387</v>
      </c>
    </row>
    <row r="7" spans="1:6" ht="24" customHeight="1">
      <c r="A7" s="1696" t="s">
        <v>835</v>
      </c>
      <c r="B7" s="1018">
        <f ca="1">IF(C7&lt;B2,"已过期",1120050019)</f>
        <v>1120050019</v>
      </c>
      <c r="C7" s="2337">
        <v>43359</v>
      </c>
      <c r="D7" s="2340" t="s">
        <v>835</v>
      </c>
      <c r="E7" s="1018">
        <f ca="1">IF(F7&lt;B2,"已过期",2002110030)</f>
        <v>2002110030</v>
      </c>
      <c r="F7" s="1026">
        <v>46387</v>
      </c>
    </row>
    <row r="8" spans="1:6" ht="24" customHeight="1">
      <c r="A8" s="1696" t="s">
        <v>836</v>
      </c>
      <c r="B8" s="1018">
        <f ca="1">IF(C8&lt;B2,"已过期",1120000080)</f>
        <v>1120000080</v>
      </c>
      <c r="C8" s="2337">
        <v>43849</v>
      </c>
      <c r="D8" s="2340" t="s">
        <v>836</v>
      </c>
      <c r="E8" s="1018">
        <f ca="1">IF(F8&lt;B2,"已过期",2000110082)</f>
        <v>2000110082</v>
      </c>
      <c r="F8" s="1026">
        <v>46387</v>
      </c>
    </row>
    <row r="9" spans="1:6" ht="24" customHeight="1">
      <c r="A9" s="1696" t="s">
        <v>837</v>
      </c>
      <c r="B9" s="1018">
        <f ca="1">IF(C9&lt;B2,"已过期",1419970001)</f>
        <v>1419970001</v>
      </c>
      <c r="C9" s="2337">
        <v>43867</v>
      </c>
      <c r="D9" s="2340" t="s">
        <v>837</v>
      </c>
      <c r="E9" s="1018">
        <f ca="1">IF(F9&lt;B2,"已过期",2002110125)</f>
        <v>2002110125</v>
      </c>
      <c r="F9" s="1026">
        <v>47118</v>
      </c>
    </row>
    <row r="10" spans="1:6" ht="24" customHeight="1">
      <c r="A10" s="1696" t="s">
        <v>838</v>
      </c>
      <c r="B10" s="1018">
        <f ca="1">IF(C10&lt;B2,"已过期",1120060040)</f>
        <v>1120060040</v>
      </c>
      <c r="C10" s="2337">
        <v>43483</v>
      </c>
      <c r="D10" s="2340" t="s">
        <v>838</v>
      </c>
      <c r="E10" s="1018">
        <f ca="1">IF(F10&lt;B2,"已过期",2004110096)</f>
        <v>2004110096</v>
      </c>
      <c r="F10" s="1026">
        <v>47118</v>
      </c>
    </row>
    <row r="11" spans="1:6" ht="24" customHeight="1">
      <c r="A11" s="1696" t="s">
        <v>839</v>
      </c>
      <c r="B11" s="1018">
        <f ca="1">IF(C11&lt;B2,"已过期",1120100036)</f>
        <v>1120100036</v>
      </c>
      <c r="C11" s="2337">
        <v>43622</v>
      </c>
      <c r="D11" s="2340" t="s">
        <v>839</v>
      </c>
      <c r="E11" s="1018">
        <f ca="1">IF(F11&lt;B2,"已过期",2010110070)</f>
        <v>2010110070</v>
      </c>
      <c r="F11" s="1026">
        <v>47907</v>
      </c>
    </row>
    <row r="12" spans="1:6" ht="24" customHeight="1">
      <c r="A12" s="1696"/>
      <c r="B12" s="1018"/>
      <c r="C12" s="2337"/>
      <c r="D12" s="2340"/>
      <c r="E12" s="1018"/>
      <c r="F12" s="1018"/>
    </row>
    <row r="13" spans="1:6" ht="24" customHeight="1">
      <c r="A13" s="1696" t="s">
        <v>840</v>
      </c>
      <c r="B13" s="1018">
        <f ca="1">IF(C13&lt;B2,"已过期",1120070131)</f>
        <v>1120070131</v>
      </c>
      <c r="C13" s="2337">
        <v>43814</v>
      </c>
      <c r="D13" s="2340" t="s">
        <v>840</v>
      </c>
      <c r="E13" s="1018">
        <v>2014110011</v>
      </c>
      <c r="F13" s="1026">
        <v>49302</v>
      </c>
    </row>
    <row r="14" spans="1:6" ht="24" customHeight="1">
      <c r="A14" s="1696" t="s">
        <v>841</v>
      </c>
      <c r="B14" s="1018">
        <f ca="1">IF(C14&lt;B2,"已过期",1120130020)</f>
        <v>1120130020</v>
      </c>
      <c r="C14" s="2337">
        <v>43622</v>
      </c>
      <c r="D14" s="2340"/>
      <c r="E14" s="1018"/>
      <c r="F14" s="1018"/>
    </row>
    <row r="15" spans="1:6" ht="24" customHeight="1">
      <c r="A15" s="1697" t="s">
        <v>1147</v>
      </c>
      <c r="B15" s="1018">
        <v>1120070085</v>
      </c>
      <c r="C15" s="2337">
        <v>43814</v>
      </c>
      <c r="D15" s="2341" t="s">
        <v>1147</v>
      </c>
      <c r="E15" s="1018">
        <v>2004110128</v>
      </c>
      <c r="F15" s="1019">
        <v>47118</v>
      </c>
    </row>
    <row r="16" spans="1:6" ht="24" customHeight="1">
      <c r="A16" s="1696" t="s">
        <v>842</v>
      </c>
      <c r="B16" s="1018">
        <f ca="1">IF(C16&lt;B2,"已过期",1120140022)</f>
        <v>1120140022</v>
      </c>
      <c r="C16" s="2337">
        <v>44029</v>
      </c>
      <c r="D16" s="2340" t="s">
        <v>842</v>
      </c>
      <c r="E16" s="1018">
        <f ca="1">IF(F16&lt;B2,"已过期",2008110059)</f>
        <v>2008110059</v>
      </c>
      <c r="F16" s="1026">
        <v>47177</v>
      </c>
    </row>
    <row r="17" spans="1:7" ht="24" customHeight="1">
      <c r="A17" s="1696"/>
      <c r="B17" s="1018"/>
      <c r="C17" s="2337"/>
      <c r="D17" s="2340"/>
      <c r="E17" s="1018"/>
      <c r="F17" s="1026"/>
    </row>
    <row r="18" spans="1:7" ht="24" customHeight="1">
      <c r="A18" s="1696"/>
      <c r="B18" s="1018"/>
      <c r="C18" s="2337"/>
      <c r="D18" s="2340"/>
      <c r="E18" s="1018"/>
      <c r="F18" s="1026"/>
    </row>
    <row r="19" spans="1:7" ht="24" customHeight="1">
      <c r="A19" s="1696"/>
      <c r="B19" s="1018"/>
      <c r="C19" s="2337"/>
      <c r="D19" s="2340"/>
      <c r="E19" s="1018"/>
      <c r="F19" s="1018"/>
    </row>
    <row r="20" spans="1:7" ht="24" customHeight="1">
      <c r="A20" s="1696"/>
      <c r="B20" s="1018"/>
      <c r="C20" s="2337"/>
      <c r="D20" s="2340"/>
      <c r="E20" s="1018"/>
      <c r="F20" s="1018"/>
    </row>
    <row r="21" spans="1:7" ht="24" customHeight="1">
      <c r="A21" s="1696"/>
      <c r="B21" s="1018"/>
      <c r="C21" s="2337"/>
      <c r="D21" s="2340" t="s">
        <v>843</v>
      </c>
      <c r="E21" s="1018">
        <f ca="1">IF(F21&lt;B2,"已过期",2011110090)</f>
        <v>2011110090</v>
      </c>
      <c r="F21" s="1026">
        <v>48302</v>
      </c>
    </row>
    <row r="22" spans="1:7" ht="24" customHeight="1">
      <c r="A22" s="1696" t="s">
        <v>844</v>
      </c>
      <c r="B22" s="1018">
        <f ca="1">IF(C22&lt;B2,"已过期",1120020033)</f>
        <v>1120020033</v>
      </c>
      <c r="C22" s="2337">
        <v>43304</v>
      </c>
      <c r="D22" s="2340" t="s">
        <v>844</v>
      </c>
      <c r="E22" s="1018">
        <f ca="1">IF(F22&lt;B2,"已过期",2000110137)</f>
        <v>2000110137</v>
      </c>
      <c r="F22" s="1026">
        <v>46387</v>
      </c>
    </row>
    <row r="23" spans="1:7" ht="24" customHeight="1">
      <c r="A23" s="1696" t="s">
        <v>845</v>
      </c>
      <c r="B23" s="1018">
        <f ca="1">IF(C23&lt;B2,"已过期",1120130048)</f>
        <v>1120130048</v>
      </c>
      <c r="C23" s="2337">
        <v>43686</v>
      </c>
      <c r="D23" s="2340"/>
      <c r="E23" s="1018"/>
      <c r="F23" s="1018"/>
    </row>
    <row r="24" spans="1:7" s="1020" customFormat="1" ht="24" customHeight="1">
      <c r="A24" s="1697" t="s">
        <v>1331</v>
      </c>
      <c r="B24" s="1697" t="s">
        <v>1331</v>
      </c>
      <c r="C24" s="2338" t="s">
        <v>1331</v>
      </c>
      <c r="D24" s="2341" t="s">
        <v>1331</v>
      </c>
      <c r="E24" s="1697" t="s">
        <v>1331</v>
      </c>
      <c r="F24" s="1697" t="s">
        <v>1331</v>
      </c>
    </row>
    <row r="25" spans="1:7" ht="24" customHeight="1">
      <c r="A25" s="3115" t="s">
        <v>846</v>
      </c>
      <c r="B25" s="3115"/>
      <c r="C25" s="3115"/>
      <c r="D25" s="3115"/>
      <c r="E25" s="3115"/>
      <c r="F25" s="3115"/>
      <c r="G25" s="3115"/>
    </row>
    <row r="26" spans="1:7" s="1021" customFormat="1" ht="24" customHeight="1">
      <c r="A26" s="3116" t="s">
        <v>847</v>
      </c>
      <c r="B26" s="3116"/>
      <c r="C26" s="3117"/>
      <c r="D26" s="3118" t="s">
        <v>848</v>
      </c>
      <c r="E26" s="3116"/>
      <c r="F26" s="3116"/>
    </row>
    <row r="27" spans="1:7" s="1023" customFormat="1" ht="24" customHeight="1">
      <c r="A27" s="1022" t="s">
        <v>849</v>
      </c>
      <c r="B27" s="1017" t="s">
        <v>850</v>
      </c>
      <c r="C27" s="2336" t="s">
        <v>851</v>
      </c>
      <c r="D27" s="2344" t="s">
        <v>849</v>
      </c>
      <c r="E27" s="1017" t="s">
        <v>850</v>
      </c>
      <c r="F27" s="1017" t="s">
        <v>851</v>
      </c>
    </row>
    <row r="28" spans="1:7" s="1023" customFormat="1" ht="24" customHeight="1">
      <c r="A28" s="1024" t="s">
        <v>852</v>
      </c>
      <c r="B28" s="1025" t="s">
        <v>853</v>
      </c>
      <c r="C28" s="2342">
        <v>43725</v>
      </c>
      <c r="D28" s="2345" t="s">
        <v>854</v>
      </c>
      <c r="E28" s="1024" t="s">
        <v>855</v>
      </c>
      <c r="F28" s="1054">
        <v>44377</v>
      </c>
    </row>
    <row r="29" spans="1:7" s="1023" customFormat="1" ht="24" customHeight="1">
      <c r="A29" s="1024"/>
      <c r="B29" s="1024"/>
      <c r="C29" s="2343"/>
      <c r="D29" s="2345" t="s">
        <v>856</v>
      </c>
      <c r="E29" s="1196" t="s">
        <v>1382</v>
      </c>
      <c r="F29" s="1197">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Sheet1</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2018-04-10T08:23:27Z</dcterms:modified>
</cp:coreProperties>
</file>