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Sheet1" sheetId="77" r:id="rId23"/>
    <sheet name="收益法（汇总）" sheetId="70"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收益法车库" sheetId="78" r:id="rId32"/>
    <sheet name="比较法-车位" sheetId="35"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4">收益法!$A$1:$AK$69</definedName>
    <definedName name="_xlnm.Print_Area" localSheetId="25">'收益法 (元)'!$A$1:$AK$69</definedName>
    <definedName name="_xlnm.Print_Area" localSheetId="3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A3" i="3"/>
  <c r="AN15" l="1"/>
  <c r="I41" i="77" l="1"/>
  <c r="K33" s="1"/>
  <c r="G19" i="6"/>
  <c r="M16" i="3"/>
  <c r="J42" i="77"/>
  <c r="I38"/>
  <c r="J38"/>
  <c r="I30"/>
  <c r="K32"/>
  <c r="K30"/>
  <c r="I13" i="3"/>
  <c r="D33" i="43"/>
  <c r="I28" i="77"/>
  <c r="I29"/>
  <c r="I31"/>
  <c r="AM7" i="1"/>
  <c r="AK7"/>
  <c r="I42" i="77" l="1"/>
  <c r="J43" s="1"/>
  <c r="J30"/>
  <c r="Q72" i="78"/>
  <c r="Q59"/>
  <c r="Q58"/>
  <c r="Q51"/>
  <c r="J50"/>
  <c r="M47"/>
  <c r="D46"/>
  <c r="F33"/>
  <c r="F61" s="1"/>
  <c r="F23"/>
  <c r="D24" s="1"/>
  <c r="F21"/>
  <c r="F20"/>
  <c r="M19"/>
  <c r="F18"/>
  <c r="F17"/>
  <c r="F15"/>
  <c r="D39" i="43"/>
  <c r="D29"/>
  <c r="D22" i="78" l="1"/>
  <c r="D23"/>
  <c r="B21" i="1"/>
  <c r="AL7"/>
  <c r="Y6"/>
  <c r="L14" l="1"/>
  <c r="N7"/>
  <c r="Y7" s="1"/>
  <c r="J7"/>
  <c r="G20" i="6"/>
  <c r="F19"/>
  <c r="C20"/>
  <c r="C19"/>
  <c r="D3" i="4"/>
  <c r="N14" i="1" l="1"/>
  <c r="L5" i="71" l="1"/>
  <c r="Q5" s="1"/>
  <c r="K5"/>
  <c r="P5" s="1"/>
  <c r="J5"/>
  <c r="O5" s="1"/>
  <c r="I5"/>
  <c r="N5" s="1"/>
  <c r="A15" i="51" l="1"/>
  <c r="B11" i="76"/>
  <c r="B12"/>
  <c r="E8"/>
  <c r="E13"/>
  <c r="E11"/>
  <c r="E9"/>
  <c r="B9"/>
  <c r="E12"/>
  <c r="B7"/>
  <c r="B10"/>
  <c r="B13"/>
  <c r="B8"/>
  <c r="E7"/>
  <c r="E10"/>
  <c r="C76" i="9" l="1"/>
  <c r="I107" i="40" l="1"/>
  <c r="K6" i="4" l="1"/>
  <c r="B22" i="31" l="1"/>
  <c r="N56" i="9" l="1"/>
  <c r="M56"/>
  <c r="K56"/>
  <c r="E15" i="74" l="1"/>
  <c r="F15"/>
  <c r="E16"/>
  <c r="F16"/>
  <c r="E17"/>
  <c r="F17"/>
  <c r="E18"/>
  <c r="F18"/>
  <c r="E19"/>
  <c r="F19"/>
  <c r="E20"/>
  <c r="F20"/>
  <c r="E21"/>
  <c r="F21"/>
  <c r="E22"/>
  <c r="F22"/>
  <c r="E23"/>
  <c r="F23"/>
  <c r="B3" l="1"/>
  <c r="C91" i="9" l="1"/>
  <c r="B8" i="72"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H18"/>
  <c r="AG18"/>
  <c r="AE18"/>
  <c r="AF18" s="1"/>
  <c r="AD18"/>
  <c r="AD19"/>
  <c r="AE19"/>
  <c r="AF19" s="1"/>
  <c r="AG19"/>
  <c r="AH19"/>
  <c r="S2" i="31" l="1"/>
  <c r="M2"/>
  <c r="N2"/>
  <c r="O2"/>
  <c r="P2"/>
  <c r="Q2"/>
  <c r="R2"/>
  <c r="C1" i="73" l="1"/>
  <c r="L1" s="1"/>
  <c r="F7"/>
  <c r="J1" l="1"/>
  <c r="B74" i="72"/>
  <c r="F6" i="73"/>
  <c r="D4"/>
  <c r="D5"/>
  <c r="F3"/>
  <c r="F4"/>
  <c r="D7"/>
  <c r="F5"/>
  <c r="D3"/>
  <c r="E20" i="43" l="1"/>
  <c r="I1" i="73"/>
  <c r="B39" i="1" s="1"/>
  <c r="D6" i="73"/>
  <c r="F11" i="78" l="1"/>
  <c r="M11"/>
  <c r="Y12" i="43"/>
  <c r="Y10"/>
  <c r="AJ9"/>
  <c r="AJ12" s="1"/>
  <c r="AI9"/>
  <c r="AI12" s="1"/>
  <c r="AH9"/>
  <c r="AH12" s="1"/>
  <c r="AG9"/>
  <c r="AG12" s="1"/>
  <c r="AF9"/>
  <c r="AF12" s="1"/>
  <c r="AE9"/>
  <c r="AE12" s="1"/>
  <c r="AD9"/>
  <c r="AD12" s="1"/>
  <c r="AC9"/>
  <c r="AC12" s="1"/>
  <c r="AB9"/>
  <c r="AB12" s="1"/>
  <c r="AA9"/>
  <c r="AA12" s="1"/>
  <c r="Z9"/>
  <c r="Z12" s="1"/>
  <c r="C53" i="78" l="1"/>
  <c r="C10"/>
  <c r="AA10" i="43"/>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P47"/>
  <c r="F47"/>
  <c r="V47" s="1"/>
  <c r="E47"/>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F30" s="1"/>
  <c r="F31" s="1"/>
  <c r="V31"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B13" l="1"/>
  <c r="B14" s="1"/>
  <c r="B15" s="1"/>
  <c r="S15" s="1"/>
  <c r="X12"/>
  <c r="E13"/>
  <c r="E14" s="1"/>
  <c r="E15" s="1"/>
  <c r="U15" s="1"/>
  <c r="AA12"/>
  <c r="B17"/>
  <c r="B18" s="1"/>
  <c r="B19" s="1"/>
  <c r="S19" s="1"/>
  <c r="X16"/>
  <c r="E17"/>
  <c r="E18" s="1"/>
  <c r="E19" s="1"/>
  <c r="U19" s="1"/>
  <c r="AA16"/>
  <c r="B43"/>
  <c r="S43" s="1"/>
  <c r="N47"/>
  <c r="B9"/>
  <c r="B10" s="1"/>
  <c r="B11" s="1"/>
  <c r="S11" s="1"/>
  <c r="X8"/>
  <c r="E9"/>
  <c r="E10" s="1"/>
  <c r="E11" s="1"/>
  <c r="U11" s="1"/>
  <c r="AA8"/>
  <c r="C9"/>
  <c r="Y8"/>
  <c r="Z8" s="1"/>
  <c r="AB8"/>
  <c r="X9"/>
  <c r="AA9"/>
  <c r="X10"/>
  <c r="AA10"/>
  <c r="X11"/>
  <c r="AA11"/>
  <c r="C13"/>
  <c r="Y12"/>
  <c r="Z12" s="1"/>
  <c r="AB12"/>
  <c r="X13"/>
  <c r="AA13"/>
  <c r="X14"/>
  <c r="AA14"/>
  <c r="X15"/>
  <c r="AA15"/>
  <c r="C17"/>
  <c r="Y16"/>
  <c r="Z16" s="1"/>
  <c r="AA17"/>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M19" i="43" s="1"/>
  <c r="D18" i="71"/>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Z18" i="36"/>
  <c r="Q18"/>
  <c r="E66"/>
  <c r="F66" s="1"/>
  <c r="D66"/>
  <c r="H18"/>
  <c r="AB18" s="1"/>
  <c r="F18"/>
  <c r="AA18" s="1"/>
  <c r="C18"/>
  <c r="Q18" i="35"/>
  <c r="Z18" s="1"/>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0" i="1"/>
  <c r="AO13"/>
  <c r="AO12"/>
  <c r="AO11"/>
  <c r="AO9"/>
  <c r="B10" i="70" l="1"/>
  <c r="B9"/>
  <c r="B11"/>
  <c r="B13"/>
  <c r="B12"/>
  <c r="C25" i="40"/>
  <c r="B66" i="43"/>
  <c r="B75"/>
  <c r="B55"/>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78" s="1"/>
  <c r="F15" i="4"/>
  <c r="F8" i="1"/>
  <c r="F9"/>
  <c r="F10"/>
  <c r="F11"/>
  <c r="F12"/>
  <c r="F13"/>
  <c r="D6"/>
  <c r="D9"/>
  <c r="D10"/>
  <c r="D11"/>
  <c r="D12"/>
  <c r="D13"/>
  <c r="D7"/>
  <c r="D8"/>
  <c r="A7"/>
  <c r="B7" s="1"/>
  <c r="E7" s="1"/>
  <c r="A8"/>
  <c r="A9"/>
  <c r="A10"/>
  <c r="A11"/>
  <c r="A12"/>
  <c r="A13"/>
  <c r="B13" s="1"/>
  <c r="E13" s="1"/>
  <c r="A6"/>
  <c r="B11"/>
  <c r="E11" s="1"/>
  <c r="B12"/>
  <c r="E12" s="1"/>
  <c r="K12"/>
  <c r="M12" s="1"/>
  <c r="O12" s="1"/>
  <c r="P12" s="1"/>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H108"/>
  <c r="G108" s="1"/>
  <c r="BT107"/>
  <c r="BS107"/>
  <c r="BR107"/>
  <c r="BQ107"/>
  <c r="BP107"/>
  <c r="BO107"/>
  <c r="BN107"/>
  <c r="BM107"/>
  <c r="BL107"/>
  <c r="BK107"/>
  <c r="BJ107"/>
  <c r="BI107"/>
  <c r="BH107"/>
  <c r="BG107"/>
  <c r="BF107"/>
  <c r="BE107"/>
  <c r="BD107"/>
  <c r="BC107"/>
  <c r="BB107"/>
  <c r="BA107" s="1"/>
  <c r="AZ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M98"/>
  <c r="BL98"/>
  <c r="BK98"/>
  <c r="BJ98"/>
  <c r="BI98"/>
  <c r="BH98"/>
  <c r="BG98"/>
  <c r="BF98"/>
  <c r="BE98"/>
  <c r="BD98"/>
  <c r="BC98"/>
  <c r="BB98"/>
  <c r="BA98" s="1"/>
  <c r="AZ98"/>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Z91" s="1"/>
  <c r="AX91"/>
  <c r="AW91"/>
  <c r="AV91"/>
  <c r="AC91"/>
  <c r="H91"/>
  <c r="G91"/>
  <c r="BT90"/>
  <c r="BS90"/>
  <c r="BR90"/>
  <c r="BQ90"/>
  <c r="BP90"/>
  <c r="BO90"/>
  <c r="BN90"/>
  <c r="BM90"/>
  <c r="BL90" s="1"/>
  <c r="BK90"/>
  <c r="BJ90"/>
  <c r="BI90"/>
  <c r="BH90"/>
  <c r="BG90"/>
  <c r="BF90"/>
  <c r="BE90"/>
  <c r="BD90"/>
  <c r="BC90"/>
  <c r="BB90"/>
  <c r="BA90"/>
  <c r="AZ90" s="1"/>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s="1"/>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Z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s="1"/>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Z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Z197" s="1"/>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Z181" s="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Z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Z165" s="1"/>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Z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s="1"/>
  <c r="BK134"/>
  <c r="BJ134"/>
  <c r="BI134"/>
  <c r="BH134"/>
  <c r="BG134"/>
  <c r="BF134"/>
  <c r="BE134"/>
  <c r="BD134"/>
  <c r="BC134"/>
  <c r="BB134"/>
  <c r="BA134"/>
  <c r="AX134"/>
  <c r="AW134"/>
  <c r="AV134"/>
  <c r="AC134"/>
  <c r="H134"/>
  <c r="G134" s="1"/>
  <c r="BT133"/>
  <c r="BS133"/>
  <c r="BR133"/>
  <c r="BQ133"/>
  <c r="BP133"/>
  <c r="BO133"/>
  <c r="BN133"/>
  <c r="BM133"/>
  <c r="BL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c r="BT129"/>
  <c r="BS129"/>
  <c r="BR129"/>
  <c r="BQ129"/>
  <c r="BP129"/>
  <c r="BO129"/>
  <c r="BN129"/>
  <c r="BM129"/>
  <c r="BL129" s="1"/>
  <c r="BK129"/>
  <c r="BJ129"/>
  <c r="BI129"/>
  <c r="BH129"/>
  <c r="BG129"/>
  <c r="BF129"/>
  <c r="BE129"/>
  <c r="BD129"/>
  <c r="BC129"/>
  <c r="BB129"/>
  <c r="BA129"/>
  <c r="AZ129" s="1"/>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C126"/>
  <c r="BB126"/>
  <c r="BA126"/>
  <c r="AZ126" s="1"/>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s="1"/>
  <c r="BK118"/>
  <c r="BJ118"/>
  <c r="BI118"/>
  <c r="BH118"/>
  <c r="BG118"/>
  <c r="BF118"/>
  <c r="BE118"/>
  <c r="BD118"/>
  <c r="BC118"/>
  <c r="BB118"/>
  <c r="BA118"/>
  <c r="AX118"/>
  <c r="AW118"/>
  <c r="AV118"/>
  <c r="AC118"/>
  <c r="H118"/>
  <c r="G118" s="1"/>
  <c r="BT117"/>
  <c r="BS117"/>
  <c r="BR117"/>
  <c r="BQ117"/>
  <c r="BP117"/>
  <c r="BO117"/>
  <c r="BN117"/>
  <c r="BM117"/>
  <c r="BL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c r="BT113"/>
  <c r="BS113"/>
  <c r="BR113"/>
  <c r="BQ113"/>
  <c r="BP113"/>
  <c r="BO113"/>
  <c r="BN113"/>
  <c r="BM113"/>
  <c r="BL113" s="1"/>
  <c r="BK113"/>
  <c r="BJ113"/>
  <c r="BI113"/>
  <c r="BH113"/>
  <c r="BG113"/>
  <c r="BF113"/>
  <c r="BE113"/>
  <c r="BD113"/>
  <c r="BC113"/>
  <c r="BB113"/>
  <c r="BA113"/>
  <c r="AZ113" s="1"/>
  <c r="AX113"/>
  <c r="AW113"/>
  <c r="AV113"/>
  <c r="AC113"/>
  <c r="H113"/>
  <c r="BT302"/>
  <c r="BS302"/>
  <c r="BR302"/>
  <c r="BQ302"/>
  <c r="BP302"/>
  <c r="BO302"/>
  <c r="BN302"/>
  <c r="BM302"/>
  <c r="BL302" s="1"/>
  <c r="BK302"/>
  <c r="BJ302"/>
  <c r="BI302"/>
  <c r="BH302"/>
  <c r="BG302"/>
  <c r="BF302"/>
  <c r="BE302"/>
  <c r="BD302"/>
  <c r="BC302"/>
  <c r="BB302"/>
  <c r="BA302"/>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Z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Z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Z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Z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c r="BT423"/>
  <c r="BS423"/>
  <c r="BR423"/>
  <c r="BQ423"/>
  <c r="BP423"/>
  <c r="BO423"/>
  <c r="BN423"/>
  <c r="BM423"/>
  <c r="BL423" s="1"/>
  <c r="BK423"/>
  <c r="BJ423"/>
  <c r="BI423"/>
  <c r="BH423"/>
  <c r="BG423"/>
  <c r="BF423"/>
  <c r="BE423"/>
  <c r="BD423"/>
  <c r="BC423"/>
  <c r="BB423"/>
  <c r="BA423"/>
  <c r="AZ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s="1"/>
  <c r="BT406"/>
  <c r="BS406"/>
  <c r="BR406"/>
  <c r="BQ406"/>
  <c r="BP406"/>
  <c r="BO406"/>
  <c r="BN406"/>
  <c r="BM406"/>
  <c r="BL406"/>
  <c r="BK406"/>
  <c r="BJ406"/>
  <c r="BI406"/>
  <c r="BH406"/>
  <c r="BG406"/>
  <c r="BF406"/>
  <c r="BE406"/>
  <c r="BD406"/>
  <c r="BC406"/>
  <c r="BB406"/>
  <c r="BA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A15" i="62" s="1"/>
  <c r="B61" i="72" s="1"/>
  <c r="L20" i="4"/>
  <c r="A5" i="62"/>
  <c r="B72" i="72" s="1"/>
  <c r="A4" i="62"/>
  <c r="B70" i="72" s="1"/>
  <c r="F33" i="9"/>
  <c r="B37" i="48"/>
  <c r="B2" i="72" s="1"/>
  <c r="B13" i="53"/>
  <c r="B29" i="72" s="1"/>
  <c r="R35" i="4"/>
  <c r="Q35"/>
  <c r="P35"/>
  <c r="O35"/>
  <c r="N35"/>
  <c r="M35"/>
  <c r="L35"/>
  <c r="K34"/>
  <c r="T34" s="1"/>
  <c r="G13" i="1"/>
  <c r="G11"/>
  <c r="I15" i="4"/>
  <c r="H15"/>
  <c r="G15"/>
  <c r="E15"/>
  <c r="D15"/>
  <c r="F7" i="1" s="1"/>
  <c r="L21" i="4"/>
  <c r="F19"/>
  <c r="F2" i="52"/>
  <c r="B50" i="72" s="1"/>
  <c r="D2" i="52"/>
  <c r="B46" i="72" s="1"/>
  <c r="B8" i="53"/>
  <c r="B23" i="72" s="1"/>
  <c r="L4" i="9"/>
  <c r="A22" i="51"/>
  <c r="B17" i="72" s="1"/>
  <c r="A20" i="51"/>
  <c r="B15" i="72" s="1"/>
  <c r="A3" i="51"/>
  <c r="C8" i="11"/>
  <c r="B2" i="49"/>
  <c r="B23" s="1"/>
  <c r="B40" i="48"/>
  <c r="B3" i="72" s="1"/>
  <c r="I2" i="43"/>
  <c r="N1" s="1"/>
  <c r="F35" i="4"/>
  <c r="J55" i="39" s="1"/>
  <c r="H34" i="43"/>
  <c r="H35"/>
  <c r="H36"/>
  <c r="H37"/>
  <c r="H38"/>
  <c r="H39"/>
  <c r="H33"/>
  <c r="J20"/>
  <c r="P17"/>
  <c r="O17"/>
  <c r="N17"/>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K8" i="1" s="1"/>
  <c r="M8" s="1"/>
  <c r="F23" i="15"/>
  <c r="D24" s="1"/>
  <c r="O8" i="1"/>
  <c r="P8" s="1"/>
  <c r="M13"/>
  <c r="O13" s="1"/>
  <c r="P13" s="1"/>
  <c r="E22" i="6"/>
  <c r="E23"/>
  <c r="E24"/>
  <c r="E25"/>
  <c r="E26"/>
  <c r="BB13" i="3"/>
  <c r="BB5" s="1"/>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H35" s="1"/>
  <c r="AB35" s="1"/>
  <c r="B112"/>
  <c r="J30" i="36"/>
  <c r="H30"/>
  <c r="F30"/>
  <c r="AA30" s="1"/>
  <c r="C26" i="35"/>
  <c r="C79" s="1"/>
  <c r="J31"/>
  <c r="W31" s="1"/>
  <c r="H31"/>
  <c r="AB31" s="1"/>
  <c r="F31"/>
  <c r="S31" s="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J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W12" s="1"/>
  <c r="H12"/>
  <c r="F12"/>
  <c r="S12" s="1"/>
  <c r="Q11"/>
  <c r="Z11" s="1"/>
  <c r="Q10"/>
  <c r="Z10" s="1"/>
  <c r="F10"/>
  <c r="AA10" s="1"/>
  <c r="Q9"/>
  <c r="Z9" s="1"/>
  <c r="H9"/>
  <c r="J8"/>
  <c r="AC8" s="1"/>
  <c r="H8"/>
  <c r="U8" s="1"/>
  <c r="F8"/>
  <c r="D121" i="33"/>
  <c r="E121" s="1"/>
  <c r="F109"/>
  <c r="E109"/>
  <c r="D109"/>
  <c r="C109"/>
  <c r="D91"/>
  <c r="E91" s="1"/>
  <c r="B88"/>
  <c r="J26"/>
  <c r="AC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c r="Q45"/>
  <c r="Z45"/>
  <c r="Q44"/>
  <c r="Z44"/>
  <c r="Q43"/>
  <c r="Z43"/>
  <c r="Q42"/>
  <c r="Z42"/>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F12"/>
  <c r="S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J5" i="3"/>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N586"/>
  <c r="BO586"/>
  <c r="BL586" s="1"/>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AA31"/>
  <c r="AC31"/>
  <c r="W31"/>
  <c r="U31"/>
  <c r="J33"/>
  <c r="W33" s="1"/>
  <c r="H22" i="35"/>
  <c r="AB22" s="1"/>
  <c r="AC27"/>
  <c r="W28"/>
  <c r="S34"/>
  <c r="W34"/>
  <c r="W36"/>
  <c r="W22"/>
  <c r="U34"/>
  <c r="F36" i="34"/>
  <c r="J35"/>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S19"/>
  <c r="C15"/>
  <c r="H32" i="33"/>
  <c r="AB32" s="1"/>
  <c r="H11" i="21"/>
  <c r="U11" s="1"/>
  <c r="J11"/>
  <c r="W11" s="1"/>
  <c r="H37" i="40"/>
  <c r="U37" s="1"/>
  <c r="H36"/>
  <c r="AB36" s="1"/>
  <c r="F35"/>
  <c r="AA35" s="1"/>
  <c r="H23"/>
  <c r="AB23" s="1"/>
  <c r="H17"/>
  <c r="U17" s="1"/>
  <c r="J15"/>
  <c r="W15" s="1"/>
  <c r="J11"/>
  <c r="W11" s="1"/>
  <c r="AB8" i="39"/>
  <c r="AC12" i="33"/>
  <c r="AA12"/>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AA12" i="36"/>
  <c r="AB30"/>
  <c r="AC34"/>
  <c r="U30" i="35"/>
  <c r="F29"/>
  <c r="S29" s="1"/>
  <c r="H29"/>
  <c r="AB29" s="1"/>
  <c r="H33" i="37"/>
  <c r="AB33" s="1"/>
  <c r="F33"/>
  <c r="AA33" s="1"/>
  <c r="U34"/>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F13"/>
  <c r="S13" s="1"/>
  <c r="J29"/>
  <c r="AC29" s="1"/>
  <c r="H29"/>
  <c r="U29" s="1"/>
  <c r="F29"/>
  <c r="S29" s="1"/>
  <c r="J31"/>
  <c r="W31" s="1"/>
  <c r="H31"/>
  <c r="U31" s="1"/>
  <c r="F31"/>
  <c r="H45"/>
  <c r="J45"/>
  <c r="W45" s="1"/>
  <c r="F45"/>
  <c r="AA45" s="1"/>
  <c r="J14" i="34"/>
  <c r="W14" s="1"/>
  <c r="F14"/>
  <c r="H14"/>
  <c r="H30"/>
  <c r="F30"/>
  <c r="S30" s="1"/>
  <c r="J30"/>
  <c r="W30" s="1"/>
  <c r="H32"/>
  <c r="F32"/>
  <c r="J32"/>
  <c r="W32" s="1"/>
  <c r="H46"/>
  <c r="F46"/>
  <c r="J46"/>
  <c r="H11" i="35"/>
  <c r="U11" s="1"/>
  <c r="J11"/>
  <c r="AC11" s="1"/>
  <c r="F11"/>
  <c r="S11" s="1"/>
  <c r="J26" i="36"/>
  <c r="W26" s="1"/>
  <c r="H28"/>
  <c r="U28" s="1"/>
  <c r="H32"/>
  <c r="AB32" s="1"/>
  <c r="J32"/>
  <c r="W32"/>
  <c r="J11"/>
  <c r="AC11" s="1"/>
  <c r="H1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F30"/>
  <c r="J30"/>
  <c r="H44"/>
  <c r="J44"/>
  <c r="AC44" s="1"/>
  <c r="F44"/>
  <c r="S44" s="1"/>
  <c r="J46"/>
  <c r="AC46" s="1"/>
  <c r="F46"/>
  <c r="AA46" s="1"/>
  <c r="H46"/>
  <c r="AB46" s="1"/>
  <c r="H13" i="34"/>
  <c r="U13" s="1"/>
  <c r="J13"/>
  <c r="F13"/>
  <c r="AA13" s="1"/>
  <c r="J29"/>
  <c r="F29"/>
  <c r="S29" s="1"/>
  <c r="H29"/>
  <c r="AB29" s="1"/>
  <c r="J31"/>
  <c r="AC31" s="1"/>
  <c r="H31"/>
  <c r="AB31" s="1"/>
  <c r="F31"/>
  <c r="S31" s="1"/>
  <c r="H45"/>
  <c r="U45" s="1"/>
  <c r="J45"/>
  <c r="W45" s="1"/>
  <c r="F45"/>
  <c r="S45" s="1"/>
  <c r="H47"/>
  <c r="U47" s="1"/>
  <c r="F47"/>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5"/>
  <c r="J10" i="36"/>
  <c r="AC10" s="1"/>
  <c r="AB26" i="33"/>
  <c r="AA14" i="37"/>
  <c r="W31" i="34"/>
  <c r="AC13" i="36"/>
  <c r="W13"/>
  <c r="S11"/>
  <c r="W11"/>
  <c r="W11" i="35"/>
  <c r="AC30" i="34"/>
  <c r="S45" i="33"/>
  <c r="AB31"/>
  <c r="W29"/>
  <c r="AC28" i="21"/>
  <c r="S44" i="34"/>
  <c r="BA586" i="3"/>
  <c r="AZ586" s="1"/>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AZ584" s="1"/>
  <c r="BL580"/>
  <c r="BL576"/>
  <c r="AZ576" s="1"/>
  <c r="BL572"/>
  <c r="BL568"/>
  <c r="AZ568" s="1"/>
  <c r="BL564"/>
  <c r="BL560"/>
  <c r="AZ560" s="1"/>
  <c r="BL554"/>
  <c r="BL546"/>
  <c r="BL542"/>
  <c r="BL538"/>
  <c r="BL534"/>
  <c r="BL530"/>
  <c r="BL526"/>
  <c r="BL522"/>
  <c r="BL516"/>
  <c r="BL512"/>
  <c r="BL506"/>
  <c r="BL502"/>
  <c r="BL498"/>
  <c r="BL494"/>
  <c r="BL582"/>
  <c r="AZ582"/>
  <c r="BL578"/>
  <c r="BL574"/>
  <c r="AZ574" s="1"/>
  <c r="BL570"/>
  <c r="BL566"/>
  <c r="AZ566" s="1"/>
  <c r="BL562"/>
  <c r="BL556"/>
  <c r="BL552"/>
  <c r="BL544"/>
  <c r="BL540"/>
  <c r="BL536"/>
  <c r="G533"/>
  <c r="BL532"/>
  <c r="G529"/>
  <c r="BL528"/>
  <c r="G525"/>
  <c r="BL524"/>
  <c r="BL518"/>
  <c r="BL514"/>
  <c r="BL510"/>
  <c r="BL504"/>
  <c r="BL500"/>
  <c r="BL496"/>
  <c r="G493"/>
  <c r="BA584"/>
  <c r="BA582"/>
  <c r="BA580"/>
  <c r="AZ580"/>
  <c r="BA578"/>
  <c r="AZ578"/>
  <c r="BA576"/>
  <c r="BA574"/>
  <c r="BA572"/>
  <c r="AZ572"/>
  <c r="BA570"/>
  <c r="AZ570"/>
  <c r="BA568"/>
  <c r="BA566"/>
  <c r="BA564"/>
  <c r="AZ564"/>
  <c r="BA562"/>
  <c r="AZ562"/>
  <c r="BA560"/>
  <c r="BA558"/>
  <c r="AZ558" s="1"/>
  <c r="BA556"/>
  <c r="AZ556" s="1"/>
  <c r="BA554"/>
  <c r="AZ554" s="1"/>
  <c r="BA552"/>
  <c r="AZ552" s="1"/>
  <c r="BA548"/>
  <c r="BA546"/>
  <c r="BA544"/>
  <c r="BA542"/>
  <c r="AZ542" s="1"/>
  <c r="BA540"/>
  <c r="AZ540" s="1"/>
  <c r="BA538"/>
  <c r="AZ538" s="1"/>
  <c r="BA536"/>
  <c r="BA534"/>
  <c r="AZ534" s="1"/>
  <c r="BA532"/>
  <c r="BA530"/>
  <c r="BA528"/>
  <c r="AZ528"/>
  <c r="BA526"/>
  <c r="AZ526"/>
  <c r="BA524"/>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c r="BQ557"/>
  <c r="BL557"/>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A8" i="52"/>
  <c r="B54" i="72" s="1"/>
  <c r="H103" i="9"/>
  <c r="D8" i="53" s="1"/>
  <c r="B16"/>
  <c r="B33" i="72" s="1"/>
  <c r="C7" i="37"/>
  <c r="C7" i="34"/>
  <c r="C7" i="36"/>
  <c r="W35" i="40"/>
  <c r="A118" i="9"/>
  <c r="A4" i="52"/>
  <c r="B41" i="72" s="1"/>
  <c r="J11" i="39"/>
  <c r="W11" s="1"/>
  <c r="F11"/>
  <c r="AA11" s="1"/>
  <c r="A126" i="9"/>
  <c r="A12" i="52" s="1"/>
  <c r="B56" i="72" s="1"/>
  <c r="S11" i="39"/>
  <c r="G4" i="4"/>
  <c r="I4"/>
  <c r="K5"/>
  <c r="B47" i="48" s="1"/>
  <c r="A2" i="9"/>
  <c r="N2" i="43"/>
  <c r="F59" s="1"/>
  <c r="AZ550" i="3"/>
  <c r="AZ20"/>
  <c r="AZ24"/>
  <c r="AZ28"/>
  <c r="AZ32"/>
  <c r="AZ497"/>
  <c r="AZ525"/>
  <c r="AZ529"/>
  <c r="AZ53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AZ360" s="1"/>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AZ382" s="1"/>
  <c r="G383"/>
  <c r="G386"/>
  <c r="BL387"/>
  <c r="BA389"/>
  <c r="AZ389" s="1"/>
  <c r="BA390"/>
  <c r="BL390"/>
  <c r="G391"/>
  <c r="G394"/>
  <c r="AZ138"/>
  <c r="AZ142"/>
  <c r="AZ146"/>
  <c r="AZ150"/>
  <c r="AZ154"/>
  <c r="AZ158"/>
  <c r="AZ162"/>
  <c r="AZ166"/>
  <c r="AZ170"/>
  <c r="AZ174"/>
  <c r="AZ178"/>
  <c r="AZ182"/>
  <c r="AZ186"/>
  <c r="AZ190"/>
  <c r="AZ194"/>
  <c r="AZ198"/>
  <c r="AZ202"/>
  <c r="AZ206"/>
  <c r="AZ523"/>
  <c r="AZ531"/>
  <c r="AZ543"/>
  <c r="AZ500"/>
  <c r="BA16"/>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9"/>
  <c r="AZ317"/>
  <c r="AZ325"/>
  <c r="AZ333"/>
  <c r="AZ341"/>
  <c r="BQ5"/>
  <c r="AC5"/>
  <c r="AZ533"/>
  <c r="AZ549"/>
  <c r="AZ535"/>
  <c r="AZ547"/>
  <c r="AZ506"/>
  <c r="AZ548"/>
  <c r="AZ496"/>
  <c r="G548"/>
  <c r="G538"/>
  <c r="G520"/>
  <c r="G502"/>
  <c r="BS5"/>
  <c r="BP5"/>
  <c r="BN5"/>
  <c r="AZ343"/>
  <c r="BK5"/>
  <c r="BI5"/>
  <c r="BG5"/>
  <c r="BE5"/>
  <c r="BC5"/>
  <c r="G17"/>
  <c r="BA17"/>
  <c r="BT5"/>
  <c r="AZ350"/>
  <c r="AZ352"/>
  <c r="AZ356"/>
  <c r="AZ364"/>
  <c r="AZ368"/>
  <c r="BA15"/>
  <c r="BR5"/>
  <c r="G28" i="6" s="1"/>
  <c r="AZ380" i="3"/>
  <c r="AZ384"/>
  <c r="AZ388"/>
  <c r="AZ392"/>
  <c r="AZ396"/>
  <c r="AZ394"/>
  <c r="AZ499"/>
  <c r="G29" i="6"/>
  <c r="AZ509" i="3"/>
  <c r="F29" i="6"/>
  <c r="E29"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493"/>
  <c r="U36" i="40"/>
  <c r="N4" i="43"/>
  <c r="F36"/>
  <c r="F81"/>
  <c r="H83" s="1"/>
  <c r="H113"/>
  <c r="N7"/>
  <c r="F48" s="1"/>
  <c r="F70"/>
  <c r="H73" s="1"/>
  <c r="M6"/>
  <c r="M11"/>
  <c r="E17"/>
  <c r="F39"/>
  <c r="I17"/>
  <c r="F35"/>
  <c r="J17"/>
  <c r="F6" i="1"/>
  <c r="U17" i="39"/>
  <c r="U43" i="21"/>
  <c r="U35"/>
  <c r="AC35"/>
  <c r="U10"/>
  <c r="G8" i="1"/>
  <c r="O6"/>
  <c r="P6" s="1"/>
  <c r="G9"/>
  <c r="G10"/>
  <c r="F48" i="9"/>
  <c r="O52" s="1"/>
  <c r="AC11" i="39"/>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F97" s="1"/>
  <c r="G97" s="1"/>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I20"/>
  <c r="F23" i="39"/>
  <c r="AA23" s="1"/>
  <c r="S34" i="33"/>
  <c r="AA34"/>
  <c r="H27" i="36"/>
  <c r="U27" s="1"/>
  <c r="F27"/>
  <c r="AA27" s="1"/>
  <c r="H33" i="34"/>
  <c r="U33" s="1"/>
  <c r="AC34" i="33"/>
  <c r="AA39" i="34"/>
  <c r="F32" i="37"/>
  <c r="AA32" s="1"/>
  <c r="G96"/>
  <c r="H96" s="1"/>
  <c r="I96" s="1"/>
  <c r="J96" s="1"/>
  <c r="K96" s="1"/>
  <c r="L96" s="1"/>
  <c r="M96" s="1"/>
  <c r="G68" i="36"/>
  <c r="F20"/>
  <c r="AA20" s="1"/>
  <c r="J33" i="34"/>
  <c r="AC33" s="1"/>
  <c r="H23" i="39"/>
  <c r="U23" s="1"/>
  <c r="D48" i="9"/>
  <c r="M52" s="1"/>
  <c r="H86" i="43"/>
  <c r="H82"/>
  <c r="H87"/>
  <c r="K9" i="1"/>
  <c r="M9" s="1"/>
  <c r="O9" s="1"/>
  <c r="P9" s="1"/>
  <c r="F3" i="35"/>
  <c r="D93" i="9"/>
  <c r="J51" i="15"/>
  <c r="AE9" i="1"/>
  <c r="BL15" i="3" l="1"/>
  <c r="AZ15" s="1"/>
  <c r="E15" i="6"/>
  <c r="E60" i="40" s="1"/>
  <c r="E8" i="6"/>
  <c r="F27" s="1"/>
  <c r="E12"/>
  <c r="BL16" i="3"/>
  <c r="E13" i="6"/>
  <c r="E58" i="40" s="1"/>
  <c r="AZ16" i="3"/>
  <c r="F28" i="6"/>
  <c r="AC28" i="37"/>
  <c r="W28"/>
  <c r="S47" i="34"/>
  <c r="AA47"/>
  <c r="W13"/>
  <c r="AC13"/>
  <c r="AB30" i="33"/>
  <c r="U30"/>
  <c r="U11" i="36"/>
  <c r="AB11"/>
  <c r="U46" i="34"/>
  <c r="AB46"/>
  <c r="S14"/>
  <c r="AA14"/>
  <c r="U45" i="33"/>
  <c r="AB45"/>
  <c r="AB13"/>
  <c r="U13"/>
  <c r="AC9" i="34"/>
  <c r="W9"/>
  <c r="U33" i="36"/>
  <c r="AB33"/>
  <c r="AZ400" i="3"/>
  <c r="AZ407"/>
  <c r="AZ413"/>
  <c r="AZ416"/>
  <c r="AZ428"/>
  <c r="AZ433"/>
  <c r="AZ445"/>
  <c r="AZ449"/>
  <c r="AZ465"/>
  <c r="AZ557"/>
  <c r="AZ567"/>
  <c r="AZ571"/>
  <c r="AZ575"/>
  <c r="AZ579"/>
  <c r="AZ524"/>
  <c r="AZ532"/>
  <c r="AZ536"/>
  <c r="AZ544"/>
  <c r="U30" i="21"/>
  <c r="AB30"/>
  <c r="U12" i="33"/>
  <c r="AB12"/>
  <c r="AA32" i="36"/>
  <c r="S32"/>
  <c r="AC39" i="40"/>
  <c r="W39"/>
  <c r="AZ404" i="3"/>
  <c r="AZ409"/>
  <c r="AZ420"/>
  <c r="AZ441"/>
  <c r="AZ457"/>
  <c r="AZ473"/>
  <c r="W33" i="37"/>
  <c r="J12" i="21"/>
  <c r="AC12" s="1"/>
  <c r="F9" i="34"/>
  <c r="H12" i="39"/>
  <c r="AB12" s="1"/>
  <c r="F39" i="40"/>
  <c r="C30" i="9"/>
  <c r="AZ213" i="3"/>
  <c r="AZ224"/>
  <c r="AZ234"/>
  <c r="AZ238"/>
  <c r="AZ250"/>
  <c r="AZ254"/>
  <c r="AZ270"/>
  <c r="AZ274"/>
  <c r="AZ277"/>
  <c r="AZ284"/>
  <c r="AZ290"/>
  <c r="M20" i="15"/>
  <c r="F34" i="78"/>
  <c r="F62" s="1"/>
  <c r="M20"/>
  <c r="AZ300" i="3"/>
  <c r="AZ118"/>
  <c r="AZ121"/>
  <c r="AZ134"/>
  <c r="AZ137"/>
  <c r="AZ145"/>
  <c r="AZ153"/>
  <c r="AZ161"/>
  <c r="AZ169"/>
  <c r="AZ177"/>
  <c r="AZ185"/>
  <c r="AZ193"/>
  <c r="AZ201"/>
  <c r="AZ207"/>
  <c r="AZ23"/>
  <c r="AZ26"/>
  <c r="AZ293"/>
  <c r="AZ36"/>
  <c r="AZ40"/>
  <c r="AZ52"/>
  <c r="AZ56"/>
  <c r="AZ68"/>
  <c r="AZ73"/>
  <c r="AZ99"/>
  <c r="AZ103"/>
  <c r="AZ106"/>
  <c r="D1" i="66"/>
  <c r="E10" s="1"/>
  <c r="AZ81" i="3"/>
  <c r="AZ112"/>
  <c r="G1" i="78"/>
  <c r="S12" i="1"/>
  <c r="R12"/>
  <c r="S10"/>
  <c r="R10"/>
  <c r="H100" i="43"/>
  <c r="C30" i="66"/>
  <c r="E26" s="1"/>
  <c r="S13" i="1"/>
  <c r="AQ13" s="1"/>
  <c r="R13"/>
  <c r="S11"/>
  <c r="AR11" s="1"/>
  <c r="R11"/>
  <c r="S9"/>
  <c r="AQ9" s="1"/>
  <c r="R9"/>
  <c r="M6"/>
  <c r="G7"/>
  <c r="AC31" i="35"/>
  <c r="AA29"/>
  <c r="U33"/>
  <c r="U31"/>
  <c r="W16"/>
  <c r="S14"/>
  <c r="C25" i="39"/>
  <c r="G20" i="43"/>
  <c r="C20" s="1"/>
  <c r="H52"/>
  <c r="G52" s="1"/>
  <c r="H48"/>
  <c r="G48" s="1"/>
  <c r="H50"/>
  <c r="G50" s="1"/>
  <c r="H49"/>
  <c r="G49" s="1"/>
  <c r="H74"/>
  <c r="E63" i="39"/>
  <c r="G14" i="3"/>
  <c r="BL14"/>
  <c r="BA14"/>
  <c r="J51" i="67"/>
  <c r="C42" i="1"/>
  <c r="B4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E10" i="6"/>
  <c r="BA5" i="3"/>
  <c r="E27" i="6" s="1"/>
  <c r="E11"/>
  <c r="BL17" i="3"/>
  <c r="AZ17" s="1"/>
  <c r="BL13"/>
  <c r="E65" i="39"/>
  <c r="G30" i="6"/>
  <c r="G31" s="1"/>
  <c r="J56" i="9"/>
  <c r="J57" s="1"/>
  <c r="A24" i="51"/>
  <c r="B18" i="72" s="1"/>
  <c r="U29" i="34"/>
  <c r="E14" i="6"/>
  <c r="E64" i="39" s="1"/>
  <c r="E5" i="6"/>
  <c r="D9" i="11" s="1"/>
  <c r="C9" s="1"/>
  <c r="P10" i="1"/>
  <c r="E32" i="6"/>
  <c r="L19" s="1"/>
  <c r="G1" i="68"/>
  <c r="K1" i="12"/>
  <c r="F30" i="6"/>
  <c r="F31" s="1"/>
  <c r="E28"/>
  <c r="E30" s="1"/>
  <c r="G5" i="3"/>
  <c r="B3" s="1"/>
  <c r="E69" s="1"/>
  <c r="E57" i="40"/>
  <c r="E56"/>
  <c r="AR13" i="1"/>
  <c r="T13"/>
  <c r="AQ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E70"/>
  <c r="B68" s="1"/>
  <c r="F100"/>
  <c r="H17"/>
  <c r="D9" i="53"/>
  <c r="B25" i="72" s="1"/>
  <c r="B24"/>
  <c r="G6" i="1"/>
  <c r="H85" i="43"/>
  <c r="H81"/>
  <c r="H84"/>
  <c r="H88"/>
  <c r="H53"/>
  <c r="G53" s="1"/>
  <c r="H54"/>
  <c r="G54" s="1"/>
  <c r="H78"/>
  <c r="H70"/>
  <c r="H71"/>
  <c r="C17"/>
  <c r="F33"/>
  <c r="G17"/>
  <c r="F34"/>
  <c r="M7"/>
  <c r="N6"/>
  <c r="M2"/>
  <c r="M10"/>
  <c r="N3"/>
  <c r="N11"/>
  <c r="F38"/>
  <c r="F37"/>
  <c r="M9"/>
  <c r="N12"/>
  <c r="N5"/>
  <c r="M5"/>
  <c r="M12"/>
  <c r="M4"/>
  <c r="B19" i="53"/>
  <c r="B37" i="72" s="1"/>
  <c r="C7" i="39"/>
  <c r="C68" s="1"/>
  <c r="C70" s="1"/>
  <c r="C7" i="35"/>
  <c r="C7" i="33"/>
  <c r="C7" i="21"/>
  <c r="C7" i="40"/>
  <c r="C63" s="1"/>
  <c r="M47" i="9"/>
  <c r="G19" i="43"/>
  <c r="P23" s="1"/>
  <c r="B71" i="39" s="1"/>
  <c r="T35" i="4"/>
  <c r="A19" i="51" s="1"/>
  <c r="B14" i="72" s="1"/>
  <c r="C46" i="36"/>
  <c r="D46" s="1"/>
  <c r="E46" s="1"/>
  <c r="C59" i="34"/>
  <c r="D59" s="1"/>
  <c r="C52" i="37"/>
  <c r="D52" s="1"/>
  <c r="P24" i="43"/>
  <c r="B66" i="40" s="1"/>
  <c r="A4" i="51"/>
  <c r="B6" i="72" s="1"/>
  <c r="D68" i="39"/>
  <c r="D70" s="1"/>
  <c r="C48" i="35"/>
  <c r="D48" s="1"/>
  <c r="C58" i="33"/>
  <c r="D58" s="1"/>
  <c r="E58" s="1"/>
  <c r="F58" s="1"/>
  <c r="G58" s="1"/>
  <c r="H58" s="1"/>
  <c r="I58" s="1"/>
  <c r="J58" s="1"/>
  <c r="K58" s="1"/>
  <c r="L58" s="1"/>
  <c r="M58" s="1"/>
  <c r="N58" s="1"/>
  <c r="O58" s="1"/>
  <c r="C58" i="21"/>
  <c r="D58" s="1"/>
  <c r="C94" i="9"/>
  <c r="C4" i="12"/>
  <c r="C92" i="9"/>
  <c r="H62" i="43"/>
  <c r="H66"/>
  <c r="H61"/>
  <c r="H65"/>
  <c r="H60"/>
  <c r="H64"/>
  <c r="H59"/>
  <c r="H63"/>
  <c r="H67"/>
  <c r="H55"/>
  <c r="G55" s="1"/>
  <c r="H51"/>
  <c r="G51" s="1"/>
  <c r="H56"/>
  <c r="G56" s="1"/>
  <c r="H76"/>
  <c r="H72"/>
  <c r="H77"/>
  <c r="L20" i="6"/>
  <c r="K15" i="1"/>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D9" i="69"/>
  <c r="F37" i="67"/>
  <c r="F9"/>
  <c r="F38" i="15"/>
  <c r="J15" i="67"/>
  <c r="F43"/>
  <c r="G1" i="73"/>
  <c r="F6" i="67"/>
  <c r="F7" i="15"/>
  <c r="F40"/>
  <c r="F38" i="67"/>
  <c r="F16"/>
  <c r="M23" i="15"/>
  <c r="M29"/>
  <c r="F7" i="78"/>
  <c r="M28" i="15"/>
  <c r="F42" i="67"/>
  <c r="M6"/>
  <c r="M8" i="15"/>
  <c r="M26"/>
  <c r="F7" i="67"/>
  <c r="F16" i="15"/>
  <c r="F42"/>
  <c r="M29" i="67"/>
  <c r="F13" i="15"/>
  <c r="M9" i="67"/>
  <c r="M28"/>
  <c r="F43" i="78"/>
  <c r="M22" i="15"/>
  <c r="F6"/>
  <c r="J15"/>
  <c r="F8" i="67"/>
  <c r="L47"/>
  <c r="L48"/>
  <c r="M9" i="15"/>
  <c r="F13" i="67"/>
  <c r="F8" i="15"/>
  <c r="F9"/>
  <c r="C76" i="67"/>
  <c r="L48" i="15"/>
  <c r="F40" i="67"/>
  <c r="F26" i="15"/>
  <c r="L47"/>
  <c r="F36" i="67"/>
  <c r="F36" i="15"/>
  <c r="F37"/>
  <c r="M29" i="78"/>
  <c r="C76" i="15"/>
  <c r="M6"/>
  <c r="M24"/>
  <c r="F43"/>
  <c r="M26" i="67"/>
  <c r="F26"/>
  <c r="M8"/>
  <c r="M22"/>
  <c r="M24"/>
  <c r="M23"/>
  <c r="E530" i="3" l="1"/>
  <c r="T9" i="1"/>
  <c r="AR9"/>
  <c r="T11"/>
  <c r="E343" i="3"/>
  <c r="E175"/>
  <c r="K56" i="43"/>
  <c r="J56" s="1"/>
  <c r="D56" s="1"/>
  <c r="M56"/>
  <c r="N56" s="1"/>
  <c r="M55"/>
  <c r="N55" s="1"/>
  <c r="K55"/>
  <c r="J55" s="1"/>
  <c r="D55" s="1"/>
  <c r="M53"/>
  <c r="N53" s="1"/>
  <c r="K53"/>
  <c r="J53" s="1"/>
  <c r="D53" s="1"/>
  <c r="F53" i="9"/>
  <c r="F28" i="78"/>
  <c r="C28" s="1"/>
  <c r="M18"/>
  <c r="F32"/>
  <c r="F60" s="1"/>
  <c r="M49" i="43"/>
  <c r="N49" s="1"/>
  <c r="K49"/>
  <c r="J49" s="1"/>
  <c r="D49" s="1"/>
  <c r="M48"/>
  <c r="N48" s="1"/>
  <c r="K48"/>
  <c r="J48" s="1"/>
  <c r="D48" s="1"/>
  <c r="AA39" i="40"/>
  <c r="S39"/>
  <c r="AA9" i="34"/>
  <c r="S9"/>
  <c r="M51" i="43"/>
  <c r="N51" s="1"/>
  <c r="K51"/>
  <c r="J51" s="1"/>
  <c r="D51" s="1"/>
  <c r="M54"/>
  <c r="N54" s="1"/>
  <c r="K54"/>
  <c r="J54" s="1"/>
  <c r="D54" s="1"/>
  <c r="E501" i="3"/>
  <c r="E319"/>
  <c r="E53"/>
  <c r="AZ13"/>
  <c r="F28" i="15"/>
  <c r="AZ14" i="3"/>
  <c r="M50" i="43"/>
  <c r="N50" s="1"/>
  <c r="K50"/>
  <c r="J50" s="1"/>
  <c r="D50" s="1"/>
  <c r="M52"/>
  <c r="N52" s="1"/>
  <c r="K52"/>
  <c r="J52" s="1"/>
  <c r="D52" s="1"/>
  <c r="F71" i="78"/>
  <c r="M7"/>
  <c r="F50"/>
  <c r="C6" i="43"/>
  <c r="D19" i="12"/>
  <c r="C19" s="1"/>
  <c r="E553" i="3"/>
  <c r="E526"/>
  <c r="E366"/>
  <c r="E217"/>
  <c r="E125"/>
  <c r="E395"/>
  <c r="E565"/>
  <c r="E563"/>
  <c r="E528"/>
  <c r="E415"/>
  <c r="E304"/>
  <c r="E278"/>
  <c r="E261"/>
  <c r="E114"/>
  <c r="E237"/>
  <c r="E59" i="40"/>
  <c r="E302" i="3"/>
  <c r="E328"/>
  <c r="E535"/>
  <c r="AJ6"/>
  <c r="E503"/>
  <c r="E508"/>
  <c r="E550"/>
  <c r="N6"/>
  <c r="E17"/>
  <c r="E426"/>
  <c r="E445"/>
  <c r="E322"/>
  <c r="E361"/>
  <c r="E305"/>
  <c r="E260"/>
  <c r="E282"/>
  <c r="E213"/>
  <c r="E153"/>
  <c r="E172"/>
  <c r="E268"/>
  <c r="E183"/>
  <c r="E16" i="6"/>
  <c r="D9" i="68"/>
  <c r="C9" s="1"/>
  <c r="E61" i="39"/>
  <c r="E66" s="1"/>
  <c r="K20" i="6"/>
  <c r="S7" i="1" s="1"/>
  <c r="C4" i="4"/>
  <c r="B4" i="62" s="1"/>
  <c r="B71" i="72" s="1"/>
  <c r="E4" i="4"/>
  <c r="B5" i="62" s="1"/>
  <c r="B73" i="72" s="1"/>
  <c r="C28" i="67"/>
  <c r="C31" i="12"/>
  <c r="C48" i="69"/>
  <c r="C30" i="68"/>
  <c r="C28" i="15"/>
  <c r="C24" i="12"/>
  <c r="C30" i="69"/>
  <c r="C48" i="68"/>
  <c r="C77" i="9"/>
  <c r="C74" s="1"/>
  <c r="C16" i="43"/>
  <c r="D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S22" s="1"/>
  <c r="K19"/>
  <c r="S6" i="1" s="1"/>
  <c r="K25" i="6"/>
  <c r="M25" s="1"/>
  <c r="I25" s="1"/>
  <c r="K23"/>
  <c r="M23" s="1"/>
  <c r="I23" s="1"/>
  <c r="S23" s="1"/>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F24" i="78"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M19" i="6"/>
  <c r="S25"/>
  <c r="L27"/>
  <c r="S26"/>
  <c r="S24"/>
  <c r="M20"/>
  <c r="I20" s="1"/>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M7"/>
  <c r="Q16"/>
  <c r="F27" i="69" s="1"/>
  <c r="H16" i="1"/>
  <c r="K16"/>
  <c r="AB45" i="21"/>
  <c r="AC33"/>
  <c r="W33"/>
  <c r="S33"/>
  <c r="AA33"/>
  <c r="W32"/>
  <c r="AC32"/>
  <c r="AB9"/>
  <c r="U9"/>
  <c r="AA32"/>
  <c r="S32"/>
  <c r="W9"/>
  <c r="AC9"/>
  <c r="AB32"/>
  <c r="U32"/>
  <c r="AA10"/>
  <c r="S10"/>
  <c r="C36" i="69"/>
  <c r="F9" i="78"/>
  <c r="C17"/>
  <c r="F37"/>
  <c r="M26"/>
  <c r="C16" i="67"/>
  <c r="M6" i="78"/>
  <c r="M28"/>
  <c r="F36"/>
  <c r="M24"/>
  <c r="M23"/>
  <c r="C17" i="15"/>
  <c r="M9" i="78"/>
  <c r="F13"/>
  <c r="M8"/>
  <c r="M17" i="67"/>
  <c r="M27" i="78"/>
  <c r="F31" i="15"/>
  <c r="M22" i="78"/>
  <c r="F6"/>
  <c r="L47"/>
  <c r="F31" i="67"/>
  <c r="F40" i="78"/>
  <c r="F42"/>
  <c r="C14"/>
  <c r="L48"/>
  <c r="F59" i="67"/>
  <c r="J15" i="78"/>
  <c r="F26"/>
  <c r="F59" i="15"/>
  <c r="C16"/>
  <c r="F8" i="78"/>
  <c r="F16"/>
  <c r="M17" i="15"/>
  <c r="F38" i="78"/>
  <c r="C76"/>
  <c r="L56" l="1"/>
  <c r="J53"/>
  <c r="J57"/>
  <c r="J55" s="1"/>
  <c r="J58" s="1"/>
  <c r="Q50" s="1"/>
  <c r="K53"/>
  <c r="F66"/>
  <c r="F51"/>
  <c r="Q71"/>
  <c r="F68"/>
  <c r="F64"/>
  <c r="F65"/>
  <c r="L58"/>
  <c r="L59"/>
  <c r="C27"/>
  <c r="C6"/>
  <c r="C5" s="1"/>
  <c r="C38" s="1"/>
  <c r="E48" i="43"/>
  <c r="B46" s="1"/>
  <c r="C24" s="1"/>
  <c r="C35" s="1"/>
  <c r="C32" i="78"/>
  <c r="J6"/>
  <c r="J10"/>
  <c r="AQ6" i="1"/>
  <c r="E6" i="70"/>
  <c r="E7"/>
  <c r="C49" i="78"/>
  <c r="C48" s="1"/>
  <c r="C15"/>
  <c r="C18"/>
  <c r="O7" i="1"/>
  <c r="O16" s="1"/>
  <c r="C24" i="78"/>
  <c r="AR6" i="1"/>
  <c r="K27" i="6"/>
  <c r="B14" i="74"/>
  <c r="B1" s="1"/>
  <c r="D3" i="34"/>
  <c r="D3" i="21"/>
  <c r="D3" i="33"/>
  <c r="K4" i="4"/>
  <c r="B46" i="48" s="1"/>
  <c r="B4" i="72" s="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F24" i="15"/>
  <c r="C24" s="1"/>
  <c r="F22" i="11"/>
  <c r="F25" i="12"/>
  <c r="F22" i="69"/>
  <c r="F24" i="67"/>
  <c r="C24" s="1"/>
  <c r="F22" i="68"/>
  <c r="T15" i="43"/>
  <c r="V15" s="1"/>
  <c r="T10"/>
  <c r="V10" s="1"/>
  <c r="F1" i="15"/>
  <c r="Q52"/>
  <c r="C37" i="43"/>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M17" i="78"/>
  <c r="F31"/>
  <c r="F59"/>
  <c r="C16"/>
  <c r="T9" i="43" l="1"/>
  <c r="V9" s="1"/>
  <c r="T14"/>
  <c r="V14" s="1"/>
  <c r="T11"/>
  <c r="V11" s="1"/>
  <c r="C36"/>
  <c r="E36" s="1"/>
  <c r="C39"/>
  <c r="E39" s="1"/>
  <c r="T13"/>
  <c r="V13" s="1"/>
  <c r="T8"/>
  <c r="V8" s="1"/>
  <c r="T12"/>
  <c r="V12" s="1"/>
  <c r="T16"/>
  <c r="V16" s="1"/>
  <c r="C38"/>
  <c r="G38" s="1"/>
  <c r="I38" s="1"/>
  <c r="C33"/>
  <c r="G33" s="1"/>
  <c r="I33" s="1"/>
  <c r="C34"/>
  <c r="G34" s="1"/>
  <c r="I34" s="1"/>
  <c r="Q74" i="78"/>
  <c r="Q61"/>
  <c r="Q52"/>
  <c r="F1"/>
  <c r="Q73"/>
  <c r="Q60"/>
  <c r="C60"/>
  <c r="C66"/>
  <c r="J5"/>
  <c r="C19"/>
  <c r="C20" s="1"/>
  <c r="C23" s="1"/>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M19" i="9"/>
  <c r="C118"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G36"/>
  <c r="I36" s="1"/>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E34" i="43" l="1"/>
  <c r="C34" i="11"/>
  <c r="C36"/>
  <c r="R20" i="6"/>
  <c r="R7" i="1" s="1"/>
  <c r="J26" i="78"/>
  <c r="J24"/>
  <c r="J18"/>
  <c r="C26"/>
  <c r="C29" s="1"/>
  <c r="J59" s="1"/>
  <c r="J60" s="1"/>
  <c r="Q48" s="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B29" i="1" s="1"/>
  <c r="C12" i="12"/>
  <c r="C15"/>
  <c r="C34" i="68"/>
  <c r="C36"/>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C18" l="1"/>
  <c r="C8" i="68"/>
  <c r="Q49" i="78"/>
  <c r="J14"/>
  <c r="C33"/>
  <c r="J19"/>
  <c r="C36"/>
  <c r="C13"/>
  <c r="C37" s="1"/>
  <c r="C57"/>
  <c r="C61" s="1"/>
  <c r="D31" i="6"/>
  <c r="I6" s="1"/>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67"/>
  <c r="F35" i="15"/>
  <c r="M21" i="67"/>
  <c r="M21" i="15"/>
  <c r="M21" i="78"/>
  <c r="F35"/>
  <c r="C21" i="12" l="1"/>
  <c r="C22" s="1"/>
  <c r="C30" s="1"/>
  <c r="C28" s="1"/>
  <c r="Q70" i="78"/>
  <c r="I7" i="6"/>
  <c r="G3" i="43"/>
  <c r="C64" i="78"/>
  <c r="C56"/>
  <c r="C65" s="1"/>
  <c r="C75"/>
  <c r="J13"/>
  <c r="J23" s="1"/>
  <c r="J22"/>
  <c r="C34"/>
  <c r="C31" s="1"/>
  <c r="C30" s="1"/>
  <c r="C39" s="1"/>
  <c r="F63"/>
  <c r="C62" s="1"/>
  <c r="C59" s="1"/>
  <c r="J20"/>
  <c r="J17" s="1"/>
  <c r="I5" i="6"/>
  <c r="C49" i="21"/>
  <c r="F63" i="67"/>
  <c r="C62" s="1"/>
  <c r="C34"/>
  <c r="J20"/>
  <c r="C24" i="68"/>
  <c r="J20" i="15"/>
  <c r="F63"/>
  <c r="C62" s="1"/>
  <c r="C34"/>
  <c r="R16" i="1"/>
  <c r="C33" i="68"/>
  <c r="I63" i="40"/>
  <c r="H65"/>
  <c r="C39" i="11"/>
  <c r="C43" s="1"/>
  <c r="C41" s="1"/>
  <c r="I70" i="39"/>
  <c r="E22" i="43" l="1"/>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S6"/>
  <c r="T6" s="1"/>
  <c r="V6" s="1"/>
  <c r="S4"/>
  <c r="T4" s="1"/>
  <c r="V4" s="1"/>
  <c r="S7"/>
  <c r="T7" s="1"/>
  <c r="V7" s="1"/>
  <c r="C23"/>
  <c r="C21" s="1"/>
  <c r="S3"/>
  <c r="T3" s="1"/>
  <c r="V3" s="1"/>
  <c r="J16" i="78"/>
  <c r="J25" s="1"/>
  <c r="C58"/>
  <c r="C67" s="1"/>
  <c r="Q69"/>
  <c r="Q68" s="1"/>
  <c r="C80"/>
  <c r="C79" s="1"/>
  <c r="C27" i="12"/>
  <c r="C25" s="1"/>
  <c r="C32" s="1"/>
  <c r="B2" s="1"/>
  <c r="B3" s="1"/>
  <c r="C39" i="68"/>
  <c r="C43" s="1"/>
  <c r="C42"/>
  <c r="J63" i="40"/>
  <c r="I65"/>
  <c r="C46" i="11"/>
  <c r="C45" s="1"/>
  <c r="C49" s="1"/>
  <c r="C51" s="1"/>
  <c r="C52" s="1"/>
  <c r="B2" s="1"/>
  <c r="B3" s="1"/>
  <c r="J70" i="39"/>
  <c r="L51" i="78"/>
  <c r="E102" i="43" l="1"/>
  <c r="E106"/>
  <c r="E103"/>
  <c r="E104"/>
  <c r="E107"/>
  <c r="E105"/>
  <c r="E109"/>
  <c r="H102"/>
  <c r="H103"/>
  <c r="H104"/>
  <c r="H109"/>
  <c r="H107"/>
  <c r="H106"/>
  <c r="H105"/>
  <c r="F104"/>
  <c r="F102"/>
  <c r="F109"/>
  <c r="F107"/>
  <c r="F103"/>
  <c r="F105"/>
  <c r="F106"/>
  <c r="J104"/>
  <c r="J107"/>
  <c r="J106"/>
  <c r="J105"/>
  <c r="J109"/>
  <c r="J102"/>
  <c r="J103"/>
  <c r="C29"/>
  <c r="M109"/>
  <c r="M102"/>
  <c r="M106"/>
  <c r="M103"/>
  <c r="M104"/>
  <c r="M107"/>
  <c r="M105"/>
  <c r="B115"/>
  <c r="D117"/>
  <c r="E117" s="1"/>
  <c r="F117" s="1"/>
  <c r="G117" s="1"/>
  <c r="H117" s="1"/>
  <c r="B118"/>
  <c r="C118" s="1"/>
  <c r="D115"/>
  <c r="E115" s="1"/>
  <c r="F115" s="1"/>
  <c r="G115" s="1"/>
  <c r="H115" s="1"/>
  <c r="I117"/>
  <c r="J117" s="1"/>
  <c r="K117" s="1"/>
  <c r="L117" s="1"/>
  <c r="M117" s="1"/>
  <c r="D118"/>
  <c r="E118" s="1"/>
  <c r="F118" s="1"/>
  <c r="I115"/>
  <c r="J115" s="1"/>
  <c r="K115" s="1"/>
  <c r="L115" s="1"/>
  <c r="M115" s="1"/>
  <c r="G118"/>
  <c r="H118" s="1"/>
  <c r="I116"/>
  <c r="J116" s="1"/>
  <c r="K116" s="1"/>
  <c r="L116" s="1"/>
  <c r="M116" s="1"/>
  <c r="D116"/>
  <c r="E116" s="1"/>
  <c r="F116" s="1"/>
  <c r="G116" s="1"/>
  <c r="H116" s="1"/>
  <c r="B117"/>
  <c r="C117" s="1"/>
  <c r="B116"/>
  <c r="C116" s="1"/>
  <c r="I118"/>
  <c r="J118" s="1"/>
  <c r="K118" s="1"/>
  <c r="L118" s="1"/>
  <c r="M118" s="1"/>
  <c r="G105"/>
  <c r="G109"/>
  <c r="G106"/>
  <c r="G107"/>
  <c r="G103"/>
  <c r="G104"/>
  <c r="G102"/>
  <c r="I109"/>
  <c r="I104"/>
  <c r="I107"/>
  <c r="I105"/>
  <c r="I102"/>
  <c r="I106"/>
  <c r="I103"/>
  <c r="L109"/>
  <c r="L106"/>
  <c r="L107"/>
  <c r="L103"/>
  <c r="L102"/>
  <c r="L105"/>
  <c r="L104"/>
  <c r="K103"/>
  <c r="K102"/>
  <c r="K109"/>
  <c r="K105"/>
  <c r="K107"/>
  <c r="K106"/>
  <c r="K104"/>
  <c r="C104"/>
  <c r="C107"/>
  <c r="C103"/>
  <c r="C102"/>
  <c r="S2" s="1"/>
  <c r="T2" s="1"/>
  <c r="V2" s="1"/>
  <c r="C105"/>
  <c r="C109"/>
  <c r="C106"/>
  <c r="D109"/>
  <c r="D105"/>
  <c r="D106"/>
  <c r="D102"/>
  <c r="D103"/>
  <c r="D104"/>
  <c r="D107"/>
  <c r="N102"/>
  <c r="N104"/>
  <c r="N103"/>
  <c r="N105"/>
  <c r="N109"/>
  <c r="N107"/>
  <c r="N106"/>
  <c r="D22"/>
  <c r="Q67" i="78"/>
  <c r="L57"/>
  <c r="L60" s="1"/>
  <c r="C41" i="68"/>
  <c r="C46"/>
  <c r="C45" s="1"/>
  <c r="K63" i="40"/>
  <c r="J65"/>
  <c r="K70" i="39"/>
  <c r="C56" i="11"/>
  <c r="C57" s="1"/>
  <c r="C6" i="68" l="1"/>
  <c r="C7" s="1"/>
  <c r="C5" s="1"/>
  <c r="C30" i="43"/>
  <c r="E30" s="1"/>
  <c r="C27" s="1"/>
  <c r="E29"/>
  <c r="C26" s="1"/>
  <c r="C115"/>
  <c r="D113" s="1"/>
  <c r="J22" s="1"/>
  <c r="Q57" i="78"/>
  <c r="Q66"/>
  <c r="L46"/>
  <c r="C49" i="68"/>
  <c r="C51" s="1"/>
  <c r="L63" i="40"/>
  <c r="K65"/>
  <c r="L70" i="39"/>
  <c r="E2" i="70"/>
  <c r="C34" i="69"/>
  <c r="C17" i="67"/>
  <c r="E6" i="76"/>
  <c r="C20" i="68" l="1"/>
  <c r="C25" s="1"/>
  <c r="C22" s="1"/>
  <c r="C23"/>
  <c r="E2" i="76"/>
  <c r="B2" i="43"/>
  <c r="C28" i="68"/>
  <c r="C27" s="1"/>
  <c r="M63" i="40"/>
  <c r="L65"/>
  <c r="M70" i="39"/>
  <c r="C35" i="69"/>
  <c r="C38"/>
  <c r="D10"/>
  <c r="B6" i="76"/>
  <c r="C31" i="68" l="1"/>
  <c r="C52" s="1"/>
  <c r="C57" s="1"/>
  <c r="C56" s="1"/>
  <c r="B2" i="76"/>
  <c r="B3" s="1"/>
  <c r="B3" i="43"/>
  <c r="N63" i="40"/>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L51"/>
  <c r="AE7" i="1"/>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F41" i="78"/>
  <c r="F69" l="1"/>
  <c r="C68" s="1"/>
  <c r="J29"/>
  <c r="C40"/>
  <c r="C66" i="15"/>
  <c r="C60"/>
  <c r="C59" s="1"/>
  <c r="AG6" i="1"/>
  <c r="C80" i="15"/>
  <c r="C79" s="1"/>
  <c r="C65"/>
  <c r="Q68"/>
  <c r="L57"/>
  <c r="L60" s="1"/>
  <c r="F41" i="67"/>
  <c r="F41" i="15"/>
  <c r="M27" i="67"/>
  <c r="L51" i="15"/>
  <c r="M27"/>
  <c r="Q67" l="1"/>
  <c r="Q65" i="78"/>
  <c r="Q75" s="1"/>
  <c r="Q56"/>
  <c r="Q62" s="1"/>
  <c r="C43"/>
  <c r="Q47"/>
  <c r="Q53" s="1"/>
  <c r="B2"/>
  <c r="B3" s="1"/>
  <c r="C83"/>
  <c r="C82" s="1"/>
  <c r="C71"/>
  <c r="C46"/>
  <c r="J26" i="15"/>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6" i="1"/>
  <c r="AO7"/>
  <c r="AO8"/>
  <c r="B8" i="70" l="1"/>
  <c r="B7"/>
  <c r="B6"/>
  <c r="C46" i="15"/>
  <c r="B2" i="69"/>
  <c r="B3" s="1"/>
  <c r="B2" i="68"/>
  <c r="B3" i="67"/>
  <c r="F20" i="31"/>
  <c r="D2" i="37"/>
  <c r="D2" i="35"/>
  <c r="D2" i="21"/>
  <c r="E2" i="68"/>
  <c r="D2" i="34"/>
  <c r="D2" i="36"/>
  <c r="D2" i="33"/>
  <c r="B20" i="31" l="1"/>
  <c r="B2" i="36"/>
  <c r="B3" s="1"/>
  <c r="B2" i="35"/>
  <c r="B3" s="1"/>
  <c r="B2" i="37"/>
  <c r="B3" s="1"/>
  <c r="B2" i="34"/>
  <c r="B3" s="1"/>
  <c r="B2" i="21"/>
  <c r="B3" s="1"/>
  <c r="B2" i="70"/>
  <c r="B3" i="68"/>
  <c r="D20" i="9"/>
  <c r="C19"/>
  <c r="D19"/>
  <c r="C21" l="1"/>
  <c r="C102"/>
  <c r="B3" i="70"/>
  <c r="G19" i="9"/>
  <c r="D102"/>
  <c r="D22"/>
  <c r="D21"/>
  <c r="D103"/>
  <c r="C20"/>
  <c r="C103" l="1"/>
  <c r="G20"/>
  <c r="C32"/>
  <c r="G21"/>
  <c r="D34"/>
  <c r="H109" l="1"/>
  <c r="M49" s="1"/>
  <c r="L68" s="1"/>
  <c r="M68" s="1"/>
  <c r="L65" l="1"/>
  <c r="M65" s="1"/>
  <c r="L66"/>
  <c r="M66" s="1"/>
  <c r="L64"/>
  <c r="M64" s="1"/>
  <c r="L63"/>
  <c r="M63" s="1"/>
  <c r="L67"/>
  <c r="M67" s="1"/>
  <c r="H110"/>
  <c r="D18" i="53" s="1"/>
  <c r="B35" i="72" s="1"/>
  <c r="D124" i="9"/>
  <c r="D16" i="53"/>
  <c r="B34" i="72" s="1"/>
  <c r="M69" i="9" l="1"/>
  <c r="D10" i="52"/>
  <c r="H14" i="74"/>
  <c r="D17" i="53"/>
  <c r="B36" i="72" s="1"/>
  <c r="D125" i="9"/>
  <c r="D11" i="52" s="1"/>
  <c r="N69" i="9" l="1"/>
  <c r="B7" i="74"/>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H112" l="1"/>
  <c r="D21" i="53" s="1"/>
  <c r="B39" i="72" s="1"/>
  <c r="H111" i="9"/>
  <c r="D126" s="1"/>
  <c r="D19" i="53"/>
  <c r="D59" i="9"/>
  <c r="M55"/>
  <c r="D20" i="53" l="1"/>
  <c r="B40" i="72" s="1"/>
  <c r="B38"/>
  <c r="I14" i="74"/>
  <c r="B8" s="1"/>
  <c r="D12" i="52"/>
  <c r="D127" i="9"/>
  <c r="D13" i="52" s="1"/>
  <c r="F118" i="9"/>
  <c r="G118" s="1"/>
  <c r="G4" i="52" s="1"/>
  <c r="B52" i="72" s="1"/>
  <c r="D118" i="9"/>
  <c r="D119" s="1"/>
  <c r="D5" i="52" s="1"/>
  <c r="B49" i="72" s="1"/>
  <c r="H118" i="9"/>
  <c r="C104" l="1"/>
  <c r="J119"/>
  <c r="D8" i="74"/>
  <c r="C8"/>
  <c r="H101" i="9"/>
  <c r="M48" s="1"/>
  <c r="I118"/>
  <c r="C105" s="1"/>
  <c r="H119"/>
  <c r="H5" i="52" s="1"/>
  <c r="F4"/>
  <c r="B51" i="72" s="1"/>
  <c r="F119" i="9"/>
  <c r="F5" i="52" s="1"/>
  <c r="B53" i="72" s="1"/>
  <c r="D14" i="74"/>
  <c r="H4" i="52"/>
  <c r="D4"/>
  <c r="B47" i="72" s="1"/>
  <c r="H107" i="9"/>
  <c r="D45" l="1"/>
  <c r="D53" s="1"/>
  <c r="I4" i="52"/>
  <c r="D5" i="53"/>
  <c r="B20" i="72" s="1"/>
  <c r="H102" i="9"/>
  <c r="D7" i="53" s="1"/>
  <c r="B21" i="72" s="1"/>
  <c r="E118" i="9"/>
  <c r="E4" i="52" s="1"/>
  <c r="B48" i="72" s="1"/>
  <c r="D122" i="9"/>
  <c r="H108"/>
  <c r="D15" i="53" s="1"/>
  <c r="B31" i="72" s="1"/>
  <c r="D13" i="53"/>
  <c r="E14" i="74"/>
  <c r="B5"/>
  <c r="F14"/>
  <c r="C93" i="9" l="1"/>
  <c r="C86" s="1"/>
  <c r="D52"/>
  <c r="C78"/>
  <c r="C73" s="1"/>
  <c r="C85"/>
  <c r="C72"/>
  <c r="D55"/>
  <c r="M53" s="1"/>
  <c r="C64"/>
  <c r="C63" s="1"/>
  <c r="D6" i="53"/>
  <c r="B22" i="72" s="1"/>
  <c r="D5" i="74"/>
  <c r="C5"/>
  <c r="D14" i="53"/>
  <c r="B32" i="72" s="1"/>
  <c r="B30"/>
  <c r="G14" i="74"/>
  <c r="B6" s="1"/>
  <c r="D123" i="9"/>
  <c r="D9" i="52" s="1"/>
  <c r="D8"/>
  <c r="C95" i="9" l="1"/>
  <c r="C67"/>
  <c r="C68" s="1"/>
  <c r="D54" s="1"/>
  <c r="C79"/>
  <c r="D6" i="74"/>
  <c r="C6"/>
  <c r="C96" i="9" l="1"/>
  <c r="E96" s="1"/>
  <c r="E97" s="1"/>
  <c r="C80"/>
  <c r="E80" s="1"/>
  <c r="E81" s="1"/>
  <c r="C81" l="1"/>
  <c r="C97"/>
  <c r="D58" s="1"/>
  <c r="D56" s="1"/>
  <c r="M54" s="1"/>
  <c r="N57" s="1"/>
  <c r="P57" l="1"/>
  <c r="N59"/>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<sst xmlns="http://schemas.openxmlformats.org/spreadsheetml/2006/main" count="7777" uniqueCount="3133">
  <si>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</si>
  <si>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</si>
  <si>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</si>
  <si>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</si>
  <si>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</si>
  <si>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</si>
  <si>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</si>
  <si>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</si>
  <si>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</si>
  <si>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</si>
  <si>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</si>
  <si>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</si>
  <si>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</si>
  <si>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</si>
  <si>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</si>
  <si>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</si>
  <si>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</si>
  <si>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</si>
  <si>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</si>
  <si>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</si>
  <si>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</si>
  <si>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</si>
  <si>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</si>
  <si>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</si>
  <si>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</si>
  <si>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</si>
  <si>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</si>
  <si>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</si>
  <si>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</si>
  <si>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</si>
  <si>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</si>
  <si>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</si>
  <si>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</si>
  <si>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</si>
  <si>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</si>
  <si>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</si>
  <si>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</si>
  <si>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</si>
  <si>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</si>
  <si>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</si>
  <si>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</si>
  <si>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</si>
  <si>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</si>
  <si>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</si>
  <si>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</si>
  <si>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</si>
  <si>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</si>
  <si>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</si>
  <si>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</si>
  <si>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</si>
  <si>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</si>
  <si>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</si>
  <si>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</si>
  <si>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</si>
  <si>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</si>
  <si>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</si>
  <si>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</si>
  <si>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</si>
  <si>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</si>
  <si>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</si>
  <si>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</si>
  <si>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</si>
  <si>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</si>
  <si>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</si>
  <si>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</si>
  <si>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</si>
  <si>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</si>
  <si>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</si>
  <si>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</si>
  <si>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</si>
  <si>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</si>
  <si>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</si>
  <si>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</si>
  <si>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</si>
  <si>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</si>
  <si>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</si>
  <si>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</si>
  <si>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</si>
  <si>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</si>
  <si>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</si>
  <si>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</si>
  <si>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</si>
  <si>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</si>
  <si>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</si>
  <si>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</si>
  <si>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</si>
  <si>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</si>
  <si>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</si>
  <si>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</si>
  <si>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</si>
  <si>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</si>
  <si>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</si>
  <si>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</si>
  <si>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</si>
  <si>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</si>
  <si>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</si>
  <si>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</si>
  <si>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</si>
  <si>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</si>
  <si>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</si>
  <si>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</si>
  <si>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</si>
  <si>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</si>
  <si>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</si>
  <si>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</si>
  <si>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</si>
  <si>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</si>
  <si>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</si>
  <si>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</si>
  <si>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</si>
  <si>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</si>
  <si>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</si>
  <si>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</si>
  <si>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</si>
  <si>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</si>
  <si>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</si>
  <si>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</si>
  <si>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</si>
  <si>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</si>
  <si>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</si>
  <si>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</si>
  <si>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</si>
  <si>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</si>
  <si>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</si>
  <si>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</si>
  <si>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</si>
  <si>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</si>
  <si>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</si>
  <si>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</si>
  <si>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</si>
  <si>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</si>
  <si>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</si>
  <si>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</si>
  <si>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</si>
  <si>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</si>
  <si>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</si>
  <si>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</si>
  <si>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</si>
  <si>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</si>
  <si>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</si>
  <si>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</si>
  <si>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</si>
  <si>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</si>
  <si>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</si>
  <si>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</si>
  <si>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</si>
  <si>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</si>
  <si>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</si>
  <si>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</si>
  <si>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</si>
  <si>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</si>
  <si>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</si>
  <si>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</si>
  <si>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</si>
  <si>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</si>
  <si>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</si>
  <si>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</si>
  <si>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</si>
  <si>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</si>
  <si>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</si>
  <si>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</si>
  <si>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</si>
  <si>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</si>
  <si>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</si>
  <si>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</si>
  <si>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</si>
  <si>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</si>
  <si>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</si>
  <si>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</si>
  <si>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</si>
  <si>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</si>
  <si>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</si>
  <si>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</si>
  <si>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</si>
  <si>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</si>
  <si>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</si>
  <si>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</si>
  <si>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</si>
  <si>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</si>
  <si>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</si>
  <si>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</si>
  <si>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</si>
  <si>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</si>
  <si>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</si>
  <si>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</si>
  <si>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</si>
  <si>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</si>
  <si>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</si>
  <si>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</si>
  <si>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</si>
  <si>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</si>
  <si>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</si>
  <si>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</si>
  <si>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</si>
  <si>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</si>
  <si>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</si>
  <si>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</si>
  <si>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</si>
  <si>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</si>
  <si>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</si>
  <si>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</si>
  <si>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</si>
  <si>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</si>
  <si>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</si>
  <si>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</si>
  <si>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</si>
  <si>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</si>
  <si>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</si>
  <si>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</si>
  <si>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</si>
  <si>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</si>
  <si>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</si>
  <si>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</si>
  <si>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</si>
  <si>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</si>
  <si>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</si>
  <si>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</si>
  <si>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</si>
  <si>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</si>
  <si>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</si>
  <si>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</si>
  <si>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</si>
  <si>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</si>
  <si>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</si>
  <si>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</si>
  <si>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</si>
  <si>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</si>
  <si>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</si>
  <si>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</si>
  <si>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</si>
  <si>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</si>
  <si>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</si>
  <si>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</si>
  <si>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</si>
  <si>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</si>
  <si>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</si>
  <si>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</si>
  <si>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</si>
  <si>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</si>
  <si>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</si>
  <si>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</si>
  <si>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</si>
  <si>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</si>
  <si>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</si>
  <si>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</si>
  <si>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</si>
  <si>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</si>
  <si>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</si>
  <si>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</si>
  <si>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</si>
  <si>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</si>
  <si>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</si>
  <si>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</si>
  <si>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</si>
  <si>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</si>
  <si>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</si>
  <si>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</si>
  <si>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</si>
  <si>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</si>
  <si>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</si>
  <si>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</si>
  <si>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</si>
  <si>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</si>
  <si>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</si>
  <si>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</si>
  <si>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</si>
  <si>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</si>
  <si>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</si>
  <si>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</si>
  <si>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</si>
  <si>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</si>
  <si>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</si>
  <si>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</si>
  <si>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</si>
  <si>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</si>
  <si>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</si>
  <si>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</si>
  <si>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</si>
  <si>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</si>
  <si>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</si>
  <si>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</si>
  <si>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</si>
  <si>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</si>
  <si>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</si>
  <si>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</si>
  <si>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</si>
  <si>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</si>
  <si>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</si>
  <si>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</si>
  <si>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</si>
  <si>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</si>
  <si>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</si>
  <si>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</si>
  <si>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</si>
  <si>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</si>
  <si>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</si>
  <si>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</si>
  <si>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</si>
  <si>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</si>
  <si>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</si>
  <si>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</si>
  <si>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</si>
  <si>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</si>
  <si>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</si>
  <si>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</si>
  <si>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</si>
  <si>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</si>
  <si>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</si>
  <si>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</si>
  <si>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</si>
  <si>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</si>
  <si>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</si>
  <si>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</si>
  <si>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</si>
  <si>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</si>
  <si>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</si>
  <si>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</si>
  <si>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</si>
  <si>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</si>
  <si>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</si>
  <si>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</si>
  <si>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</si>
  <si>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</si>
  <si>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</si>
  <si>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</si>
  <si>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</si>
  <si>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</si>
  <si>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</si>
  <si>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</si>
  <si>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</si>
  <si>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</si>
  <si>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</si>
  <si>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</si>
  <si>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</si>
  <si>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</si>
  <si>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</si>
  <si>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</si>
  <si>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</si>
  <si>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</si>
  <si>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</si>
  <si>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</si>
  <si>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</si>
  <si>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</si>
  <si>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</si>
  <si>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</si>
  <si>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</si>
  <si>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</si>
  <si>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</si>
  <si>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</si>
  <si>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</si>
  <si>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</si>
  <si>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</si>
  <si>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</si>
  <si>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</si>
  <si>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</si>
  <si>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</si>
  <si>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</si>
  <si>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</si>
  <si>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</si>
  <si>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</si>
  <si>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</si>
  <si>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</si>
  <si>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</si>
  <si>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</si>
  <si>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</si>
  <si>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</si>
  <si>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</si>
  <si>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</si>
  <si>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</si>
  <si>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</si>
  <si>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</si>
  <si>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</si>
  <si>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</si>
  <si>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</si>
  <si>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</si>
  <si>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</si>
  <si>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</si>
  <si>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</si>
  <si>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</si>
  <si>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</si>
  <si>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</si>
  <si>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</si>
  <si>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</si>
  <si>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</si>
  <si>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</si>
  <si>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</si>
  <si>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</si>
  <si>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</si>
  <si>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</si>
  <si>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</si>
  <si>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</si>
  <si>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</si>
  <si>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</si>
  <si>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</si>
  <si>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</si>
  <si>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</si>
  <si>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</si>
  <si>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</si>
  <si>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</si>
  <si>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</si>
  <si>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</si>
  <si>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</si>
  <si>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</si>
  <si>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</si>
  <si>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</si>
  <si>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</si>
  <si>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</si>
  <si>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</si>
  <si>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</si>
  <si>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</si>
  <si>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</si>
  <si>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</si>
  <si>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</si>
  <si>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</si>
  <si>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</si>
  <si>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</si>
  <si>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</si>
  <si>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</si>
  <si>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</si>
  <si>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</si>
  <si>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</si>
  <si>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</si>
  <si>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</si>
  <si>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</si>
  <si>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</si>
  <si>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</si>
  <si>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</si>
  <si>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</si>
  <si>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</si>
  <si>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</si>
  <si>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</si>
  <si>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</si>
  <si>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</si>
  <si>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</si>
  <si>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</si>
  <si>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</si>
  <si>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</si>
  <si>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</si>
  <si>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</si>
  <si>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</si>
  <si>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</si>
  <si>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</si>
  <si>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</si>
  <si>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</si>
  <si>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</si>
  <si>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</si>
  <si>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</si>
  <si>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</si>
  <si>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</si>
  <si>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</si>
  <si>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</si>
  <si>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</si>
  <si>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</si>
  <si>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</si>
  <si>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</si>
  <si>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</si>
  <si>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</si>
  <si>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</si>
  <si>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</si>
  <si>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</si>
  <si>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</si>
  <si>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</si>
  <si>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</si>
  <si>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</si>
  <si>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</si>
  <si>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</si>
  <si>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</si>
  <si>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</si>
  <si>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</si>
  <si>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</si>
  <si>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</si>
  <si>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</si>
  <si>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</si>
  <si>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</si>
  <si>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</si>
  <si>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</si>
  <si>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</si>
  <si>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</si>
  <si>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</si>
  <si>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</si>
  <si>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</si>
  <si>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</si>
  <si>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</si>
  <si>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</si>
  <si>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</si>
  <si>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</si>
  <si>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</si>
  <si>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</si>
  <si>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</si>
  <si>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</si>
  <si>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</si>
  <si>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</si>
  <si>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</si>
  <si>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</si>
  <si>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</si>
  <si>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</si>
  <si>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</si>
  <si>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</si>
  <si>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</si>
  <si>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</si>
  <si>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</si>
  <si>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</si>
  <si>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</si>
  <si>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</si>
  <si>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</si>
  <si>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</si>
  <si>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</si>
  <si>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</si>
  <si>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</si>
  <si>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</si>
  <si>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</si>
  <si>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</si>
  <si>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</si>
  <si>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</si>
  <si>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</si>
  <si>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</si>
  <si>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</si>
  <si>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</si>
  <si>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</si>
  <si>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</si>
  <si>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</si>
  <si>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</si>
  <si>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</si>
  <si>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</si>
  <si>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</si>
  <si>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</si>
  <si>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</si>
  <si>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</si>
  <si>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</si>
  <si>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</si>
  <si>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</si>
  <si>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</si>
  <si>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</si>
  <si>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</si>
  <si>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</si>
  <si>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</si>
  <si>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</si>
  <si>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</si>
  <si>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</si>
  <si>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</si>
  <si>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</si>
  <si>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</si>
  <si>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</si>
  <si>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</si>
  <si>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</si>
  <si>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</si>
  <si>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</si>
  <si>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</si>
  <si>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</si>
  <si>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</si>
  <si>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</si>
  <si>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</si>
  <si>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</si>
  <si>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</si>
  <si>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</si>
  <si>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</si>
  <si>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</si>
  <si>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</si>
  <si>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</si>
  <si>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</si>
  <si>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</si>
  <si>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</si>
  <si>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</si>
  <si>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</si>
  <si>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</si>
  <si>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</si>
  <si>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</si>
  <si>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</si>
  <si>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</si>
  <si>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</si>
  <si>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</si>
  <si>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</si>
  <si>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</si>
  <si>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</si>
  <si>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</si>
  <si>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</si>
  <si>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</si>
  <si>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</si>
  <si>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</si>
  <si>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</si>
  <si>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</si>
  <si>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</si>
  <si>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</si>
  <si>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</si>
  <si>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</si>
  <si>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</si>
  <si>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</si>
  <si>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</si>
  <si>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</si>
  <si>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</si>
  <si>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</si>
  <si>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</si>
  <si>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</si>
  <si>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</si>
  <si>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</si>
  <si>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</si>
  <si>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</si>
  <si>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</si>
  <si>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</si>
  <si>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</si>
  <si>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</si>
  <si>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</si>
  <si>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</si>
  <si>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</si>
  <si>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</si>
  <si>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</si>
  <si>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</si>
  <si>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</si>
  <si>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</si>
  <si>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</si>
  <si>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</si>
  <si>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</si>
  <si>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</si>
  <si>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</si>
  <si>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</si>
  <si>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</si>
  <si>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</si>
  <si>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</si>
  <si>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</si>
  <si>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</si>
  <si>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</si>
  <si>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</si>
  <si>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</si>
  <si>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</si>
  <si>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</si>
  <si>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</si>
  <si>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</si>
  <si>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</si>
  <si>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</si>
  <si>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</si>
  <si>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</si>
  <si>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</si>
  <si>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</si>
  <si>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</si>
  <si>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</si>
  <si>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</si>
  <si>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</si>
  <si>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</si>
  <si>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</si>
  <si>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</si>
  <si>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</si>
  <si>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</si>
  <si>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</si>
  <si>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</si>
  <si>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</si>
  <si>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</si>
  <si>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</si>
  <si>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</si>
  <si>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</si>
  <si>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</si>
  <si>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</si>
  <si>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</si>
  <si>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</si>
  <si>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</si>
  <si>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</si>
  <si>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</si>
  <si>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</si>
  <si>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</si>
  <si>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</si>
  <si>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</si>
  <si>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</si>
  <si>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</si>
  <si>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</si>
  <si>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</si>
  <si>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</si>
  <si>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</si>
  <si>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</si>
  <si>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</si>
  <si>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</si>
  <si>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</si>
  <si>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</si>
  <si>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</si>
  <si>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</si>
  <si>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</si>
  <si>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</si>
  <si>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</si>
  <si>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</si>
  <si>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</si>
  <si>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</si>
  <si>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</si>
  <si>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</si>
  <si>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</si>
  <si>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</si>
  <si>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</si>
  <si>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</si>
  <si>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</si>
  <si>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</si>
  <si>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</si>
  <si>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</si>
  <si>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</si>
  <si>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</si>
  <si>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</si>
  <si>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</si>
  <si>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</si>
  <si>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</si>
  <si>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</si>
  <si>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</si>
  <si>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</si>
  <si>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</si>
  <si>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</si>
  <si>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</si>
  <si>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</si>
  <si>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</si>
  <si>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</si>
  <si>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</si>
  <si>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</si>
  <si>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</si>
  <si>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</si>
  <si>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</si>
  <si>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</si>
  <si>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</si>
  <si>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</si>
  <si>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</si>
  <si>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</si>
  <si>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</si>
  <si>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</si>
  <si>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</si>
  <si>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</si>
  <si>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</si>
  <si>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</si>
  <si>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</si>
  <si>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</si>
  <si>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</si>
  <si>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</si>
  <si>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</si>
  <si>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</si>
  <si>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</si>
  <si>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</si>
  <si>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</si>
  <si>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</si>
  <si>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</si>
  <si>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</si>
  <si>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</si>
  <si>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</si>
  <si>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</si>
  <si>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</si>
  <si>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</si>
  <si>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</si>
  <si>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</si>
  <si>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</si>
  <si>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</si>
  <si>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</si>
  <si>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</si>
  <si>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</si>
  <si>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</si>
  <si>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</si>
  <si>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</si>
  <si>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</si>
  <si>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</si>
  <si>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</si>
  <si>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</si>
  <si>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</si>
  <si>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</si>
  <si>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</si>
  <si>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</si>
  <si>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</si>
  <si>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</si>
  <si>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</si>
  <si>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</si>
  <si>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</si>
  <si>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</si>
  <si>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</si>
  <si>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</si>
  <si>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</si>
  <si>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</si>
  <si>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</si>
  <si>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</si>
  <si>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</si>
  <si>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</si>
  <si>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</si>
  <si>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</si>
  <si>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</si>
  <si>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</si>
  <si>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</si>
  <si>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</si>
  <si>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</si>
  <si>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</si>
  <si>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</si>
  <si>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</si>
  <si>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</si>
  <si>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</si>
  <si>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</si>
  <si>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</si>
  <si>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</si>
  <si>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</si>
  <si>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</si>
  <si>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</si>
  <si>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</si>
  <si>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</si>
  <si>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</si>
  <si>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</si>
  <si>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</si>
  <si>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</si>
  <si>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</si>
  <si>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</si>
  <si>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</si>
  <si>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</si>
  <si>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</si>
  <si>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</si>
  <si>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</si>
  <si>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</si>
  <si>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</si>
  <si>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</si>
  <si>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</si>
  <si>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</si>
  <si>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</si>
  <si>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</si>
  <si>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</si>
  <si>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</si>
  <si>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</si>
  <si>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</si>
  <si>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</si>
  <si>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</si>
  <si>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</si>
  <si>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</si>
  <si>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</si>
  <si>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</si>
  <si>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</si>
  <si>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</si>
  <si>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</si>
  <si>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</si>
  <si>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</si>
  <si>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</si>
  <si>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</si>
  <si>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</si>
  <si>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</si>
  <si>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</si>
  <si>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</si>
  <si>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</si>
  <si>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</si>
  <si>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</si>
  <si>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</si>
  <si>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</si>
  <si>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</si>
  <si>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</si>
  <si>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</si>
  <si>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</si>
  <si>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</si>
  <si>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</si>
  <si>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</si>
  <si>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</si>
  <si>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</si>
  <si>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</si>
  <si>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</si>
  <si>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</si>
  <si>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</si>
  <si>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</si>
  <si>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</si>
  <si>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</si>
  <si>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</si>
  <si>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</si>
  <si>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</si>
  <si>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</si>
  <si>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</si>
  <si>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</si>
  <si>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</si>
  <si>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</si>
  <si>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</si>
  <si>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</si>
  <si>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</si>
  <si>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</si>
  <si>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</si>
  <si>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</si>
  <si>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</si>
  <si>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</si>
  <si>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</si>
  <si>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</si>
  <si>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</si>
  <si>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</si>
  <si>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</si>
  <si>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</si>
  <si>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</si>
  <si>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</si>
  <si>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</si>
  <si>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</si>
  <si>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</si>
  <si>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</si>
  <si>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</si>
  <si>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</si>
  <si>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</si>
  <si>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</si>
  <si>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</si>
  <si>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</si>
  <si>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</si>
  <si>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</si>
  <si>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</si>
  <si>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</si>
  <si>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</si>
  <si>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</si>
  <si>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</si>
  <si>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</si>
  <si>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</si>
  <si>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</si>
  <si>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</si>
  <si>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</si>
  <si>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</si>
  <si>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</si>
  <si>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</si>
  <si>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</si>
  <si>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</si>
  <si>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</si>
  <si>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</si>
  <si>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</si>
  <si>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</si>
  <si>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</si>
  <si>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</si>
  <si>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</si>
  <si>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</si>
  <si>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</si>
  <si>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</si>
  <si>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</si>
  <si>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</si>
  <si>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</si>
  <si>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</si>
  <si>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</si>
  <si>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</si>
  <si>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</si>
  <si>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</si>
  <si>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</si>
  <si>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</si>
  <si>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</si>
  <si>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</si>
  <si>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</si>
  <si>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</si>
  <si>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</si>
  <si>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</si>
  <si>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</si>
  <si>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</si>
  <si>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</si>
  <si>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</si>
  <si>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</si>
  <si>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</si>
  <si>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</si>
  <si>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</si>
  <si>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</si>
  <si>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</si>
  <si>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</si>
  <si>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</si>
  <si>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</si>
  <si>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</si>
  <si>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</si>
  <si>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</si>
  <si>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</si>
  <si>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</si>
  <si>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</si>
  <si>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</si>
  <si>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</si>
  <si>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</si>
  <si>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</si>
  <si>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</si>
  <si>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</si>
  <si>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</si>
  <si>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</si>
  <si>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</si>
  <si>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</si>
  <si>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</si>
  <si>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</si>
  <si>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</si>
  <si>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</si>
  <si>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</si>
  <si>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</si>
  <si>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</si>
  <si>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</si>
  <si>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</si>
  <si>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</si>
  <si>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</si>
  <si>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</si>
  <si>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</si>
  <si>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</si>
  <si>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</si>
  <si>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</si>
  <si>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</si>
  <si>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</si>
  <si>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</si>
  <si>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</si>
  <si>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</si>
  <si>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</si>
  <si>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</si>
  <si>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</si>
  <si>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</si>
  <si>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</si>
  <si>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</si>
  <si>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</si>
  <si>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</si>
  <si>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</si>
  <si>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</si>
  <si>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</si>
  <si>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</si>
  <si>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</si>
  <si>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</si>
  <si>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</si>
  <si>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</si>
  <si>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</si>
  <si>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</si>
  <si>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</si>
  <si>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</si>
  <si>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</si>
  <si>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</si>
  <si>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</si>
  <si>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</si>
  <si>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</si>
  <si>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</si>
  <si>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</si>
  <si>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</si>
  <si>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</si>
  <si>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</si>
  <si>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</si>
  <si>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</si>
  <si>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</si>
  <si>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</si>
  <si>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</si>
  <si>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</si>
  <si>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</si>
  <si>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</si>
  <si>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</si>
  <si>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</si>
  <si>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</si>
  <si>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</si>
  <si>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</si>
  <si>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</si>
  <si>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</si>
  <si>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</si>
  <si>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</si>
  <si>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</si>
  <si>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</si>
  <si>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</si>
  <si>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</si>
  <si>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</si>
  <si>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</si>
  <si>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</si>
  <si>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</si>
  <si>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</si>
  <si>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</si>
  <si>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</si>
  <si>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</si>
  <si>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</si>
  <si>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</si>
  <si>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</si>
  <si>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</si>
  <si>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</si>
  <si>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</si>
  <si>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</si>
  <si>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</si>
  <si>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</si>
  <si>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</si>
  <si>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</si>
  <si>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</si>
  <si>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</si>
  <si>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</si>
  <si>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</si>
  <si>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</si>
  <si>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</si>
  <si>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</si>
  <si>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</si>
  <si>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</si>
  <si>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</si>
  <si>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</si>
  <si>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</si>
  <si>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</si>
  <si>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</si>
  <si>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</si>
  <si>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</si>
  <si>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</si>
  <si>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</si>
  <si>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</si>
  <si>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</si>
  <si>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</si>
  <si>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</si>
  <si>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</si>
  <si>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</si>
  <si>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</si>
  <si>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</si>
  <si>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</si>
  <si>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</si>
  <si>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</si>
  <si>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</si>
  <si>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</si>
  <si>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</si>
  <si>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</si>
  <si>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</si>
  <si>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</si>
  <si>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</si>
  <si>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</si>
  <si>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</si>
  <si>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</si>
  <si>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</si>
  <si>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</si>
  <si>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</si>
  <si>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</si>
  <si>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</si>
  <si>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</si>
  <si>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</si>
  <si>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</si>
  <si>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</si>
  <si>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</si>
  <si>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</si>
  <si>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</si>
  <si>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</si>
  <si>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</si>
  <si>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</si>
  <si>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</si>
  <si>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</si>
  <si>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</si>
  <si>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</si>
  <si>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</si>
  <si>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</si>
  <si>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</si>
  <si>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</si>
  <si>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</si>
  <si>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</si>
  <si>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</si>
  <si>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</si>
  <si>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</si>
  <si>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</si>
  <si>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</si>
  <si>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</si>
  <si>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</si>
  <si>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</si>
  <si>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</si>
  <si>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</si>
  <si>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</si>
  <si>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</si>
  <si>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</si>
  <si>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</si>
  <si>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</si>
  <si>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</si>
  <si>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</si>
  <si>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</si>
  <si>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</si>
  <si>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</si>
  <si>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</si>
  <si>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</si>
  <si>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</si>
  <si>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</si>
  <si>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</si>
  <si>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</si>
  <si>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</si>
  <si>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</si>
  <si>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</si>
  <si>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</si>
  <si>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</si>
  <si>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</si>
  <si>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</si>
  <si>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</si>
  <si>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</si>
  <si>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</si>
  <si>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</si>
  <si>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</si>
  <si>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</si>
  <si>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</si>
  <si>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</si>
  <si>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</si>
  <si>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</si>
  <si>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</si>
  <si>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</si>
  <si>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</si>
  <si>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</si>
  <si>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</si>
  <si>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</si>
  <si>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</si>
  <si>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</si>
  <si>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</si>
  <si>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</si>
  <si>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</si>
  <si>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</si>
  <si>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</si>
  <si>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</si>
  <si>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</si>
  <si>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</si>
  <si>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</si>
  <si>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</si>
  <si>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</si>
  <si>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</si>
  <si>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</si>
  <si>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</si>
  <si>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</si>
  <si>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</si>
  <si>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</si>
  <si>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</si>
  <si>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</si>
  <si>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</si>
  <si>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</si>
  <si>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</si>
  <si>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</si>
  <si>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</si>
  <si>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</si>
  <si>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</si>
  <si>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</si>
  <si>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</si>
  <si>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</si>
  <si>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</si>
  <si>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</si>
  <si>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</si>
  <si>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</si>
  <si>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</si>
  <si>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</si>
  <si>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</si>
  <si>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</si>
  <si>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</si>
  <si>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</si>
  <si>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</si>
  <si>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</si>
  <si>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</si>
  <si>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</si>
  <si>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</si>
  <si>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</si>
  <si>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</si>
  <si>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</si>
  <si>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</si>
  <si>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</si>
  <si>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</si>
  <si>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</si>
  <si>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</si>
  <si>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</si>
  <si>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</si>
  <si>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</si>
  <si>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</si>
  <si>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</si>
  <si>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</si>
  <si>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</si>
  <si>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</si>
  <si>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</si>
  <si>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</si>
  <si>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</si>
  <si>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</si>
  <si>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</si>
  <si>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</si>
  <si>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</si>
  <si>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</si>
  <si>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</si>
  <si>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</si>
  <si>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</si>
  <si>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</si>
  <si>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</si>
  <si>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</si>
  <si>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</si>
  <si>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</si>
  <si>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</si>
  <si>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</si>
  <si>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</si>
  <si>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</si>
  <si>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</si>
  <si>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</si>
  <si>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</si>
  <si>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</si>
  <si>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</si>
  <si>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</si>
  <si>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</si>
  <si>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</si>
  <si>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</si>
  <si>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</si>
  <si>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</si>
  <si>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</si>
  <si>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</si>
  <si>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</si>
  <si>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</si>
  <si>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</si>
  <si>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</si>
  <si>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</si>
  <si>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</si>
  <si>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</si>
  <si>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</si>
  <si>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</si>
  <si>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</si>
  <si>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</si>
  <si>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</si>
  <si>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</si>
  <si>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</si>
  <si>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</si>
  <si>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</si>
  <si>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</si>
  <si>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</si>
  <si>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</si>
  <si>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</si>
  <si>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</si>
  <si>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</si>
  <si>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</si>
  <si>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</si>
  <si>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</si>
  <si>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</si>
  <si>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</si>
  <si>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</si>
  <si>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</si>
  <si>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</si>
  <si>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</si>
  <si>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</si>
  <si>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</si>
  <si>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</si>
  <si>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</si>
  <si>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</si>
  <si>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</si>
  <si>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</si>
  <si>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</si>
  <si>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</si>
  <si>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</si>
  <si>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</si>
  <si>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</si>
  <si>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</si>
  <si>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</si>
  <si>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</si>
  <si>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</si>
  <si>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</si>
  <si>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</si>
  <si>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</si>
  <si>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</si>
  <si>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</si>
  <si>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</si>
  <si>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</si>
  <si>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</si>
  <si>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</si>
  <si>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</si>
  <si>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</si>
  <si>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</si>
  <si>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</si>
  <si>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</si>
  <si>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</si>
  <si>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</si>
  <si>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</si>
  <si>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</si>
  <si>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</si>
  <si>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</si>
  <si>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</si>
  <si>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</si>
  <si>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</si>
  <si>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</si>
  <si>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</si>
  <si>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</si>
  <si>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</si>
  <si>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</si>
  <si>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</si>
  <si>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</si>
  <si>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</si>
  <si>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</si>
  <si>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</si>
  <si>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</si>
  <si>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</si>
  <si>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</si>
  <si>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</si>
  <si>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</si>
  <si>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</si>
  <si>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</si>
  <si>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</si>
  <si>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</si>
  <si>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</si>
  <si>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</si>
  <si>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</si>
  <si>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</si>
  <si>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</si>
  <si>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</si>
  <si>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</si>
  <si>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</si>
  <si>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</si>
  <si>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</si>
  <si>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</si>
  <si>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</si>
  <si>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</si>
  <si>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</si>
  <si>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</si>
  <si>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</si>
  <si>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</si>
  <si>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</si>
  <si>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</si>
  <si>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</si>
  <si>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</si>
  <si>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</si>
  <si>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</si>
  <si>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</si>
  <si>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</si>
  <si>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</si>
  <si>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</si>
  <si>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</si>
  <si>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</si>
  <si>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</si>
  <si>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</si>
  <si>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</si>
  <si>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</si>
  <si>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</si>
  <si>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</si>
  <si>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</si>
  <si>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</si>
  <si>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</si>
  <si>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</si>
  <si>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</si>
  <si>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</si>
  <si>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</si>
  <si>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</si>
  <si>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</si>
  <si>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</si>
  <si>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</si>
  <si>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</si>
  <si>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</si>
  <si>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</si>
  <si>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</si>
  <si>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</si>
  <si>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</si>
  <si>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</si>
  <si>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</si>
  <si>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</si>
  <si>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</si>
  <si>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</si>
  <si>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</si>
  <si>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</si>
  <si>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</si>
  <si>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</si>
  <si>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</si>
  <si>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</si>
  <si>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</si>
  <si>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</si>
  <si>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</si>
  <si>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</si>
  <si>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</si>
  <si>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</si>
  <si>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</si>
  <si>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</si>
  <si>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</si>
  <si>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</si>
  <si>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</si>
  <si>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</si>
  <si>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</si>
  <si>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</si>
  <si>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</si>
  <si>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</si>
  <si>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</si>
  <si>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</si>
  <si>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</si>
  <si>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</si>
  <si>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</si>
  <si>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</si>
  <si>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</si>
  <si>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</si>
  <si>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</si>
  <si>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</si>
  <si>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</si>
  <si>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</si>
  <si>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</si>
  <si>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</si>
  <si>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</si>
  <si>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</si>
  <si>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</si>
  <si>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</si>
  <si>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</si>
  <si>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</si>
  <si>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</si>
  <si>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</si>
  <si>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</si>
  <si>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</si>
  <si>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</si>
  <si>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</si>
  <si>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</si>
  <si>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</si>
  <si>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</si>
  <si>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</si>
  <si>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</si>
  <si>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</si>
  <si>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</si>
  <si>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</si>
  <si>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</si>
  <si>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</si>
  <si>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</si>
  <si>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</si>
  <si>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</si>
  <si>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</si>
  <si>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</si>
  <si>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</si>
  <si>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</si>
  <si>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</si>
  <si>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</si>
  <si>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</si>
  <si>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</si>
  <si>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</si>
  <si>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</si>
  <si>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</si>
  <si>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</si>
  <si>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</si>
  <si>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</si>
  <si>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</si>
  <si>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</si>
  <si>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</si>
  <si>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</si>
  <si>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</si>
  <si>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</si>
  <si>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</si>
  <si>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</si>
  <si>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</si>
  <si>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</si>
  <si>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</si>
  <si>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</si>
  <si>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</si>
  <si>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</si>
  <si>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</si>
  <si>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</si>
  <si>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</si>
  <si>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</si>
  <si>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</si>
  <si>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</si>
  <si>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</si>
  <si>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</si>
  <si>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</si>
  <si>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</si>
  <si>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</si>
  <si>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</si>
  <si>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</si>
  <si>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</si>
  <si>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</si>
  <si>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</si>
  <si>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</si>
  <si>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</si>
  <si>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</si>
  <si>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</si>
  <si>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</si>
  <si>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</si>
  <si>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</si>
  <si>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</si>
  <si>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</si>
  <si>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</si>
  <si>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</si>
  <si>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</si>
  <si>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</si>
  <si>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</si>
  <si>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</si>
  <si>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</si>
  <si>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</si>
  <si>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</si>
  <si>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</si>
  <si>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</si>
  <si>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</si>
  <si>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</si>
  <si>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</si>
  <si>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</si>
  <si>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</si>
  <si>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</si>
  <si>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</si>
  <si>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</si>
  <si>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</si>
  <si>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</si>
  <si>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</si>
  <si>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</si>
  <si>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</si>
  <si>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</si>
  <si>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</si>
  <si>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</si>
  <si>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</si>
  <si>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</si>
  <si>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</si>
  <si>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</si>
  <si>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</si>
  <si>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</si>
  <si>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</si>
  <si>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</si>
  <si>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</si>
  <si>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</si>
  <si>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</si>
  <si>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</si>
  <si>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</si>
  <si>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</si>
  <si>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</si>
  <si>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</si>
  <si>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</si>
  <si>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</si>
  <si>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</si>
  <si>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</si>
  <si>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</si>
  <si>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</si>
  <si>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</si>
  <si>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</si>
  <si>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</si>
  <si>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</si>
  <si>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</si>
  <si>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</si>
  <si>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</si>
  <si>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</si>
  <si>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</si>
  <si>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</si>
  <si>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</si>
  <si>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</si>
  <si>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</si>
  <si>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</si>
  <si>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</si>
  <si>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</si>
  <si>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</si>
  <si>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</si>
  <si>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</si>
  <si>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</si>
  <si>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</si>
  <si>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</si>
  <si>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</si>
  <si>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</si>
  <si>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</si>
  <si>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</si>
  <si>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</si>
  <si>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</si>
  <si>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</si>
  <si>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</si>
  <si>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</si>
  <si>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</si>
  <si>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</si>
  <si>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</si>
  <si>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</si>
  <si>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</si>
  <si>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</si>
  <si>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</si>
  <si>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</si>
  <si>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</si>
  <si>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</si>
  <si>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</si>
  <si>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</si>
  <si>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</si>
  <si>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</si>
  <si>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</si>
  <si>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</si>
  <si>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</si>
  <si>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</si>
  <si>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</si>
  <si>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</si>
  <si>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</si>
  <si>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</si>
  <si>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</si>
  <si>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</si>
  <si>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</si>
  <si>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</si>
  <si>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</si>
  <si>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</si>
  <si>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</si>
  <si>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</si>
  <si>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</si>
  <si>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</si>
  <si>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</si>
  <si>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</si>
  <si>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</si>
  <si>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</si>
  <si>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</si>
  <si>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</si>
  <si>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</si>
  <si>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</si>
  <si>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</si>
  <si>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</si>
  <si>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</si>
  <si>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</si>
  <si>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</si>
  <si>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</si>
  <si>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</si>
  <si>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</si>
  <si>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</si>
  <si>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</si>
  <si>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</si>
  <si>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</si>
  <si>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</si>
  <si>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</si>
  <si>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</si>
  <si>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</si>
  <si>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</si>
  <si>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</si>
  <si>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</si>
  <si>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</si>
  <si>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</si>
  <si>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</si>
  <si>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</si>
  <si>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</si>
  <si>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</si>
  <si>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</si>
  <si>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</si>
  <si>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</si>
  <si>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</si>
  <si>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</si>
  <si>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</si>
  <si>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</si>
  <si>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</si>
  <si>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</si>
  <si>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</si>
  <si>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</si>
  <si>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</si>
  <si>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</si>
  <si>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</si>
  <si>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</si>
  <si>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</si>
  <si>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</si>
  <si>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</si>
  <si>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</si>
  <si>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</si>
  <si>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</si>
  <si>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</si>
  <si>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</si>
  <si>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</si>
  <si>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</si>
  <si>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</si>
  <si>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</si>
  <si>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</si>
  <si>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</si>
  <si>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</si>
  <si>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</si>
  <si>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</si>
  <si>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</si>
  <si>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</si>
  <si>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</si>
  <si>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</si>
  <si>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</si>
  <si>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</si>
  <si>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</si>
  <si>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</si>
  <si>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</si>
  <si>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</si>
  <si>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</si>
  <si>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</si>
  <si>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</si>
  <si>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</si>
  <si>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</si>
  <si>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</si>
  <si>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</si>
  <si>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</si>
  <si>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</si>
  <si>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</si>
  <si>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</si>
  <si>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</si>
  <si>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</si>
  <si>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</si>
  <si>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</si>
  <si>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</si>
  <si>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</si>
  <si>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</si>
  <si>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</si>
  <si>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</si>
  <si>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</si>
  <si>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</si>
  <si>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</si>
  <si>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</si>
  <si>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</si>
  <si>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</si>
  <si>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</si>
  <si>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</si>
  <si>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</si>
  <si>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</si>
  <si>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</si>
  <si>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</si>
  <si>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</si>
  <si>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</si>
  <si>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</si>
  <si>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</si>
  <si>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</si>
  <si>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</si>
  <si>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</si>
  <si>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</si>
  <si>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</si>
  <si>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</si>
  <si>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</si>
  <si>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</si>
  <si>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</si>
  <si>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</si>
  <si>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</si>
  <si>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</si>
  <si>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</si>
  <si>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</si>
  <si>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</si>
  <si>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</si>
  <si>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</si>
  <si>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</si>
  <si>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</si>
  <si>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</si>
  <si>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</si>
  <si>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</si>
  <si>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</si>
  <si>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</si>
  <si>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</si>
  <si>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</si>
  <si>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</si>
  <si>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</si>
  <si>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</si>
  <si>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</si>
  <si>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</si>
  <si>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</si>
  <si>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</si>
  <si>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</si>
  <si>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</si>
  <si>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</si>
  <si>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</si>
  <si>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</si>
  <si>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</si>
  <si>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</si>
  <si>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</si>
  <si>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</si>
  <si>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</si>
  <si>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</si>
  <si>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</si>
  <si>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</si>
  <si>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</si>
  <si>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</si>
  <si>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</si>
  <si>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</si>
  <si>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</si>
  <si>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</si>
  <si>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</si>
  <si>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</si>
  <si>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</si>
  <si>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</si>
  <si>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</si>
  <si>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</si>
  <si>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</si>
  <si>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</si>
  <si>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</si>
  <si>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</si>
  <si>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</si>
  <si>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</si>
  <si>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</si>
  <si>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</si>
  <si>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</si>
  <si>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</si>
  <si>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</si>
  <si>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</si>
  <si>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</si>
  <si>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</si>
  <si>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</si>
  <si>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</si>
  <si>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</si>
  <si>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</si>
  <si>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</si>
  <si>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</si>
  <si>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</si>
  <si>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</si>
  <si>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</si>
  <si>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</si>
  <si>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</si>
  <si>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</si>
  <si>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</si>
  <si>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</si>
  <si>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</si>
  <si>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</si>
  <si>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</si>
  <si>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</si>
  <si>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</si>
  <si>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</si>
  <si>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</si>
  <si>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</si>
  <si>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</si>
  <si>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</si>
  <si>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</si>
  <si>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</si>
  <si>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</si>
  <si>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</si>
  <si>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</si>
  <si>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</si>
  <si>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</si>
  <si>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</si>
  <si>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</si>
  <si>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</si>
  <si>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</si>
  <si>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</si>
  <si>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</si>
  <si>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</si>
  <si>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</si>
  <si>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</si>
  <si>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</si>
  <si>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</si>
  <si>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</si>
  <si>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</si>
  <si>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</si>
  <si>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</si>
  <si>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</si>
  <si>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</si>
  <si>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</si>
  <si>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</si>
  <si>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</si>
  <si>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</si>
  <si>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</si>
  <si>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</si>
  <si>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</si>
  <si>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</si>
  <si>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</si>
  <si>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</si>
  <si>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</si>
  <si>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</si>
  <si>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</si>
  <si>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</si>
  <si>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</si>
  <si>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</si>
  <si>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</si>
  <si>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</si>
  <si>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</si>
  <si>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</si>
  <si>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</si>
  <si>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</si>
  <si>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</si>
  <si>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</si>
  <si>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</si>
  <si>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</si>
  <si>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</si>
  <si>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</si>
  <si>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</si>
  <si>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</si>
  <si>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</si>
  <si>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</si>
  <si>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</si>
  <si>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</si>
  <si>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</si>
  <si>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</si>
  <si>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</si>
  <si>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</si>
  <si>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</si>
  <si>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</si>
  <si>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</si>
  <si>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</si>
  <si>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</si>
  <si>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</si>
  <si>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</si>
  <si>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</si>
  <si>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</si>
  <si>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</si>
  <si>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</si>
  <si>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</si>
  <si>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</si>
  <si>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</si>
  <si>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</si>
  <si>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</si>
  <si>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</si>
  <si>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</si>
  <si>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</si>
  <si>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</si>
  <si>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</si>
  <si>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</si>
  <si>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</si>
  <si>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</si>
  <si>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</si>
  <si>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</si>
  <si>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</si>
  <si>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</si>
  <si>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</si>
  <si>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</si>
  <si>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</si>
  <si>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</si>
  <si>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</si>
  <si>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</si>
  <si>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</si>
  <si>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</si>
  <si>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</si>
  <si>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</si>
  <si>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</si>
  <si>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</si>
  <si>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</si>
  <si>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</si>
  <si>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</si>
  <si>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</si>
  <si>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</si>
  <si>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</si>
  <si>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</si>
  <si>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</si>
  <si>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</si>
  <si>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</si>
  <si>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</si>
  <si>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</si>
  <si>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</si>
  <si>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</si>
  <si>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</si>
  <si>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</si>
  <si>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</si>
  <si>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</si>
  <si>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</si>
  <si>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</si>
  <si>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</si>
  <si>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</si>
  <si>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</si>
  <si>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</si>
  <si>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</si>
  <si>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</si>
  <si>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</si>
  <si>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</si>
  <si>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</si>
  <si>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</si>
  <si>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</si>
  <si>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</si>
  <si>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</si>
  <si>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</si>
  <si>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</si>
  <si>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</si>
  <si>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</si>
  <si>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</si>
  <si>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</si>
  <si>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</si>
  <si>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</si>
  <si>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</si>
  <si>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</si>
  <si>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</si>
  <si>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</si>
  <si>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</si>
  <si>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</si>
  <si>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</si>
  <si>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</si>
  <si>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</si>
  <si>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</si>
  <si>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</si>
  <si>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</si>
  <si>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</si>
  <si>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</si>
  <si>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</si>
  <si>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</si>
  <si>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</si>
  <si>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</si>
  <si>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</si>
  <si>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</si>
  <si>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</si>
  <si>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</si>
  <si>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</si>
  <si>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</si>
  <si>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</si>
  <si>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</si>
  <si>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</si>
  <si>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</si>
  <si>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</si>
  <si>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</si>
  <si>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</si>
  <si>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</si>
  <si>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</si>
  <si>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</si>
  <si>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</si>
  <si>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</si>
  <si>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</si>
  <si>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</si>
  <si>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</si>
  <si>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</si>
  <si>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</si>
  <si>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</si>
  <si>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</si>
  <si>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</si>
  <si>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</si>
  <si>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</si>
  <si>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</si>
  <si>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</si>
  <si>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</si>
  <si>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</si>
  <si>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</si>
  <si>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</si>
  <si>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</si>
  <si>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</si>
  <si>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</si>
  <si>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</si>
  <si>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</si>
  <si>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</si>
  <si>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</si>
  <si>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</si>
  <si>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</si>
  <si>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</si>
  <si>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</si>
  <si>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</si>
  <si>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</si>
  <si>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</si>
  <si>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</si>
  <si>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</si>
  <si>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</si>
  <si>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</si>
  <si>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</si>
  <si>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</si>
  <si>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</si>
  <si>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</si>
  <si>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</si>
  <si>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</si>
  <si>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</si>
  <si>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</si>
  <si>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</si>
  <si>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</si>
  <si>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</si>
  <si>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</si>
  <si>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</si>
  <si>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</si>
  <si>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</si>
  <si>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</si>
  <si>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</si>
  <si>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</si>
  <si>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</si>
  <si>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</si>
  <si>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</si>
  <si>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</si>
  <si>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</si>
  <si>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</si>
  <si>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</si>
  <si>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</si>
  <si>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</si>
  <si>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</si>
  <si>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</si>
  <si>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</si>
  <si>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</si>
  <si>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</si>
  <si>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</si>
  <si>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</si>
  <si>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</si>
  <si>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</si>
  <si>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</si>
  <si>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</si>
  <si>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</si>
  <si>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</si>
  <si>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</si>
  <si>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</si>
  <si>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</si>
  <si>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</si>
  <si>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</si>
  <si>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</si>
  <si>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</si>
  <si>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</si>
  <si>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</si>
  <si>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</si>
  <si>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</si>
  <si>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</si>
  <si>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</si>
  <si>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</si>
  <si>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</si>
  <si>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</si>
  <si>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</si>
  <si>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</si>
  <si>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</si>
  <si>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</si>
  <si>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</si>
  <si>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</si>
  <si>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</si>
  <si>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</si>
  <si>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</si>
  <si>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</si>
  <si>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</si>
  <si>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</si>
  <si>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</si>
  <si>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</si>
  <si>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</si>
  <si>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</si>
  <si>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</si>
  <si>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</si>
  <si>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</si>
  <si>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</si>
  <si>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</si>
  <si>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</si>
  <si>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</si>
  <si>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</si>
  <si>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</si>
  <si>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</si>
  <si>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</si>
  <si>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</si>
  <si>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</si>
  <si>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</si>
  <si>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</si>
  <si>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</si>
  <si>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</si>
  <si>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</si>
  <si>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</si>
  <si>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</si>
  <si>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</si>
  <si>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</si>
  <si>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</si>
  <si>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</si>
  <si>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</si>
  <si>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</si>
  <si>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</si>
  <si>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</si>
  <si>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</si>
  <si>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</si>
  <si>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</si>
  <si>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</si>
  <si>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</si>
  <si>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</si>
  <si>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</si>
  <si>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</si>
  <si>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</si>
  <si>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</si>
  <si>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</si>
  <si>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</si>
  <si>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</si>
  <si>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</si>
  <si>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</si>
  <si>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</si>
  <si>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</si>
  <si>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</si>
  <si>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</si>
  <si>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</si>
  <si>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</si>
  <si>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</si>
  <si>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</si>
  <si>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</si>
  <si>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</si>
  <si>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</si>
  <si>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</si>
  <si>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</si>
  <si>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</si>
  <si>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</si>
  <si>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</si>
  <si>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</si>
  <si>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</si>
  <si>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</si>
  <si>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</si>
  <si>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</si>
  <si>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</si>
  <si>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</si>
  <si>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</si>
  <si>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</si>
  <si>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</si>
  <si>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</si>
  <si>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</si>
  <si>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</si>
  <si>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</si>
  <si>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</si>
  <si>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</si>
  <si>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</si>
  <si>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</si>
  <si>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</si>
  <si>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</si>
  <si>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</si>
  <si>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</si>
  <si>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</si>
  <si>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</si>
  <si>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</si>
  <si>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</si>
  <si>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</si>
  <si>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</si>
  <si>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</si>
  <si>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</si>
  <si>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</si>
  <si>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</si>
  <si>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</si>
  <si>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</si>
  <si>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</si>
  <si>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</si>
  <si>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</si>
  <si>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</si>
  <si>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</si>
  <si>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</si>
  <si>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</si>
  <si>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</si>
  <si>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</si>
  <si>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</si>
  <si>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</si>
  <si>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</si>
  <si>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</si>
  <si>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</si>
  <si>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</si>
  <si>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</si>
  <si>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</si>
  <si>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</si>
  <si>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</si>
  <si>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</si>
  <si>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</si>
  <si>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</si>
  <si>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</si>
  <si>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</si>
  <si>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</si>
  <si>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</si>
  <si>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</si>
  <si>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</si>
  <si>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</si>
  <si>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</si>
  <si>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</si>
  <si>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</si>
  <si>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</si>
  <si>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</si>
  <si>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</si>
  <si>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</si>
  <si>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</si>
  <si>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</si>
  <si>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</si>
  <si>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</si>
  <si>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</si>
  <si>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</si>
  <si>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</si>
  <si>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</si>
  <si>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</si>
  <si>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</si>
  <si>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</si>
  <si>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</si>
  <si>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</si>
  <si>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</si>
  <si>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</si>
  <si>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</si>
  <si>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</si>
  <si>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</si>
  <si>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</si>
  <si>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</si>
  <si>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</si>
  <si>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</si>
  <si>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</si>
  <si>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</si>
  <si>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</si>
  <si>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</si>
  <si>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</si>
  <si>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</si>
  <si>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</si>
  <si>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</si>
  <si>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</si>
  <si>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</si>
  <si>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</si>
  <si>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</si>
  <si>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</si>
  <si>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</si>
  <si>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</si>
  <si>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</si>
  <si>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</si>
  <si>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</si>
  <si>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</si>
  <si>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</si>
  <si>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</si>
  <si>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</si>
  <si>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</si>
  <si>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</si>
  <si>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</si>
  <si>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</si>
  <si>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</si>
  <si>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</si>
  <si>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</si>
  <si>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</si>
  <si>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</si>
  <si>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</si>
  <si>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</si>
  <si>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</si>
  <si>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</si>
  <si>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</si>
  <si>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</si>
  <si>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</si>
  <si>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</si>
  <si>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</si>
  <si>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</si>
  <si>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</si>
  <si>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</si>
  <si>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</si>
  <si>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</si>
  <si>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</si>
  <si>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</si>
  <si>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</si>
  <si>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</si>
  <si>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</si>
  <si>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</si>
  <si>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</si>
  <si>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</si>
  <si>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</si>
  <si>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</si>
  <si>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</si>
  <si>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</si>
  <si>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</si>
  <si>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</si>
  <si>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</si>
  <si>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</si>
  <si>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</si>
  <si>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</si>
  <si>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</si>
  <si>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</si>
  <si>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</si>
  <si>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</si>
  <si>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</si>
  <si>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</si>
  <si>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</si>
  <si>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</si>
  <si>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</si>
  <si>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</si>
  <si>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</si>
  <si>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</si>
  <si>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</si>
  <si>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</si>
  <si>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</si>
  <si>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</si>
  <si>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</si>
  <si>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</si>
  <si>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</si>
  <si>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</si>
  <si>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</si>
  <si>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</si>
  <si>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</si>
  <si>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</si>
  <si>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</si>
  <si>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</si>
  <si>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</si>
  <si>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</si>
  <si>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</si>
  <si>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</si>
  <si>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</si>
  <si>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</si>
  <si>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</si>
  <si>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</si>
  <si>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</si>
  <si>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</si>
  <si>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</si>
  <si>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</si>
  <si>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</si>
  <si>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</si>
  <si>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</si>
  <si>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</si>
  <si>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</si>
  <si>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</si>
  <si>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</si>
  <si>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</si>
  <si>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</si>
  <si>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</si>
  <si>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</si>
  <si>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</si>
  <si>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</si>
  <si>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</si>
  <si>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</si>
  <si>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</si>
  <si>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</si>
  <si>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</si>
  <si>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</si>
  <si>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</si>
  <si>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</si>
  <si>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</si>
  <si>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</si>
  <si>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</si>
  <si>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</si>
  <si>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</si>
  <si>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</si>
  <si>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</si>
  <si>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</si>
  <si>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</si>
  <si>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</si>
  <si>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</si>
  <si>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</si>
  <si>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</si>
  <si>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</si>
  <si>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</si>
  <si>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</si>
  <si>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</si>
  <si>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</si>
  <si>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</si>
  <si>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</si>
  <si>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</si>
  <si>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</si>
  <si>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</si>
  <si>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</si>
  <si>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</si>
  <si>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</si>
  <si>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</si>
  <si>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</si>
  <si>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</si>
  <si>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</si>
  <si>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</si>
  <si>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</si>
  <si>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</si>
  <si>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</si>
  <si>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</si>
  <si>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</si>
  <si>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</si>
  <si>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</si>
  <si>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</si>
  <si>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</si>
  <si>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</si>
  <si>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</si>
  <si>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</si>
  <si>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</si>
  <si>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</si>
  <si>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</si>
  <si>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</si>
  <si>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</si>
  <si>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</si>
  <si>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</si>
  <si>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</si>
  <si>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</si>
  <si>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</si>
  <si>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</si>
  <si>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</si>
  <si>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</si>
  <si>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</si>
  <si>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</si>
  <si>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</si>
  <si>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</si>
  <si>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</si>
  <si>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</si>
  <si>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</si>
  <si>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</si>
  <si>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</si>
  <si>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</si>
  <si>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</si>
  <si>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</si>
  <si>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</si>
  <si>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</si>
  <si>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</si>
  <si>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</si>
  <si>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</si>
  <si>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</si>
  <si>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</si>
  <si>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</si>
  <si>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</si>
  <si>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</si>
  <si>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</si>
  <si>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</si>
  <si>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</si>
  <si>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</si>
  <si>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</si>
  <si>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</si>
  <si>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</si>
  <si>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</si>
  <si>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</si>
  <si>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</si>
  <si>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</si>
  <si>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</si>
  <si>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</si>
  <si>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</si>
  <si>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</si>
  <si>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</si>
  <si>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</si>
  <si>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</si>
  <si>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</si>
  <si>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</si>
  <si>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</si>
  <si>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</si>
  <si>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</si>
  <si>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</si>
  <si>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</si>
  <si>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</si>
  <si>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</si>
  <si>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</si>
  <si>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</si>
  <si>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</si>
  <si>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</si>
  <si>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</si>
  <si>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</si>
  <si>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</si>
  <si>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</si>
  <si>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</si>
  <si>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</si>
  <si>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</si>
  <si>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</si>
  <si>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</si>
  <si>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</si>
  <si>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</si>
  <si>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</si>
  <si>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</si>
  <si>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</si>
  <si>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</si>
  <si>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</si>
  <si>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</si>
  <si>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</si>
  <si>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</si>
  <si>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</si>
  <si>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</si>
  <si>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</si>
  <si>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</si>
  <si>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</si>
  <si>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</si>
  <si>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</si>
  <si>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</si>
  <si>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</si>
  <si>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</si>
  <si>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</si>
  <si>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</si>
  <si>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</si>
  <si>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</si>
  <si>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</si>
  <si>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</si>
  <si>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</si>
  <si>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</si>
  <si>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</si>
  <si>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</si>
  <si>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</si>
  <si>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</si>
  <si>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</si>
  <si>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</si>
  <si>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</si>
  <si>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</si>
  <si>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</si>
  <si>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</si>
  <si>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</si>
  <si>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</si>
  <si>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</si>
  <si>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</si>
  <si>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</si>
  <si>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</si>
  <si>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</si>
  <si>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</si>
  <si>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</si>
  <si>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</si>
  <si>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</si>
  <si>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</si>
  <si>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</si>
  <si>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</si>
  <si>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</si>
  <si>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</si>
  <si>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</si>
  <si>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</si>
  <si>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</si>
  <si>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</si>
  <si>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</si>
  <si>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</si>
  <si>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</si>
  <si>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</si>
  <si>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</si>
  <si>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</si>
  <si>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</si>
  <si>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</si>
  <si>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</si>
  <si>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</si>
  <si>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</si>
  <si>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</si>
  <si>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</si>
  <si>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</si>
  <si>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</si>
  <si>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</si>
  <si>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</si>
  <si>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</si>
  <si>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</si>
  <si>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</si>
  <si>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</si>
  <si>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</si>
  <si>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</si>
  <si>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</si>
  <si>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</si>
  <si>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</si>
  <si>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</si>
  <si>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</si>
  <si>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</si>
  <si>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</si>
  <si>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</si>
  <si>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</si>
  <si>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</si>
  <si>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</si>
  <si>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</si>
  <si>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</si>
  <si>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</si>
  <si>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</si>
  <si>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</si>
  <si>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</si>
  <si>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</si>
  <si>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</si>
  <si>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</si>
  <si>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</si>
  <si>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</si>
  <si>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</si>
  <si>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</si>
  <si>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</si>
  <si>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</si>
  <si>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</si>
  <si>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</si>
  <si>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</si>
  <si>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</si>
  <si>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</si>
  <si>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</si>
  <si>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</si>
  <si>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</si>
  <si>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</si>
  <si>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</si>
  <si>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</si>
  <si>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</si>
  <si>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</si>
  <si>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</si>
  <si>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</si>
  <si>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</si>
  <si>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</si>
  <si>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</si>
  <si>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</si>
  <si>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</si>
  <si>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</si>
  <si>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</si>
  <si>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</si>
  <si>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</si>
  <si>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</si>
  <si>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</si>
  <si>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</si>
  <si>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</si>
  <si>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</si>
  <si>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</si>
  <si>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</si>
  <si>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</si>
  <si>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</si>
  <si>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</si>
  <si>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</si>
  <si>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</si>
  <si>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</si>
  <si>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</si>
  <si>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</si>
  <si>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</si>
  <si>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</si>
  <si>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</si>
  <si>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</si>
  <si>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</si>
  <si>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</si>
  <si>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</si>
  <si>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</si>
  <si>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</si>
  <si>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</si>
  <si>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</si>
  <si>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</si>
  <si>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</si>
  <si>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</si>
  <si>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</si>
  <si>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</si>
  <si>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</si>
  <si>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</si>
  <si>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</si>
  <si>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</si>
  <si>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</si>
  <si>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</si>
  <si>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</si>
  <si>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</si>
  <si>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</si>
  <si>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</si>
  <si>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</si>
  <si>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</si>
  <si>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</si>
  <si>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</si>
  <si>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</si>
  <si>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</si>
  <si>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</si>
  <si>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</si>
  <si>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</si>
  <si>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</si>
  <si>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</si>
  <si>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</si>
  <si>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</si>
  <si>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</si>
  <si>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</si>
  <si>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</si>
  <si>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</si>
  <si>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</si>
  <si>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</si>
  <si>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</si>
  <si>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</si>
  <si>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</si>
  <si>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</si>
  <si>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</si>
  <si>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</si>
  <si>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</si>
  <si>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</si>
  <si>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</si>
  <si>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</si>
  <si>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</si>
  <si>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</si>
  <si>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</si>
  <si>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</si>
  <si>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</si>
  <si>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</si>
  <si>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</si>
  <si>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</si>
  <si>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</si>
  <si>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</si>
  <si>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</si>
  <si>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</si>
  <si>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</si>
  <si>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</si>
  <si>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</si>
  <si>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</si>
  <si>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</si>
  <si>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</si>
  <si>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</si>
  <si>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</si>
  <si>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</si>
  <si>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</si>
  <si>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</si>
  <si>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</si>
  <si>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</si>
  <si>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</si>
  <si>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</si>
  <si>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</si>
  <si>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</si>
  <si>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</si>
  <si>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</si>
  <si>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</si>
  <si>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</si>
  <si>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</si>
  <si>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</si>
  <si>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</si>
  <si>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</si>
  <si>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</si>
  <si>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</si>
  <si>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</si>
  <si>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</si>
  <si>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</si>
  <si>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</si>
  <si>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</si>
  <si>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</si>
  <si>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</si>
  <si>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</si>
  <si>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</si>
  <si>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</si>
  <si>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</si>
  <si>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</si>
  <si>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</si>
  <si>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</si>
  <si>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</si>
  <si>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</si>
  <si>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</si>
  <si>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</si>
  <si>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</si>
  <si>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</si>
  <si>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</si>
  <si>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</si>
  <si>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</si>
  <si>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</si>
  <si>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</si>
  <si>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</si>
  <si>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</si>
  <si>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</si>
  <si>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</si>
  <si>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</si>
  <si>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</si>
  <si>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</si>
  <si>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</si>
  <si>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</si>
  <si>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</si>
  <si>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</si>
  <si>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</si>
  <si>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</si>
  <si>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</si>
  <si>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</si>
  <si>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</si>
  <si>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</si>
  <si>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</si>
  <si>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</si>
  <si>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</si>
  <si>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</si>
  <si>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</si>
  <si>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</si>
  <si>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</si>
  <si>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</si>
  <si>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</si>
  <si>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</si>
  <si>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</si>
  <si>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</si>
  <si>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</si>
  <si>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</si>
  <si>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</si>
  <si>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</si>
  <si>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</si>
  <si>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</si>
  <si>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</si>
  <si>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</si>
  <si>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</si>
  <si>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</si>
  <si>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</si>
  <si>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</si>
  <si>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</si>
  <si>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</si>
  <si>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</si>
  <si>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</si>
  <si>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</si>
  <si>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</si>
  <si>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</si>
  <si>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</si>
  <si>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</si>
  <si>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</si>
  <si>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</si>
  <si>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</si>
  <si>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</si>
  <si>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</si>
  <si>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</si>
  <si>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</si>
  <si>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</si>
  <si>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</si>
  <si>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</si>
  <si>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</si>
  <si>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</si>
  <si>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</si>
  <si>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</si>
  <si>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</si>
  <si>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</si>
  <si>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</si>
  <si>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</si>
  <si>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</si>
  <si>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</si>
  <si>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</si>
  <si>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</si>
  <si>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</si>
  <si>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</si>
  <si>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</si>
  <si>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</si>
  <si>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</si>
  <si>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</si>
  <si>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</si>
  <si>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</si>
  <si>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</si>
  <si>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</si>
  <si>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</si>
  <si>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</si>
  <si>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</si>
  <si>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</si>
  <si>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</si>
  <si>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</si>
  <si>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</si>
  <si>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</si>
  <si>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</si>
  <si>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</si>
  <si>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</si>
  <si>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</si>
  <si>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</si>
  <si>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</si>
  <si>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</si>
  <si>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</si>
  <si>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</si>
  <si>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</si>
  <si>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</si>
  <si>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</si>
  <si>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</si>
  <si>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</si>
  <si>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</si>
  <si>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</si>
  <si>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</si>
  <si>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</si>
  <si>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</si>
  <si>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</si>
  <si>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</si>
  <si>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</si>
  <si>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</si>
  <si>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</si>
  <si>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</si>
  <si>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</si>
  <si>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</si>
  <si>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</si>
  <si>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</si>
  <si>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</si>
  <si>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</si>
  <si>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</si>
  <si>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</si>
  <si>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</si>
  <si>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</si>
  <si>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</si>
  <si>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</si>
  <si>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</si>
  <si>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</si>
  <si>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</si>
  <si>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</si>
  <si>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</si>
  <si>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</si>
  <si>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</si>
  <si>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</si>
  <si>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</si>
  <si>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</si>
  <si>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</si>
  <si>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</si>
  <si>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</si>
  <si>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</si>
  <si>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</si>
  <si>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</si>
  <si>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</si>
  <si>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</si>
  <si>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</si>
  <si>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</si>
  <si>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</si>
  <si>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</si>
  <si>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</si>
  <si>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</si>
  <si>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</si>
  <si>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</si>
  <si>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</si>
  <si>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</si>
  <si>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</si>
  <si>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</si>
  <si>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</si>
  <si>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</si>
  <si>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</si>
  <si>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</si>
  <si>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</si>
  <si>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</si>
  <si>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</si>
  <si>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</si>
  <si>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</si>
  <si>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</si>
  <si>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</si>
  <si>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</si>
  <si>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</si>
  <si>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</si>
  <si>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</si>
  <si>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</si>
  <si>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</si>
  <si>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</si>
  <si>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</si>
  <si>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</si>
  <si>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</si>
  <si>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</si>
  <si>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</si>
  <si>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</si>
  <si>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</si>
  <si>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</si>
  <si>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</si>
  <si>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</si>
  <si>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</si>
  <si>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</si>
  <si>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</si>
  <si>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</si>
  <si>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</si>
  <si>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</si>
  <si>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</si>
  <si>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</si>
  <si>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</si>
  <si>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</si>
  <si>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</si>
  <si>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</si>
  <si>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</si>
  <si>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</si>
  <si>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</si>
  <si>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</si>
  <si>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</si>
  <si>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</si>
  <si>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</si>
  <si>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</si>
  <si>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</si>
  <si>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</si>
  <si>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</si>
  <si>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</si>
  <si>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</si>
  <si>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</si>
  <si>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</si>
  <si>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</si>
  <si>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</si>
  <si>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</si>
  <si>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</si>
  <si>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</si>
  <si>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</si>
  <si>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</si>
  <si>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</si>
  <si>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</si>
  <si>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</si>
  <si>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</si>
  <si>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</si>
  <si>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</si>
  <si>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</si>
  <si>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</si>
  <si>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</si>
  <si>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</si>
  <si>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</si>
  <si>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</si>
  <si>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</si>
  <si>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</si>
  <si>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</si>
  <si>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</si>
  <si>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</si>
  <si>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</si>
  <si>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</si>
  <si>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</si>
  <si>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</si>
  <si>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</si>
  <si>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</si>
  <si>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</si>
  <si>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</si>
  <si>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</si>
  <si>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</si>
  <si>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</si>
  <si>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</si>
  <si>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</si>
  <si>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</si>
  <si>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</si>
  <si>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</si>
  <si>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</si>
  <si>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</si>
  <si>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</si>
  <si>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</si>
  <si>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</si>
  <si>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</si>
  <si>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</si>
  <si>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</si>
  <si>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</si>
  <si>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</si>
  <si>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</si>
  <si>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</si>
  <si>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</si>
  <si>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</si>
  <si>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</si>
  <si>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</si>
  <si>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</si>
  <si>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</si>
  <si>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</si>
  <si>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</si>
  <si>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</si>
  <si>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</si>
  <si>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</si>
  <si>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</si>
  <si>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</si>
  <si>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</si>
  <si>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</si>
  <si>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</si>
  <si>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</si>
  <si>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</si>
  <si>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</si>
  <si>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</si>
  <si>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</si>
  <si>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</si>
  <si>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</si>
  <si>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</si>
  <si>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</si>
  <si>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</si>
  <si>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</si>
  <si>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</si>
  <si>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</si>
  <si>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</si>
  <si>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</si>
  <si>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</si>
  <si>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</si>
  <si>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</si>
  <si>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商场</t>
    <phoneticPr fontId="3" type="noConversion"/>
  </si>
  <si>
    <t>地上</t>
  </si>
  <si>
    <t>独立商业</t>
  </si>
  <si>
    <t>地下车库</t>
    <phoneticPr fontId="3" type="noConversion"/>
  </si>
  <si>
    <t>地下</t>
  </si>
  <si>
    <t>车库—商业</t>
  </si>
  <si>
    <t>车库</t>
  </si>
  <si>
    <t>设备用房</t>
    <phoneticPr fontId="3" type="noConversion"/>
  </si>
  <si>
    <t>Ⅶ-房1</t>
  </si>
  <si>
    <t>不临58条商业街</t>
  </si>
  <si>
    <t>六通一平</t>
  </si>
  <si>
    <t>缺少</t>
  </si>
  <si>
    <t>通热</t>
  </si>
  <si>
    <t>估价对象容积率</t>
  </si>
  <si>
    <t>估价对象周边有国泰百货、苏宁易购等，周边商业氛围较好，人流量较大，商业繁华度较好</t>
    <phoneticPr fontId="34" type="noConversion"/>
  </si>
  <si>
    <t>估价对象周边有房2内路、周边无地铁，路网密集程度一般，交通便捷度一般</t>
    <phoneticPr fontId="62" type="noConversion"/>
  </si>
  <si>
    <t>估价对象所在区域基础设施水平：七通</t>
    <phoneticPr fontId="34" type="noConversion"/>
  </si>
  <si>
    <t>区域自然环境：良乡塔；人文环境：良乡文化广场；综合评价环境状况一般</t>
    <phoneticPr fontId="62" type="noConversion"/>
  </si>
  <si>
    <t>城市次干道－拱辰北大街</t>
    <phoneticPr fontId="34" type="noConversion"/>
  </si>
  <si>
    <t>较一致，以住宅为主</t>
    <phoneticPr fontId="34" type="noConversion"/>
  </si>
  <si>
    <t>较好</t>
  </si>
  <si>
    <t>一般</t>
  </si>
  <si>
    <t>好</t>
  </si>
  <si>
    <t>全部缴纳</t>
  </si>
  <si>
    <t>商场</t>
  </si>
  <si>
    <t>收益法车库</t>
  </si>
  <si>
    <t>收益法车库</t>
    <phoneticPr fontId="17" type="noConversion"/>
  </si>
  <si>
    <t xml:space="preserve"> 旭辉E天地</t>
    <phoneticPr fontId="3" type="noConversion"/>
  </si>
  <si>
    <t>佳仕苑</t>
    <phoneticPr fontId="3" type="noConversion"/>
  </si>
  <si>
    <t>车库</t>
    <phoneticPr fontId="46" type="noConversion"/>
  </si>
  <si>
    <t>40-50（含）</t>
  </si>
  <si>
    <t>估价对象所在区域公共配套设施齐备情况较好：蓝色未来幼儿园、北京市房山区第一医院良乡分部</t>
    <phoneticPr fontId="62" type="noConversion"/>
  </si>
  <si>
    <t>七通</t>
  </si>
  <si>
    <t>办公</t>
    <phoneticPr fontId="46" type="noConversion"/>
  </si>
  <si>
    <t>住宅</t>
    <phoneticPr fontId="46" type="noConversion"/>
  </si>
  <si>
    <t>较好</t>
    <phoneticPr fontId="46" type="noConversion"/>
  </si>
  <si>
    <t>平面</t>
    <phoneticPr fontId="46" type="noConversion"/>
  </si>
  <si>
    <t>否</t>
    <phoneticPr fontId="46" type="noConversion"/>
  </si>
  <si>
    <t>普装</t>
  </si>
  <si>
    <t>普装</t>
    <phoneticPr fontId="46" type="noConversion"/>
  </si>
  <si>
    <t>加州水郡</t>
    <phoneticPr fontId="3" type="noConversion"/>
  </si>
  <si>
    <t>收益法</t>
  </si>
  <si>
    <t>钢混</t>
  </si>
  <si>
    <t>现房</t>
  </si>
  <si>
    <t>成本法</t>
  </si>
  <si>
    <t>收益法（汇总）</t>
  </si>
  <si>
    <t>成本比率</t>
  </si>
  <si>
    <t>宽度160米，深度154米,临街宽度及深度比例较适宜，对土地利用无影响</t>
    <phoneticPr fontId="107" type="noConversion"/>
  </si>
  <si>
    <t>宗地形状较规则，对宗地利用无影响</t>
    <phoneticPr fontId="107" type="noConversion"/>
  </si>
  <si>
    <t>押一</t>
  </si>
  <si>
    <t>核定资产</t>
  </si>
  <si>
    <t>房地产市场价值</t>
  </si>
  <si>
    <t>北京市</t>
  </si>
  <si>
    <t>未包含在土地购买价格中</t>
  </si>
  <si>
    <t>已包含在土地取得成本中</t>
  </si>
  <si>
    <t>批发零售用地</t>
  </si>
  <si>
    <t>较差</t>
  </si>
  <si>
    <t>地下商业</t>
    <phoneticPr fontId="3" type="noConversion"/>
  </si>
  <si>
    <t>地下车库</t>
    <phoneticPr fontId="205" type="noConversion"/>
  </si>
  <si>
    <t>地下商业</t>
    <phoneticPr fontId="205" type="noConversion"/>
  </si>
  <si>
    <t>设备用房</t>
    <phoneticPr fontId="205"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</si>
</sst>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197" fontId="0" fillId="0" borderId="0" xfId="0" applyNumberFormat="1">
      <alignment vertical="center"/>
    </xf>
    <xf numFmtId="0" fontId="130" fillId="0" borderId="0" xfId="0" applyFont="1">
      <alignment vertical="center"/>
    </xf>
    <xf numFmtId="181" fontId="68" fillId="14" borderId="1"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103621</xdr:colOff>
      <xdr:row>5</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1000000"/>
        </a:xfrm>
        <a:prstGeom prst="rect">
          <a:avLst/>
        </a:prstGeom>
      </xdr:spPr>
    </xdr:pic>
    <xdr:clientData/>
  </xdr:twoCellAnchor>
  <xdr:twoCellAnchor editAs="oneCell">
    <xdr:from>
      <xdr:col>0</xdr:col>
      <xdr:colOff>0</xdr:colOff>
      <xdr:row>7</xdr:row>
      <xdr:rowOff>0</xdr:rowOff>
    </xdr:from>
    <xdr:to>
      <xdr:col>11</xdr:col>
      <xdr:colOff>656088</xdr:colOff>
      <xdr:row>12</xdr:row>
      <xdr:rowOff>37988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9104763" cy="895238"/>
        </a:xfrm>
        <a:prstGeom prst="rect">
          <a:avLst/>
        </a:prstGeom>
      </xdr:spPr>
    </xdr:pic>
    <xdr:clientData/>
  </xdr:twoCellAnchor>
  <xdr:twoCellAnchor editAs="oneCell">
    <xdr:from>
      <xdr:col>0</xdr:col>
      <xdr:colOff>0</xdr:colOff>
      <xdr:row>13</xdr:row>
      <xdr:rowOff>0</xdr:rowOff>
    </xdr:from>
    <xdr:to>
      <xdr:col>12</xdr:col>
      <xdr:colOff>46478</xdr:colOff>
      <xdr:row>18</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9180953" cy="1000000"/>
        </a:xfrm>
        <a:prstGeom prst="rect">
          <a:avLst/>
        </a:prstGeom>
      </xdr:spPr>
    </xdr:pic>
    <xdr:clientData/>
  </xdr:twoCellAnchor>
  <xdr:twoCellAnchor editAs="oneCell">
    <xdr:from>
      <xdr:col>0</xdr:col>
      <xdr:colOff>0</xdr:colOff>
      <xdr:row>19</xdr:row>
      <xdr:rowOff>0</xdr:rowOff>
    </xdr:from>
    <xdr:to>
      <xdr:col>12</xdr:col>
      <xdr:colOff>256002</xdr:colOff>
      <xdr:row>24</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9390477" cy="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2805</v>
      </c>
      <c r="B1" s="3054" t="s">
        <v>2895</v>
      </c>
    </row>
    <row r="2" spans="1:2" s="3059" customFormat="1" ht="15" thickTop="1">
      <c r="A2" s="3057" t="s">
        <v>2806</v>
      </c>
      <c r="B2" s="3058" t="str">
        <f>'预评函-封皮'!B37:I37</f>
        <v>北京市房地产市场价值预评估</v>
      </c>
    </row>
    <row r="3" spans="1:2" s="3062" customFormat="1">
      <c r="A3" s="3060" t="s">
        <v>2807</v>
      </c>
      <c r="B3" s="3061">
        <f>'预评函-封皮'!B40</f>
        <v>0</v>
      </c>
    </row>
    <row r="4" spans="1:2" s="3062" customFormat="1">
      <c r="A4" s="3060" t="s">
        <v>2808</v>
      </c>
      <c r="B4" s="3061" t="str">
        <f ca="1">'预评函-封皮'!B46</f>
        <v>刘梅（注册号：0)、吴薇（注册号：1419970001)</v>
      </c>
    </row>
    <row r="5" spans="1:2" s="3056" customFormat="1" ht="15" thickBot="1">
      <c r="A5" s="3063" t="s">
        <v>2809</v>
      </c>
      <c r="B5" s="3064" t="str">
        <f>'预评函-封皮'!B49</f>
        <v>康正预评字号</v>
      </c>
    </row>
    <row r="6" spans="1:2" s="3059" customFormat="1" ht="15" thickTop="1">
      <c r="A6" s="3057" t="s">
        <v>2810</v>
      </c>
      <c r="B6" s="3058" t="str">
        <f>'预评函-1'!A4</f>
        <v>受贵公司委托，我公司对北京市房地产市场价值进行了预评估。</v>
      </c>
    </row>
    <row r="7" spans="1:2" s="3062" customFormat="1">
      <c r="A7" s="3060" t="s">
        <v>2850</v>
      </c>
      <c r="B7" s="3061" t="str">
        <f>'预评函-1'!A7</f>
        <v>估价对象为北京市房地产，为所有。根据《国有土地使用证》[]，估价对象（分摊）出让国有建设用地使用权面积为22211.31平方米，建筑面积为123111.63平方米。</v>
      </c>
    </row>
    <row r="8" spans="1:2" s="3062" customFormat="1">
      <c r="A8" s="3060" t="s">
        <v>2851</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2852</v>
      </c>
      <c r="B9" s="3061" t="str">
        <f>'预评函-1'!A10</f>
        <v>估价对象为北京市房地产,属开发建设的，该项目尚在开发建设中。根据《国有土地使用证》[]，估价对象（分摊）出让国有建设用地使用权面积为22211.31平方米，规划建筑面积为123111.63平方米。</v>
      </c>
    </row>
    <row r="10" spans="1:2" s="3062" customFormat="1">
      <c r="A10" s="3060" t="s">
        <v>2853</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2811</v>
      </c>
      <c r="B11" s="3061" t="str">
        <f>'预评函-1'!A13</f>
        <v>为估价委托人了解估价对象房地产市场价值提供参考依据。</v>
      </c>
    </row>
    <row r="12" spans="1:2" s="3062" customFormat="1">
      <c r="A12" s="3060" t="s">
        <v>2812</v>
      </c>
      <c r="B12" s="3061" t="str">
        <f>'预评函-1'!A15</f>
        <v>2017年8月15日（评估专业人员实地查勘之日）</v>
      </c>
    </row>
    <row r="13" spans="1:2" s="3062" customFormat="1">
      <c r="A13" s="3060" t="s">
        <v>2813</v>
      </c>
      <c r="B13" s="3061" t="str">
        <f>'预评函-1'!A18</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4" spans="1:2" s="3062" customFormat="1">
      <c r="A14" s="3060" t="s">
        <v>2814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2815</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2817</v>
      </c>
      <c r="B17" s="3061" t="str">
        <f>'预评函-1'!A22</f>
        <v/>
      </c>
    </row>
    <row r="18" spans="1:2" s="3056" customFormat="1" ht="15" thickBot="1">
      <c r="A18" s="3063" t="s">
        <v>2818</v>
      </c>
      <c r="B18" s="3064" t="str">
        <f>'预评函-1'!A24</f>
        <v>本次评估采用的主估价方法为收益法和成本法。</v>
      </c>
    </row>
    <row r="19" spans="1:2" s="3059" customFormat="1" ht="15" thickTop="1">
      <c r="A19" s="3057" t="s">
        <v>2819</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2820</v>
      </c>
      <c r="B20" s="3061">
        <f ca="1">'预评函-2'!D5</f>
        <v>259766</v>
      </c>
    </row>
    <row r="21" spans="1:2" s="3062" customFormat="1">
      <c r="A21" s="3060" t="s">
        <v>2821</v>
      </c>
      <c r="B21" s="3061">
        <f ca="1">'预评函-2'!D7</f>
        <v>21100</v>
      </c>
    </row>
    <row r="22" spans="1:2" s="3062" customFormat="1">
      <c r="A22" s="3060" t="s">
        <v>2822</v>
      </c>
      <c r="B22" s="3061" t="str">
        <f ca="1">'预评函-2'!D6</f>
        <v>贰拾伍亿玖仟柒佰陆拾陆万元整</v>
      </c>
    </row>
    <row r="23" spans="1:2" s="3062" customFormat="1">
      <c r="A23" s="3060" t="s">
        <v>2883</v>
      </c>
      <c r="B23" s="3061" t="str">
        <f>'预评函-2'!B8</f>
        <v>2.估价师知悉的法定优先受偿款</v>
      </c>
    </row>
    <row r="24" spans="1:2" s="3062" customFormat="1">
      <c r="A24" s="3060" t="s">
        <v>2889</v>
      </c>
      <c r="B24" s="3061">
        <f>'预评函-2'!D8</f>
        <v>0</v>
      </c>
    </row>
    <row r="25" spans="1:2" s="3062" customFormat="1">
      <c r="A25" s="3060" t="s">
        <v>2823</v>
      </c>
      <c r="B25" s="3061" t="str">
        <f>'预评函-2'!D9</f>
        <v>零元整</v>
      </c>
    </row>
    <row r="26" spans="1:2" s="3062" customFormat="1">
      <c r="A26" s="3060" t="s">
        <v>2824</v>
      </c>
      <c r="B26" s="3061">
        <f>'预评函-2'!D10</f>
        <v>0</v>
      </c>
    </row>
    <row r="27" spans="1:2" s="3062" customFormat="1">
      <c r="A27" s="3060" t="s">
        <v>2825</v>
      </c>
      <c r="B27" s="3061">
        <f>'预评函-2'!D11</f>
        <v>0</v>
      </c>
    </row>
    <row r="28" spans="1:2" s="3062" customFormat="1">
      <c r="A28" s="3060" t="s">
        <v>2826</v>
      </c>
      <c r="B28" s="3061">
        <f>'预评函-2'!D12</f>
        <v>0</v>
      </c>
    </row>
    <row r="29" spans="1:2" s="3062" customFormat="1">
      <c r="A29" s="3060" t="s">
        <v>2887</v>
      </c>
      <c r="B29" s="3061" t="str">
        <f>'预评函-2'!B13</f>
        <v>3.房地产抵押价值</v>
      </c>
    </row>
    <row r="30" spans="1:2" s="3062" customFormat="1">
      <c r="A30" s="3060" t="s">
        <v>2888</v>
      </c>
      <c r="B30" s="3061">
        <f ca="1">'预评函-2'!D13</f>
        <v>259766</v>
      </c>
    </row>
    <row r="31" spans="1:2" s="3062" customFormat="1">
      <c r="A31" s="3060" t="s">
        <v>2861</v>
      </c>
      <c r="B31" s="3061">
        <f ca="1">'预评函-2'!D15</f>
        <v>21100</v>
      </c>
    </row>
    <row r="32" spans="1:2" s="3062" customFormat="1">
      <c r="A32" s="3060" t="s">
        <v>2827</v>
      </c>
      <c r="B32" s="3061" t="str">
        <f ca="1">'预评函-2'!D14</f>
        <v>贰拾伍亿玖仟柒佰陆拾陆万元整</v>
      </c>
    </row>
    <row r="33" spans="1:2" s="3062" customFormat="1">
      <c r="A33" s="3060" t="s">
        <v>2863</v>
      </c>
      <c r="B33" s="3061" t="str">
        <f>'预评函-2'!B16</f>
        <v>——</v>
      </c>
    </row>
    <row r="34" spans="1:2" s="3062" customFormat="1">
      <c r="A34" s="3060" t="s">
        <v>2890</v>
      </c>
      <c r="B34" s="3061" t="str">
        <f>'预评函-2'!D16</f>
        <v>——</v>
      </c>
    </row>
    <row r="35" spans="1:2" s="3062" customFormat="1">
      <c r="A35" s="3060" t="s">
        <v>2862</v>
      </c>
      <c r="B35" s="3061" t="str">
        <f>'预评函-2'!D18</f>
        <v>——</v>
      </c>
    </row>
    <row r="36" spans="1:2" s="3062" customFormat="1">
      <c r="A36" s="3060" t="s">
        <v>2828</v>
      </c>
      <c r="B36" s="3061" t="e">
        <f>'预评函-2'!D17</f>
        <v>#VALUE!</v>
      </c>
    </row>
    <row r="37" spans="1:2" s="3062" customFormat="1">
      <c r="A37" s="3060" t="s">
        <v>2864</v>
      </c>
      <c r="B37" s="3061" t="str">
        <f>'预评函-2'!B19</f>
        <v>——</v>
      </c>
    </row>
    <row r="38" spans="1:2" s="3062" customFormat="1">
      <c r="A38" s="3060" t="s">
        <v>2891</v>
      </c>
      <c r="B38" s="3061" t="str">
        <f>'预评函-2'!D19</f>
        <v>——</v>
      </c>
    </row>
    <row r="39" spans="1:2" s="3062" customFormat="1">
      <c r="A39" s="3060" t="s">
        <v>2829</v>
      </c>
      <c r="B39" s="3061" t="str">
        <f>'预评函-2'!D21</f>
        <v>——</v>
      </c>
    </row>
    <row r="40" spans="1:2" s="3062" customFormat="1">
      <c r="A40" s="3060" t="s">
        <v>2830</v>
      </c>
      <c r="B40" s="3061" t="e">
        <f>'预评函-2'!D20</f>
        <v>#VALUE!</v>
      </c>
    </row>
    <row r="41" spans="1:2" s="3062" customFormat="1">
      <c r="A41" s="3060" t="s">
        <v>2886</v>
      </c>
      <c r="B41" s="3061" t="str">
        <f>'预评函-3'!A4</f>
        <v>北京市房地产</v>
      </c>
    </row>
    <row r="42" spans="1:2" s="3062" customFormat="1">
      <c r="A42" s="3060" t="s">
        <v>2884</v>
      </c>
      <c r="B42" s="3061" t="str">
        <f>'预评函-3'!B2</f>
        <v>建筑面积</v>
      </c>
    </row>
    <row r="43" spans="1:2" s="3062" customFormat="1">
      <c r="A43" s="3060" t="s">
        <v>2885</v>
      </c>
      <c r="B43" s="3061">
        <f>'预评函-3'!B4</f>
        <v>123111.63</v>
      </c>
    </row>
    <row r="44" spans="1:2" s="3062" customFormat="1">
      <c r="A44" s="3060" t="s">
        <v>2860</v>
      </c>
      <c r="B44" s="3061" t="str">
        <f>'预评函-3'!C2</f>
        <v>(分摊)土地面积</v>
      </c>
    </row>
    <row r="45" spans="1:2" s="3062" customFormat="1">
      <c r="A45" s="3060" t="s">
        <v>2831</v>
      </c>
      <c r="B45" s="3061">
        <f>'预评函-3'!C4</f>
        <v>22211.31</v>
      </c>
    </row>
    <row r="46" spans="1:2" s="3062" customFormat="1">
      <c r="A46" s="3060" t="s">
        <v>2858</v>
      </c>
      <c r="B46" s="3061" t="str">
        <f>'预评函-3'!D2</f>
        <v>出让国有建设用地使用权价值</v>
      </c>
    </row>
    <row r="47" spans="1:2" s="3062" customFormat="1">
      <c r="A47" s="3060" t="s">
        <v>2832</v>
      </c>
      <c r="B47" s="3061">
        <f ca="1">'预评函-3'!D4</f>
        <v>185473</v>
      </c>
    </row>
    <row r="48" spans="1:2" s="3062" customFormat="1">
      <c r="A48" s="3060" t="s">
        <v>2833</v>
      </c>
      <c r="B48" s="3061">
        <f ca="1">'预评函-3'!E4</f>
        <v>15065</v>
      </c>
    </row>
    <row r="49" spans="1:2" s="3062" customFormat="1">
      <c r="A49" s="3060" t="s">
        <v>2834</v>
      </c>
      <c r="B49" s="3061" t="str">
        <f ca="1">'预评函-3'!D5</f>
        <v>壹拾捌亿伍仟肆佰柒拾叁万元整</v>
      </c>
    </row>
    <row r="50" spans="1:2" s="3062" customFormat="1">
      <c r="A50" s="3060" t="s">
        <v>2859</v>
      </c>
      <c r="B50" s="3061" t="str">
        <f>'预评函-3'!F2</f>
        <v>在建建筑物价值</v>
      </c>
    </row>
    <row r="51" spans="1:2" s="3062" customFormat="1">
      <c r="A51" s="3060" t="s">
        <v>2835</v>
      </c>
      <c r="B51" s="3061">
        <f ca="1">'预评函-3'!F4</f>
        <v>74293</v>
      </c>
    </row>
    <row r="52" spans="1:2" s="3062" customFormat="1">
      <c r="A52" s="3060" t="s">
        <v>2836</v>
      </c>
      <c r="B52" s="3061">
        <f ca="1">'预评函-3'!G4</f>
        <v>6035</v>
      </c>
    </row>
    <row r="53" spans="1:2" s="3062" customFormat="1">
      <c r="A53" s="3060" t="s">
        <v>2865</v>
      </c>
      <c r="B53" s="3061" t="str">
        <f ca="1">'预评函-3'!F5</f>
        <v>柒亿肆仟贰佰玖拾叁万元整</v>
      </c>
    </row>
    <row r="54" spans="1:2" s="3062" customFormat="1">
      <c r="A54" s="3060" t="s">
        <v>2893</v>
      </c>
      <c r="B54" s="3061" t="str">
        <f>'预评函-3'!A8</f>
        <v>房地产抵押价值</v>
      </c>
    </row>
    <row r="55" spans="1:2" s="3062" customFormat="1">
      <c r="A55" s="3060" t="s">
        <v>2866</v>
      </c>
      <c r="B55" s="3061" t="str">
        <f>'预评函-3'!A10</f>
        <v/>
      </c>
    </row>
    <row r="56" spans="1:2" s="3062" customFormat="1">
      <c r="A56" s="3060" t="s">
        <v>2867</v>
      </c>
      <c r="B56" s="3061" t="str">
        <f>'预评函-3'!A12</f>
        <v/>
      </c>
    </row>
    <row r="57" spans="1:2" s="3056" customFormat="1" ht="15" thickBot="1">
      <c r="A57" s="3063" t="s">
        <v>2894</v>
      </c>
      <c r="B57" s="3064" t="str">
        <f>'预评函-3'!A6</f>
        <v>估价师知悉的法定优先受偿款</v>
      </c>
    </row>
    <row r="58" spans="1:2" s="3059" customFormat="1" ht="15" thickTop="1">
      <c r="A58" s="3057" t="s">
        <v>2837</v>
      </c>
      <c r="B58" s="3058" t="str">
        <f>'预评函-4'!A12</f>
        <v/>
      </c>
    </row>
    <row r="59" spans="1:2" s="3062" customFormat="1">
      <c r="A59" s="3060" t="s">
        <v>2838</v>
      </c>
      <c r="B59" s="3061" t="str">
        <f>'预评函-4'!A13</f>
        <v/>
      </c>
    </row>
    <row r="60" spans="1:2" s="3062" customFormat="1">
      <c r="A60" s="3060" t="s">
        <v>2839</v>
      </c>
      <c r="B60" s="3061" t="str">
        <f>'预评函-4'!A14</f>
        <v/>
      </c>
    </row>
    <row r="61" spans="1:2" s="3062" customFormat="1">
      <c r="A61" s="3060" t="s">
        <v>2840</v>
      </c>
      <c r="B61" s="3061" t="str">
        <f>'预评函-4'!A15</f>
        <v/>
      </c>
    </row>
    <row r="62" spans="1:2" s="3062" customFormat="1">
      <c r="A62" s="3060" t="s">
        <v>2841</v>
      </c>
      <c r="B62" s="3061" t="str">
        <f>'预评函-4'!A16</f>
        <v>（2）根据《工程款支付情况说明》，截至价值时点，估价对象不存在应付未付工程款项。（只要没有施工方盖章的，均“设定”进行表述）</v>
      </c>
    </row>
    <row r="63" spans="1:2" s="3062" customFormat="1">
      <c r="A63" s="3060" t="s">
        <v>2842</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2854</v>
      </c>
      <c r="B64" s="3061" t="str">
        <f>'预评函-4'!A18</f>
        <v/>
      </c>
    </row>
    <row r="65" spans="1:2" s="3062" customFormat="1">
      <c r="A65" s="3060" t="s">
        <v>2843</v>
      </c>
      <c r="B65" s="306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2844</v>
      </c>
      <c r="B66" s="3061" t="str">
        <f>'预评函-4'!A20</f>
        <v/>
      </c>
    </row>
    <row r="67" spans="1:2" s="3062" customFormat="1">
      <c r="A67" s="3060" t="s">
        <v>2855</v>
      </c>
      <c r="B67" s="3061" t="str">
        <f>'预评函-4'!A21</f>
        <v/>
      </c>
    </row>
    <row r="68" spans="1:2" s="3062" customFormat="1">
      <c r="A68" s="3060" t="s">
        <v>2856</v>
      </c>
      <c r="B68" s="3061" t="str">
        <f>'预评函-4'!A22</f>
        <v>8.其他需特殊说明事项：无（注意调整序号）</v>
      </c>
    </row>
    <row r="69" spans="1:2" s="3056" customFormat="1" ht="15" thickBot="1">
      <c r="A69" s="3063" t="s">
        <v>2845</v>
      </c>
      <c r="B69" s="3065">
        <f>'预评函-4'!C31</f>
        <v>42551</v>
      </c>
    </row>
    <row r="70" spans="1:2" ht="15" thickTop="1">
      <c r="A70" s="3066" t="s">
        <v>2846</v>
      </c>
      <c r="B70" s="3067" t="str">
        <f>'预评函-4'!A4</f>
        <v>刘梅</v>
      </c>
    </row>
    <row r="71" spans="1:2">
      <c r="A71" s="3060" t="s">
        <v>2847</v>
      </c>
      <c r="B71" s="3061">
        <f ca="1">'预评函-4'!B4</f>
        <v>0</v>
      </c>
    </row>
    <row r="72" spans="1:2">
      <c r="A72" s="3060" t="s">
        <v>2848</v>
      </c>
      <c r="B72" s="3069" t="str">
        <f>'预评函-4'!A5</f>
        <v>吴薇</v>
      </c>
    </row>
    <row r="73" spans="1:2" s="3056" customFormat="1" ht="15" thickBot="1">
      <c r="A73" s="3063" t="s">
        <v>2849</v>
      </c>
      <c r="B73" s="3064">
        <f ca="1">'预评函-4'!B5</f>
        <v>1419970001</v>
      </c>
    </row>
    <row r="74" spans="1:2" ht="15" thickTop="1">
      <c r="A74" s="3053" t="s">
        <v>2911</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19" sqref="B19"/>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533</v>
      </c>
      <c r="B1" s="289" t="s">
        <v>257</v>
      </c>
      <c r="C1" s="1767"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5" t="s">
        <v>2640</v>
      </c>
      <c r="S1" s="290" t="s">
        <v>270</v>
      </c>
      <c r="T1" s="291" t="s">
        <v>271</v>
      </c>
      <c r="U1" s="290" t="s">
        <v>272</v>
      </c>
      <c r="V1" s="290" t="s">
        <v>273</v>
      </c>
      <c r="W1" s="1485" t="s">
        <v>1852</v>
      </c>
    </row>
    <row r="2" spans="1:23">
      <c r="A2" s="2797" t="s">
        <v>114</v>
      </c>
      <c r="B2" s="2797" t="s">
        <v>580</v>
      </c>
      <c r="C2" s="1768"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2644</v>
      </c>
      <c r="S2" s="292" t="s">
        <v>232</v>
      </c>
      <c r="T2" s="292" t="s">
        <v>233</v>
      </c>
      <c r="U2" s="292" t="s">
        <v>232</v>
      </c>
      <c r="V2" s="292" t="s">
        <v>234</v>
      </c>
      <c r="W2" s="292" t="s">
        <v>232</v>
      </c>
    </row>
    <row r="3" spans="1:23">
      <c r="A3" s="2797" t="s">
        <v>579</v>
      </c>
      <c r="B3" s="2798" t="s">
        <v>2686</v>
      </c>
      <c r="C3" s="1769"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2642</v>
      </c>
      <c r="S3" s="292" t="s">
        <v>240</v>
      </c>
      <c r="T3" s="292" t="s">
        <v>241</v>
      </c>
      <c r="U3" s="292" t="s">
        <v>240</v>
      </c>
      <c r="V3" s="292" t="s">
        <v>242</v>
      </c>
      <c r="W3" s="292" t="s">
        <v>240</v>
      </c>
    </row>
    <row r="4" spans="1:23">
      <c r="A4" s="2797" t="s">
        <v>581</v>
      </c>
      <c r="B4" s="2797" t="s">
        <v>582</v>
      </c>
      <c r="C4" s="1768"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2645</v>
      </c>
      <c r="S4" s="292" t="s">
        <v>243</v>
      </c>
      <c r="T4" s="292" t="s">
        <v>244</v>
      </c>
      <c r="U4" s="292" t="s">
        <v>243</v>
      </c>
      <c r="W4" s="292" t="s">
        <v>243</v>
      </c>
    </row>
    <row r="5" spans="1:23">
      <c r="A5" s="2797" t="s">
        <v>583</v>
      </c>
      <c r="B5" s="2797" t="s">
        <v>584</v>
      </c>
      <c r="C5" s="1768" t="s">
        <v>1881</v>
      </c>
      <c r="F5" s="292" t="s">
        <v>245</v>
      </c>
      <c r="H5" s="292" t="s">
        <v>246</v>
      </c>
      <c r="I5" s="292" t="s">
        <v>247</v>
      </c>
      <c r="K5" s="292" t="s">
        <v>248</v>
      </c>
      <c r="L5" s="292" t="s">
        <v>248</v>
      </c>
      <c r="M5" s="292" t="s">
        <v>248</v>
      </c>
      <c r="N5" s="292" t="s">
        <v>248</v>
      </c>
      <c r="O5" s="292" t="s">
        <v>248</v>
      </c>
      <c r="P5" s="292" t="s">
        <v>248</v>
      </c>
      <c r="Q5" s="292" t="s">
        <v>248</v>
      </c>
      <c r="R5" s="2763" t="s">
        <v>2646</v>
      </c>
      <c r="S5" s="292" t="s">
        <v>248</v>
      </c>
      <c r="T5" s="292" t="s">
        <v>249</v>
      </c>
      <c r="U5" s="292" t="s">
        <v>248</v>
      </c>
      <c r="W5" s="292" t="s">
        <v>248</v>
      </c>
    </row>
    <row r="6" spans="1:23">
      <c r="A6" s="2797" t="s">
        <v>585</v>
      </c>
      <c r="B6" s="2798" t="s">
        <v>2687</v>
      </c>
      <c r="C6" s="1770" t="s">
        <v>163</v>
      </c>
      <c r="F6" s="292" t="s">
        <v>250</v>
      </c>
      <c r="H6" s="292" t="s">
        <v>251</v>
      </c>
      <c r="I6" s="292" t="s">
        <v>252</v>
      </c>
      <c r="K6" s="292" t="s">
        <v>253</v>
      </c>
      <c r="L6" s="292" t="s">
        <v>253</v>
      </c>
      <c r="M6" s="292" t="s">
        <v>253</v>
      </c>
      <c r="N6" s="292" t="s">
        <v>253</v>
      </c>
      <c r="O6" s="292" t="s">
        <v>253</v>
      </c>
      <c r="P6" s="292" t="s">
        <v>253</v>
      </c>
      <c r="Q6" s="292" t="s">
        <v>253</v>
      </c>
      <c r="R6" s="2763" t="s">
        <v>2647</v>
      </c>
      <c r="S6" s="292" t="s">
        <v>253</v>
      </c>
      <c r="T6" s="292"/>
      <c r="U6" s="292" t="s">
        <v>253</v>
      </c>
      <c r="W6" s="292" t="s">
        <v>253</v>
      </c>
    </row>
    <row r="7" spans="1:23">
      <c r="A7" s="2797" t="s">
        <v>587</v>
      </c>
      <c r="B7" s="2798" t="s">
        <v>2688</v>
      </c>
      <c r="C7" s="1768" t="s">
        <v>164</v>
      </c>
      <c r="F7" s="292" t="s">
        <v>254</v>
      </c>
      <c r="H7" s="292" t="s">
        <v>255</v>
      </c>
      <c r="I7" s="292" t="s">
        <v>256</v>
      </c>
    </row>
    <row r="8" spans="1:23">
      <c r="A8" s="2797" t="s">
        <v>589</v>
      </c>
      <c r="B8" s="2797" t="s">
        <v>586</v>
      </c>
      <c r="C8" s="1768" t="s">
        <v>1882</v>
      </c>
      <c r="F8" s="292" t="s">
        <v>283</v>
      </c>
      <c r="H8" s="292"/>
      <c r="I8" s="292" t="s">
        <v>284</v>
      </c>
    </row>
    <row r="9" spans="1:23">
      <c r="A9" s="2797" t="s">
        <v>591</v>
      </c>
      <c r="B9" s="2797" t="s">
        <v>588</v>
      </c>
      <c r="C9" s="1768" t="s">
        <v>1883</v>
      </c>
      <c r="F9" s="292" t="s">
        <v>285</v>
      </c>
      <c r="H9" s="292"/>
    </row>
    <row r="10" spans="1:23">
      <c r="A10" s="2797" t="s">
        <v>593</v>
      </c>
      <c r="B10" s="2797" t="s">
        <v>590</v>
      </c>
      <c r="C10" s="1768" t="s">
        <v>1884</v>
      </c>
      <c r="F10" s="292" t="s">
        <v>51</v>
      </c>
    </row>
    <row r="11" spans="1:23">
      <c r="A11" s="2797" t="s">
        <v>595</v>
      </c>
      <c r="B11" s="2797" t="s">
        <v>592</v>
      </c>
      <c r="C11" s="1768" t="s">
        <v>1885</v>
      </c>
    </row>
    <row r="12" spans="1:23">
      <c r="A12" s="2797" t="s">
        <v>597</v>
      </c>
      <c r="B12" s="2797" t="s">
        <v>594</v>
      </c>
      <c r="C12" s="1768" t="s">
        <v>1886</v>
      </c>
    </row>
    <row r="13" spans="1:23">
      <c r="A13" s="2797" t="s">
        <v>599</v>
      </c>
      <c r="B13" s="2797" t="s">
        <v>596</v>
      </c>
      <c r="C13" s="1768" t="s">
        <v>1887</v>
      </c>
    </row>
    <row r="14" spans="1:23">
      <c r="A14" s="2797" t="s">
        <v>601</v>
      </c>
      <c r="B14" s="2797" t="s">
        <v>598</v>
      </c>
      <c r="C14" s="292" t="s">
        <v>51</v>
      </c>
    </row>
    <row r="15" spans="1:23">
      <c r="A15" s="2797" t="s">
        <v>602</v>
      </c>
      <c r="B15" s="2797" t="s">
        <v>600</v>
      </c>
      <c r="C15" s="1771"/>
    </row>
    <row r="16" spans="1:23">
      <c r="A16" s="2797" t="s">
        <v>603</v>
      </c>
      <c r="B16" s="2797" t="s">
        <v>1868</v>
      </c>
      <c r="C16" s="1771"/>
    </row>
    <row r="17" spans="1:3">
      <c r="A17" s="2797" t="s">
        <v>604</v>
      </c>
      <c r="B17" s="2797" t="s">
        <v>3098</v>
      </c>
      <c r="C17" s="1771"/>
    </row>
    <row r="18" spans="1:3">
      <c r="A18" s="2797" t="s">
        <v>605</v>
      </c>
      <c r="B18" s="2797" t="s">
        <v>1869</v>
      </c>
      <c r="C18" s="1771"/>
    </row>
    <row r="19" spans="1:3">
      <c r="A19" s="2797" t="s">
        <v>606</v>
      </c>
      <c r="B19" s="2797" t="s">
        <v>1869</v>
      </c>
      <c r="C19" s="1771"/>
    </row>
    <row r="20" spans="1:3">
      <c r="A20" s="2797" t="s">
        <v>607</v>
      </c>
      <c r="B20" s="2797" t="s">
        <v>1869</v>
      </c>
      <c r="C20" s="1771"/>
    </row>
    <row r="21" spans="1:3">
      <c r="A21" s="2797" t="s">
        <v>608</v>
      </c>
      <c r="B21" s="2797" t="s">
        <v>1869</v>
      </c>
      <c r="C21" s="1771"/>
    </row>
    <row r="22" spans="1:3">
      <c r="A22" s="2797" t="s">
        <v>609</v>
      </c>
      <c r="B22" s="2797" t="s">
        <v>1869</v>
      </c>
      <c r="C22" s="1771"/>
    </row>
    <row r="23" spans="1:3">
      <c r="A23" s="2797" t="s">
        <v>610</v>
      </c>
      <c r="B23" s="2797" t="s">
        <v>1869</v>
      </c>
      <c r="C23" s="1771"/>
    </row>
    <row r="24" spans="1:3">
      <c r="A24" s="2797" t="s">
        <v>611</v>
      </c>
      <c r="B24" s="2797" t="s">
        <v>1869</v>
      </c>
      <c r="C24" s="1771"/>
    </row>
    <row r="25" spans="1:3">
      <c r="A25" s="2797" t="s">
        <v>612</v>
      </c>
      <c r="B25" s="2797" t="s">
        <v>1869</v>
      </c>
      <c r="C25" s="1771"/>
    </row>
    <row r="26" spans="1:3">
      <c r="A26" s="2797" t="s">
        <v>613</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4" t="s">
        <v>2874</v>
      </c>
    </row>
    <row r="52" spans="1:4">
      <c r="A52" s="1951" t="s">
        <v>2019</v>
      </c>
      <c r="B52" s="1951" t="s">
        <v>2020</v>
      </c>
      <c r="C52" s="1160" t="s">
        <v>2021</v>
      </c>
      <c r="D52" s="1160" t="s">
        <v>2022</v>
      </c>
    </row>
    <row r="53" spans="1:4">
      <c r="A53" s="3411" t="s">
        <v>2023</v>
      </c>
      <c r="B53" s="2094"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94" t="s">
        <v>2025</v>
      </c>
      <c r="C54" s="1160" t="s">
        <v>2871</v>
      </c>
    </row>
    <row r="55" spans="1:4">
      <c r="A55" s="3411"/>
      <c r="B55" s="2094" t="s">
        <v>2026</v>
      </c>
      <c r="C55" s="1160" t="s">
        <v>2872</v>
      </c>
    </row>
    <row r="56" spans="1:4">
      <c r="A56" s="3411"/>
      <c r="B56" s="2094" t="s">
        <v>2027</v>
      </c>
      <c r="C56" s="1160" t="s">
        <v>2882</v>
      </c>
    </row>
    <row r="57" spans="1:4">
      <c r="A57" s="3411"/>
      <c r="B57" s="2094" t="s">
        <v>2028</v>
      </c>
      <c r="C57" s="1160" t="s">
        <v>2873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C1" zoomScale="110" zoomScaleSheetLayoutView="110" workbookViewId="0">
      <selection activeCell="C18" sqref="C1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20" t="str">
        <f>IF(B10="北京市","北京市",C10)&amp;F10&amp;IF(结果表!G1="在建","出让国有建设用地使用权及在建建筑物",IF(结果表!G1="土地","出让国有建设用地使用权",))&amp;B9&amp;"预评估"</f>
        <v>北京市房地产市场价值预评估</v>
      </c>
      <c r="C1" s="3421"/>
      <c r="D1" s="3421"/>
      <c r="E1" s="3421"/>
      <c r="F1" s="3421"/>
      <c r="G1" s="3421"/>
      <c r="H1" s="3421"/>
      <c r="I1" s="3422"/>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北京市房地产</v>
      </c>
    </row>
    <row r="3" spans="1:19" ht="18" customHeight="1">
      <c r="A3" s="1940" t="s">
        <v>2008</v>
      </c>
      <c r="B3" s="3232">
        <v>42962</v>
      </c>
      <c r="C3" s="1923" t="s">
        <v>2009</v>
      </c>
      <c r="D3" s="3232">
        <f>B3</f>
        <v>42962</v>
      </c>
      <c r="E3" s="1995"/>
      <c r="F3" s="1995"/>
      <c r="G3" s="1995"/>
      <c r="H3" s="1995"/>
      <c r="I3" s="1995"/>
      <c r="J3" s="1995"/>
      <c r="K3" s="2101"/>
      <c r="L3" s="1996"/>
      <c r="M3" s="1996"/>
      <c r="N3" s="1195"/>
      <c r="O3" s="11"/>
      <c r="P3" s="1195"/>
      <c r="Q3" s="1195"/>
      <c r="R3" s="1195"/>
      <c r="S3" s="1194"/>
    </row>
    <row r="4" spans="1:19" ht="18" customHeight="1" thickBot="1">
      <c r="A4" s="1924" t="s">
        <v>2010</v>
      </c>
      <c r="B4" s="1925" t="s">
        <v>3070</v>
      </c>
      <c r="C4" s="1926">
        <f ca="1">SUMIF(注册房地产估价师,B4,估价师及机构信息!B3:B24)</f>
        <v>0</v>
      </c>
      <c r="D4" s="1925" t="s">
        <v>3071</v>
      </c>
      <c r="E4" s="1927">
        <f ca="1">SUMIF(注册房地产估价师,D4,估价师及机构信息!B3:B24)</f>
        <v>1419970001</v>
      </c>
      <c r="F4" s="1925" t="s">
        <v>531</v>
      </c>
      <c r="G4" s="1954">
        <f>SUMIF(注册房地产估价师,F4,估价师及机构信息!B3:B24)</f>
        <v>0</v>
      </c>
      <c r="H4" s="1925" t="s">
        <v>531</v>
      </c>
      <c r="I4" s="2886">
        <f>SUMIF(注册房地产估价师,H4,估价师及机构信息!B3:B24)</f>
        <v>0</v>
      </c>
      <c r="J4" s="2000"/>
      <c r="K4" s="2102" t="str">
        <f ca="1">CONCATENATE(B4,"（注册号：",C4,")、",D4,"（注册号：",E4,")")</f>
        <v>刘梅（注册号：0)、吴薇（注册号：1419970001)</v>
      </c>
      <c r="L4" s="1996"/>
      <c r="M4" s="1996"/>
      <c r="N4" s="1195"/>
      <c r="O4" s="11"/>
      <c r="P4" s="1195"/>
      <c r="Q4" s="1195"/>
      <c r="R4" s="1195"/>
      <c r="S4" s="1194"/>
    </row>
    <row r="5" spans="1:19" ht="18" customHeight="1" thickTop="1">
      <c r="A5" s="1928" t="s">
        <v>2097</v>
      </c>
      <c r="B5" s="3287"/>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2877</v>
      </c>
      <c r="B7" s="3288"/>
      <c r="C7" s="2041"/>
      <c r="D7" s="2002"/>
      <c r="E7" s="1998"/>
      <c r="F7" s="2000"/>
      <c r="G7" s="2000"/>
      <c r="H7" s="2000"/>
      <c r="I7" s="2000"/>
      <c r="J7" s="2000"/>
      <c r="K7" s="2103"/>
      <c r="L7" s="1996"/>
      <c r="M7" s="1996"/>
      <c r="N7" s="1195"/>
      <c r="O7" s="11"/>
      <c r="P7" s="1195"/>
      <c r="Q7" s="1195"/>
      <c r="R7" s="1195"/>
    </row>
    <row r="8" spans="1:19" ht="18" customHeight="1">
      <c r="A8" s="1929" t="s">
        <v>1956</v>
      </c>
      <c r="B8" s="2034" t="s">
        <v>3122</v>
      </c>
      <c r="C8" s="2003"/>
      <c r="D8" s="3423" t="s">
        <v>2018</v>
      </c>
      <c r="E8" s="2035"/>
      <c r="F8" s="2036"/>
      <c r="G8" s="1995"/>
      <c r="H8" s="1995"/>
      <c r="I8" s="1995"/>
      <c r="J8" s="2000"/>
      <c r="K8" s="2102"/>
      <c r="L8" s="1996"/>
      <c r="M8" s="1996"/>
      <c r="N8" s="1195"/>
      <c r="O8" s="11"/>
      <c r="P8" s="1195"/>
      <c r="Q8" s="1195"/>
      <c r="R8" s="1195"/>
    </row>
    <row r="9" spans="1:19" ht="18" customHeight="1" thickBot="1">
      <c r="A9" s="1954" t="s">
        <v>1957</v>
      </c>
      <c r="B9" s="1955" t="s">
        <v>3123</v>
      </c>
      <c r="C9" s="2004"/>
      <c r="D9" s="3424"/>
      <c r="E9" s="1955" t="s">
        <v>531</v>
      </c>
      <c r="F9" s="2889"/>
      <c r="G9" s="1999"/>
      <c r="H9" s="1999"/>
      <c r="I9" s="1999"/>
      <c r="J9" s="2000"/>
      <c r="K9" s="2103"/>
      <c r="L9" s="1996"/>
      <c r="M9" s="1996"/>
      <c r="N9" s="1195"/>
      <c r="O9" s="11"/>
      <c r="P9" s="1195"/>
      <c r="Q9" s="1195"/>
      <c r="R9" s="1195"/>
    </row>
    <row r="10" spans="1:19" ht="18" customHeight="1" thickTop="1">
      <c r="A10" s="2009" t="s">
        <v>2069</v>
      </c>
      <c r="B10" s="2055" t="s">
        <v>3124</v>
      </c>
      <c r="C10" s="2037"/>
      <c r="D10" s="2001"/>
      <c r="E10" s="1939" t="s">
        <v>1958</v>
      </c>
      <c r="F10" s="1952"/>
      <c r="G10" s="2887"/>
      <c r="H10" s="2888"/>
      <c r="I10" s="2001"/>
      <c r="J10" s="2000"/>
      <c r="K10" s="2103"/>
      <c r="L10" s="1996"/>
      <c r="M10" s="1996"/>
      <c r="N10" s="1195"/>
      <c r="O10" s="11"/>
      <c r="P10" s="1195"/>
      <c r="Q10" s="1195"/>
      <c r="R10" s="1195"/>
    </row>
    <row r="11" spans="1:19" ht="18" customHeight="1">
      <c r="A11" s="1958" t="s">
        <v>2070</v>
      </c>
      <c r="B11" s="2054"/>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2029</v>
      </c>
      <c r="C12" s="2012" t="s">
        <v>2100</v>
      </c>
      <c r="D12" s="2024" t="s">
        <v>1950</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2099</v>
      </c>
      <c r="D13" s="3231"/>
      <c r="E13" s="3231">
        <v>55485</v>
      </c>
      <c r="F13" s="3231"/>
      <c r="G13" s="3231">
        <v>59138</v>
      </c>
      <c r="H13" s="3231"/>
      <c r="I13" s="2049"/>
      <c r="J13" s="2000"/>
      <c r="K13" s="2103"/>
      <c r="L13" s="1996"/>
      <c r="M13" s="1996"/>
      <c r="N13" s="1195"/>
      <c r="O13" s="11"/>
      <c r="P13" s="1195"/>
      <c r="Q13" s="1195"/>
      <c r="R13" s="1195"/>
    </row>
    <row r="14" spans="1:19" ht="18" customHeight="1">
      <c r="A14" s="2008"/>
      <c r="B14" s="2083"/>
      <c r="C14" s="2084" t="s">
        <v>2101</v>
      </c>
      <c r="D14" s="2052"/>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2102</v>
      </c>
      <c r="D15" s="2051" t="str">
        <f>IF(B12="出让",IF(D13="","",ROUNDDOWN(MIN((D13-$D$3)/365,D14),2)),D14)</f>
        <v/>
      </c>
      <c r="E15" s="2051">
        <f>IF(B12="出让",IF(E13="","",ROUNDDOWN(MIN((E13-$D$3)/365,E14),2)),E14)</f>
        <v>34.299999999999997</v>
      </c>
      <c r="F15" s="2051" t="str">
        <f>IF(B12="出让",IF(F13="","",ROUNDDOWN(MIN((F13-$D$3)/365,F14),2)),F14)</f>
        <v/>
      </c>
      <c r="G15" s="2051">
        <f>IF(B12="出让",IF(G13="","",ROUNDDOWN(MIN((G13-$D$3)/365,G14),2)),G14)</f>
        <v>44.31</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30"/>
      <c r="C16" s="3431"/>
      <c r="D16" s="3432"/>
      <c r="E16" s="1956" t="s">
        <v>2030</v>
      </c>
      <c r="F16" s="3433"/>
      <c r="G16" s="3434"/>
      <c r="H16" s="3434"/>
      <c r="I16" s="3435"/>
      <c r="J16" s="1195"/>
      <c r="K16" s="2105"/>
      <c r="L16" s="1229"/>
      <c r="M16" s="1229"/>
      <c r="N16" s="2020"/>
      <c r="O16" s="1229"/>
      <c r="P16" s="2020"/>
      <c r="Q16" s="1195"/>
      <c r="R16" s="1195"/>
    </row>
    <row r="17" spans="1:22" ht="18" customHeight="1">
      <c r="A17" s="2007" t="s">
        <v>1959</v>
      </c>
      <c r="B17" s="1940" t="s">
        <v>1960</v>
      </c>
      <c r="C17" s="2086">
        <f>'数据-汇总表'!E3</f>
        <v>123111.63</v>
      </c>
      <c r="D17" s="1941" t="s">
        <v>1961</v>
      </c>
      <c r="E17" s="3436" t="s">
        <v>2017</v>
      </c>
      <c r="F17" s="3437"/>
      <c r="G17" s="3437"/>
      <c r="H17" s="3437"/>
      <c r="I17" s="3438"/>
      <c r="J17" s="1195"/>
      <c r="K17" s="2696"/>
      <c r="L17" s="1229"/>
      <c r="M17" s="1229"/>
      <c r="N17" s="2020"/>
      <c r="O17" s="1229"/>
      <c r="P17" s="2020"/>
      <c r="Q17" s="1195"/>
      <c r="R17" s="1195"/>
      <c r="S17" s="1195"/>
      <c r="T17" s="1195"/>
      <c r="U17" s="1195"/>
      <c r="V17" s="1195"/>
    </row>
    <row r="18" spans="1:22" ht="36" customHeight="1" thickBot="1">
      <c r="A18" s="2895" t="s">
        <v>2709</v>
      </c>
      <c r="B18" s="1924" t="s">
        <v>1962</v>
      </c>
      <c r="C18" s="2896">
        <f>'数据-汇总表'!D3</f>
        <v>22211.31</v>
      </c>
      <c r="D18" s="2897" t="s">
        <v>1961</v>
      </c>
      <c r="E18" s="3439" t="s">
        <v>3020</v>
      </c>
      <c r="F18" s="3440"/>
      <c r="G18" s="3440"/>
      <c r="H18" s="3440"/>
      <c r="I18" s="3441"/>
      <c r="J18" s="1195"/>
      <c r="K18" s="2696"/>
      <c r="L18" s="1229"/>
      <c r="M18" s="1229"/>
      <c r="N18" s="2020"/>
      <c r="O18" s="1229"/>
      <c r="P18" s="2020"/>
      <c r="Q18" s="1195"/>
      <c r="R18" s="1195"/>
      <c r="S18" s="1195"/>
      <c r="T18" s="1195"/>
      <c r="U18" s="1195"/>
      <c r="V18" s="1195"/>
    </row>
    <row r="19" spans="1:22" ht="37.5" customHeight="1" thickTop="1" thickBot="1">
      <c r="A19" s="2894" t="s">
        <v>2049</v>
      </c>
      <c r="B19" s="2060" t="s">
        <v>2050</v>
      </c>
      <c r="C19" s="2061"/>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26" t="s">
        <v>2055</v>
      </c>
      <c r="C20" s="3427"/>
      <c r="D20" s="3428" t="s">
        <v>2056</v>
      </c>
      <c r="E20" s="3429"/>
      <c r="F20" s="2068" t="s">
        <v>2057</v>
      </c>
      <c r="G20" s="2000"/>
      <c r="H20" s="2000"/>
      <c r="I20" s="2000"/>
      <c r="J20" s="2000"/>
      <c r="K20" s="3425"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25"/>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25"/>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13" t="s">
        <v>2071</v>
      </c>
      <c r="B27" s="2009" t="s">
        <v>2072</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13"/>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13"/>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14"/>
      <c r="B30" s="1940" t="s">
        <v>2075</v>
      </c>
      <c r="C30" s="3415"/>
      <c r="D30" s="3416"/>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17" t="s">
        <v>2076</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1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1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2031</v>
      </c>
      <c r="B34" s="1960"/>
      <c r="C34" s="1960"/>
      <c r="D34" s="1960"/>
      <c r="E34" s="1960"/>
      <c r="F34" s="1960"/>
      <c r="G34" s="1960"/>
      <c r="H34" s="1960"/>
      <c r="I34" s="2000"/>
      <c r="J34" s="2000"/>
      <c r="K34" s="2884">
        <f>COUNTIF(B34:H34,"——")</f>
        <v>0</v>
      </c>
      <c r="L34" s="2012" t="s">
        <v>2105</v>
      </c>
      <c r="M34" s="2012" t="s">
        <v>2106</v>
      </c>
      <c r="N34" s="2012" t="s">
        <v>2107</v>
      </c>
      <c r="O34" s="2012" t="s">
        <v>2108</v>
      </c>
      <c r="P34" s="2012" t="s">
        <v>2109</v>
      </c>
      <c r="Q34" s="2012" t="s">
        <v>2110</v>
      </c>
      <c r="R34" s="2012" t="s">
        <v>2111</v>
      </c>
      <c r="S34" s="3412" t="s">
        <v>2112</v>
      </c>
      <c r="T34" s="2013" t="str">
        <f>NUMBERSTRING(7-K34,1)&amp;"通"</f>
        <v>七通</v>
      </c>
      <c r="U34" s="1195"/>
      <c r="V34" s="1195"/>
    </row>
    <row r="35" spans="1:22" ht="18" customHeight="1">
      <c r="A35" s="2014"/>
      <c r="B35" s="3419" t="s">
        <v>1875</v>
      </c>
      <c r="C35" s="3419"/>
      <c r="D35" s="3419"/>
      <c r="E35" s="3419"/>
      <c r="F35" s="2015">
        <f>C10</f>
        <v>0</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2"/>
      <c r="T35" s="23" t="str">
        <f>IF(T34="一通",L35,IF(T34="二通",M35,IF(T34="三通",N35,IF(T34="四通",O35,IF(T34="五通",P35,IF(T34="六通",Q35,R35))))))</f>
        <v>、、、、、、</v>
      </c>
      <c r="U35" s="1195"/>
      <c r="V35" s="1195"/>
    </row>
    <row r="36" spans="1:22" ht="18" customHeight="1">
      <c r="A36" s="2016"/>
      <c r="B36" s="2015" t="s">
        <v>1955</v>
      </c>
      <c r="C36" s="2015" t="s">
        <v>1951</v>
      </c>
      <c r="D36" s="2015" t="s">
        <v>1950</v>
      </c>
      <c r="E36" s="2015" t="s">
        <v>1952</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1874</v>
      </c>
      <c r="B37" s="2019" t="s">
        <v>1541</v>
      </c>
      <c r="C37" s="2019" t="s">
        <v>1541</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1876</v>
      </c>
      <c r="B38" s="2047" t="s">
        <v>3080</v>
      </c>
      <c r="C38" s="2047" t="s">
        <v>3080</v>
      </c>
      <c r="D38" s="2047"/>
      <c r="E38" s="2047"/>
      <c r="F38" s="2048"/>
      <c r="G38" s="1999"/>
      <c r="H38" s="1999"/>
      <c r="I38" s="1999"/>
      <c r="J38" s="2000"/>
      <c r="K38" s="2103"/>
      <c r="L38" s="1996"/>
      <c r="M38" s="1996"/>
      <c r="N38" s="1195"/>
      <c r="O38" s="11"/>
      <c r="P38" s="1195"/>
      <c r="Q38" s="1195"/>
      <c r="R38" s="1195"/>
      <c r="S38" s="1195"/>
      <c r="T38" s="1195"/>
      <c r="U38" s="1195"/>
      <c r="V38" s="1195"/>
    </row>
    <row r="39" spans="1:22" s="3310" customFormat="1" ht="18" customHeight="1" thickTop="1" thickBot="1">
      <c r="A39" s="3311" t="s">
        <v>3036</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5"/>
      <c r="B44" s="1415"/>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5"/>
      <c r="B45" s="1415"/>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5"/>
      <c r="B46" s="1415"/>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5"/>
      <c r="B47" s="1415"/>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5"/>
      <c r="B48" s="1415"/>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5"/>
      <c r="B49" s="1415"/>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5"/>
      <c r="B50" s="1415"/>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120" zoomScaleSheetLayoutView="120" workbookViewId="0">
      <pane xSplit="4" ySplit="12" topLeftCell="AG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2412</v>
      </c>
      <c r="AZ2" s="2520" t="s">
        <v>2413</v>
      </c>
      <c r="BA2" s="2521"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ROUND(123111.63/135974.35*24531.95,2)</f>
        <v>22211.31</v>
      </c>
      <c r="B3" s="302">
        <f>IF(C3="否",G5-AT5,G5)</f>
        <v>123111.63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123111.63</v>
      </c>
      <c r="H5" s="305">
        <f t="shared" ref="H5:AT5" si="0">SUM(H13:H656)</f>
        <v>119963.53</v>
      </c>
      <c r="I5" s="305">
        <f t="shared" si="0"/>
        <v>85551.93</v>
      </c>
      <c r="J5" s="305">
        <f t="shared" si="0"/>
        <v>0</v>
      </c>
      <c r="K5" s="305">
        <f t="shared" si="0"/>
        <v>16275.059999999998</v>
      </c>
      <c r="L5" s="305">
        <f t="shared" si="0"/>
        <v>0</v>
      </c>
      <c r="M5" s="305">
        <f t="shared" si="0"/>
        <v>18136.540000000008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3148.0999999999995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378.24</v>
      </c>
      <c r="AM5" s="305">
        <f t="shared" si="0"/>
        <v>0</v>
      </c>
      <c r="AN5" s="305">
        <f t="shared" si="0"/>
        <v>2769.8599999999997</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123111.63</v>
      </c>
      <c r="BA5" s="307">
        <f t="shared" si="1"/>
        <v>119963.53</v>
      </c>
      <c r="BB5" s="307">
        <f t="shared" si="1"/>
        <v>85551.93</v>
      </c>
      <c r="BC5" s="307">
        <f t="shared" si="1"/>
        <v>16275.059999999998</v>
      </c>
      <c r="BD5" s="307">
        <f t="shared" si="1"/>
        <v>18136.540000000008</v>
      </c>
      <c r="BE5" s="307">
        <f t="shared" si="1"/>
        <v>0</v>
      </c>
      <c r="BF5" s="307">
        <f t="shared" si="1"/>
        <v>0</v>
      </c>
      <c r="BG5" s="307">
        <f t="shared" si="1"/>
        <v>0</v>
      </c>
      <c r="BH5" s="307">
        <f t="shared" si="1"/>
        <v>0</v>
      </c>
      <c r="BI5" s="307">
        <f t="shared" si="1"/>
        <v>0</v>
      </c>
      <c r="BJ5" s="307">
        <f t="shared" si="1"/>
        <v>0</v>
      </c>
      <c r="BK5" s="307">
        <f t="shared" si="1"/>
        <v>0</v>
      </c>
      <c r="BL5" s="307">
        <f t="shared" si="1"/>
        <v>3148.0999999999995</v>
      </c>
      <c r="BM5" s="307">
        <f t="shared" si="1"/>
        <v>0</v>
      </c>
      <c r="BN5" s="307">
        <f t="shared" si="1"/>
        <v>0</v>
      </c>
      <c r="BO5" s="307">
        <f t="shared" si="1"/>
        <v>0</v>
      </c>
      <c r="BP5" s="307">
        <f t="shared" si="1"/>
        <v>0</v>
      </c>
      <c r="BQ5" s="307">
        <f t="shared" si="1"/>
        <v>378.24</v>
      </c>
      <c r="BR5" s="307">
        <f t="shared" si="1"/>
        <v>2769.8599999999997</v>
      </c>
      <c r="BS5" s="307">
        <f t="shared" si="1"/>
        <v>0</v>
      </c>
      <c r="BT5" s="308">
        <f t="shared" si="1"/>
        <v>0</v>
      </c>
    </row>
    <row r="6" spans="1:72" s="1169" customFormat="1" ht="12.75">
      <c r="A6" s="83" t="s">
        <v>620</v>
      </c>
      <c r="B6" s="223"/>
      <c r="C6" s="223"/>
      <c r="D6" s="224"/>
      <c r="E6" s="305">
        <f>H6+AC6+AT6</f>
        <v>22211.31</v>
      </c>
      <c r="F6" s="305" t="s">
        <v>23</v>
      </c>
      <c r="G6" s="305" t="s">
        <v>25</v>
      </c>
      <c r="H6" s="309">
        <f>SUMIF(I$12:AB$12,"总值",I6:AB6)</f>
        <v>21643.34</v>
      </c>
      <c r="I6" s="305">
        <f t="shared" ref="I6:AB6" si="2">ROUND($A$3*I5/$B$3,2)</f>
        <v>15434.94</v>
      </c>
      <c r="J6" s="305">
        <f t="shared" si="2"/>
        <v>0</v>
      </c>
      <c r="K6" s="305">
        <f t="shared" si="2"/>
        <v>2936.28</v>
      </c>
      <c r="L6" s="305">
        <f t="shared" si="2"/>
        <v>0</v>
      </c>
      <c r="M6" s="305">
        <f t="shared" si="2"/>
        <v>3272.12</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567.97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68.239999999999995</v>
      </c>
      <c r="AM6" s="305">
        <f t="shared" si="3"/>
        <v>0</v>
      </c>
      <c r="AN6" s="305">
        <f t="shared" si="3"/>
        <v>499.73</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22211.31</v>
      </c>
      <c r="AZ6" s="305" t="s">
        <v>29</v>
      </c>
      <c r="BA6" s="305">
        <f>ROUND($AY$6*BA5/$AZ$5,2)</f>
        <v>21643.34</v>
      </c>
      <c r="BB6" s="305">
        <f>ROUND($AY$6*BB5/$AZ$5,2)</f>
        <v>15434.94</v>
      </c>
      <c r="BC6" s="305">
        <f t="shared" ref="BC6:BH6" si="4">ROUND($AY$6*BC5/$AZ$5,2)</f>
        <v>2936.28</v>
      </c>
      <c r="BD6" s="305">
        <f t="shared" si="4"/>
        <v>3272.12</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567.97</v>
      </c>
      <c r="BM6" s="305">
        <f t="shared" si="5"/>
        <v>0</v>
      </c>
      <c r="BN6" s="305">
        <f t="shared" si="5"/>
        <v>0</v>
      </c>
      <c r="BO6" s="305">
        <f t="shared" si="5"/>
        <v>0</v>
      </c>
      <c r="BP6" s="305">
        <f t="shared" si="5"/>
        <v>0</v>
      </c>
      <c r="BQ6" s="305">
        <f t="shared" si="5"/>
        <v>68.239999999999995</v>
      </c>
      <c r="BR6" s="305">
        <f t="shared" si="5"/>
        <v>499.73</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3073</v>
      </c>
      <c r="J9" s="245"/>
      <c r="K9" s="244" t="s">
        <v>3076</v>
      </c>
      <c r="L9" s="245"/>
      <c r="M9" s="244" t="s">
        <v>3076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3047</v>
      </c>
      <c r="J10" s="245"/>
      <c r="K10" s="252" t="s">
        <v>3077</v>
      </c>
      <c r="L10" s="245"/>
      <c r="M10" s="252" t="s">
        <v>3047</v>
      </c>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3074</v>
      </c>
      <c r="J11" s="259"/>
      <c r="K11" s="258" t="s">
        <v>3078</v>
      </c>
      <c r="L11" s="259"/>
      <c r="M11" s="258"/>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3072</v>
      </c>
      <c r="D13" s="217" t="s">
        <v>3058</v>
      </c>
      <c r="E13" s="305">
        <f>IF($C$3="是",ROUND($A$3*G13/$B$3,2),ROUND($A$3*(G13-AT13)/$B$3,2))</f>
        <v>15434.94</v>
      </c>
      <c r="F13" s="321"/>
      <c r="G13" s="322">
        <f>H13+AC13+AT13</f>
        <v>85551.93</v>
      </c>
      <c r="H13" s="309">
        <f>SUMIF(I$12:AB$12,"总值",I13:AB13)</f>
        <v>85551.93</v>
      </c>
      <c r="I13" s="1416">
        <f>SUM(Sheet1!I31:I36)</f>
        <v>85551.93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商场</v>
      </c>
      <c r="AY13" s="304">
        <f>ROUND($AY$6*AZ13/$AZ$5,2)</f>
        <v>15434.94</v>
      </c>
      <c r="AZ13" s="305">
        <f>BA13+BL13</f>
        <v>85551.93</v>
      </c>
      <c r="BA13" s="305">
        <f>SUM(BB13:BK13)</f>
        <v>85551.93</v>
      </c>
      <c r="BB13" s="305">
        <f>IF($D13="是",I13-J13,0)</f>
        <v>85551.93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t="s">
        <v>3075</v>
      </c>
      <c r="D14" s="217" t="s">
        <v>3058</v>
      </c>
      <c r="E14" s="305">
        <f>IF($C$3="是",ROUND($A$3*G14/$B$3,2),ROUND($A$3*(G14-AT14)/$B$3,2))</f>
        <v>2936.28</v>
      </c>
      <c r="F14" s="321"/>
      <c r="G14" s="322">
        <f>H14+AC14+AT14</f>
        <v>16275.059999999998</v>
      </c>
      <c r="H14" s="309">
        <f>SUMIF(I$12:AB$12,"总值",I14:AB14)</f>
        <v>16275.059999999998</v>
      </c>
      <c r="I14" s="1416"/>
      <c r="J14" s="1416"/>
      <c r="K14" s="1416">
        <v>16275.059999999998</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地下车库</v>
      </c>
      <c r="AY14" s="304">
        <f>ROUND($AY$6*AZ14/$AZ$5,2)</f>
        <v>2936.28</v>
      </c>
      <c r="AZ14" s="305">
        <f>BA14+BL14</f>
        <v>16275.059999999998</v>
      </c>
      <c r="BA14" s="305">
        <f>SUM(BB14:BK14)</f>
        <v>16275.059999999998</v>
      </c>
      <c r="BB14" s="305">
        <f>IF($D14="是",I14-J14,0)</f>
        <v>0</v>
      </c>
      <c r="BC14" s="305">
        <f>IF($D14="是",K14-L14,0)</f>
        <v>16275.059999999998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3079</v>
      </c>
      <c r="D15" s="217" t="s">
        <v>3058</v>
      </c>
      <c r="E15" s="305">
        <f>IF($C$3="是",ROUND($A$3*G15/$B$3,2),ROUND($A$3*(G15-AT15)/$B$3,2))</f>
        <v>567.97</v>
      </c>
      <c r="F15" s="321"/>
      <c r="G15" s="322">
        <f>H15+AC15+AT15</f>
        <v>3148.0999999999995</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3148.0999999999995</v>
      </c>
      <c r="AD15" s="1417"/>
      <c r="AE15" s="1417"/>
      <c r="AF15" s="1417"/>
      <c r="AG15" s="1417"/>
      <c r="AH15" s="1417"/>
      <c r="AI15" s="1417"/>
      <c r="AJ15" s="1417"/>
      <c r="AK15" s="1417"/>
      <c r="AL15" s="1417">
        <v>378.24</v>
      </c>
      <c r="AM15" s="1417"/>
      <c r="AN15" s="1417">
        <f>2434.54+713.43-AL15+0.13</f>
        <v>2769.8599999999997</v>
      </c>
      <c r="AO15" s="1417"/>
      <c r="AP15" s="1417"/>
      <c r="AQ15" s="1417"/>
      <c r="AR15" s="1417"/>
      <c r="AS15" s="1417"/>
      <c r="AT15" s="1418"/>
      <c r="AU15" s="215"/>
      <c r="AV15" s="82">
        <f t="shared" si="6"/>
        <v>0</v>
      </c>
      <c r="AW15" s="82">
        <f t="shared" si="6"/>
        <v>0</v>
      </c>
      <c r="AX15" s="82" t="str">
        <f t="shared" si="6"/>
        <v>设备用房</v>
      </c>
      <c r="AY15" s="304">
        <f>ROUND($AY$6*AZ15/$AZ$5,2)</f>
        <v>567.97</v>
      </c>
      <c r="AZ15" s="305">
        <f>BA15+BL15</f>
        <v>3148.0999999999995</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3148.0999999999995</v>
      </c>
      <c r="BM15" s="305">
        <f>IF($D15="是",AD15-AE15,0)</f>
        <v>0</v>
      </c>
      <c r="BN15" s="305">
        <f>IF($D15="是",AF15-AG15,0)</f>
        <v>0</v>
      </c>
      <c r="BO15" s="305">
        <f>IF($D15="是",AH15-AI15,0)</f>
        <v>0</v>
      </c>
      <c r="BP15" s="305">
        <f>IF($D15="是",AJ15-AK15,0)</f>
        <v>0</v>
      </c>
      <c r="BQ15" s="305">
        <f>IF($D15="是",AL15-AM15,0)</f>
        <v>378.24</v>
      </c>
      <c r="BR15" s="305">
        <f>IF($D15="是",AN15-AO15,0)</f>
        <v>2769.8599999999997</v>
      </c>
      <c r="BS15" s="305">
        <f>IF($D15="是",AP15-AQ15,0)</f>
        <v>0</v>
      </c>
      <c r="BT15" s="311">
        <f>IF($D15="是",AR15-AS15,0)</f>
        <v>0</v>
      </c>
    </row>
    <row r="16" spans="1:72" s="1163" customFormat="1" ht="12.75">
      <c r="A16" s="216"/>
      <c r="B16" s="216"/>
      <c r="C16" s="1415" t="s">
        <v>3129</v>
      </c>
      <c r="D16" s="217" t="s">
        <v>3058</v>
      </c>
      <c r="E16" s="305">
        <f>IF($C$3="是",ROUND($A$3*G16/$B$3,2),ROUND($A$3*(G16-AT16)/$B$3,2))</f>
        <v>3272.12</v>
      </c>
      <c r="F16" s="321"/>
      <c r="G16" s="322">
        <f>H16+AC16+AT16</f>
        <v>18136.540000000008</v>
      </c>
      <c r="H16" s="309">
        <f>SUMIF(I$12:AB$12,"总值",I16:AB16)</f>
        <v>18136.540000000008</v>
      </c>
      <c r="I16" s="1416"/>
      <c r="J16" s="1416"/>
      <c r="K16" s="1416"/>
      <c r="L16" s="1416"/>
      <c r="M16" s="1416">
        <f>Sheet1!K32</f>
        <v>18136.540000000008</v>
      </c>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地下商业</v>
      </c>
      <c r="AY16" s="304">
        <f>ROUND($AY$6*AZ16/$AZ$5,2)</f>
        <v>3272.12</v>
      </c>
      <c r="AZ16" s="305">
        <f>BA16+BL16</f>
        <v>18136.540000000008</v>
      </c>
      <c r="BA16" s="305">
        <f>SUM(BB16:BK16)</f>
        <v>18136.540000000008</v>
      </c>
      <c r="BB16" s="305">
        <f>IF($D16="是",I16-J16,0)</f>
        <v>0</v>
      </c>
      <c r="BC16" s="305">
        <f>IF($D16="是",K16-L16,0)</f>
        <v>0</v>
      </c>
      <c r="BD16" s="305">
        <f>IF($D16="是",M16-N16,0)</f>
        <v>18136.540000000008</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5" t="s">
        <v>2</v>
      </c>
      <c r="B1" s="3385" t="s">
        <v>37</v>
      </c>
      <c r="C1" s="3385" t="s">
        <v>38</v>
      </c>
      <c r="D1" s="3442" t="s">
        <v>200</v>
      </c>
      <c r="E1" s="3442" t="s">
        <v>201</v>
      </c>
      <c r="F1" s="3442"/>
      <c r="G1" s="3442"/>
      <c r="H1" s="3442"/>
      <c r="I1" s="3442"/>
      <c r="J1" s="3442"/>
      <c r="K1" s="3442"/>
      <c r="L1" s="3442"/>
      <c r="M1" s="3442"/>
    </row>
    <row r="2" spans="1:13" ht="27" customHeight="1">
      <c r="A2" s="3385"/>
      <c r="B2" s="3385"/>
      <c r="C2" s="3385"/>
      <c r="D2" s="3442"/>
      <c r="E2" s="3442" t="s">
        <v>184</v>
      </c>
      <c r="F2" s="3442" t="s">
        <v>185</v>
      </c>
      <c r="G2" s="3442"/>
      <c r="H2" s="3442"/>
      <c r="I2" s="3442"/>
      <c r="J2" s="3442" t="s">
        <v>186</v>
      </c>
      <c r="K2" s="3442"/>
      <c r="L2" s="3442"/>
      <c r="M2" s="3442"/>
    </row>
    <row r="3" spans="1:13" ht="28.5">
      <c r="A3" s="3385"/>
      <c r="B3" s="3385"/>
      <c r="C3" s="3385"/>
      <c r="D3" s="3442"/>
      <c r="E3" s="344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202</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I27" sqref="I27"/>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52" t="s">
        <v>644</v>
      </c>
      <c r="B2" s="3452"/>
      <c r="C2" s="3452"/>
      <c r="D2" s="2209" t="s">
        <v>645</v>
      </c>
      <c r="E2" s="19" t="s">
        <v>646</v>
      </c>
      <c r="F2" s="2225"/>
      <c r="G2" s="1178"/>
      <c r="H2" s="1179"/>
      <c r="I2" s="2217" t="s">
        <v>647</v>
      </c>
      <c r="J2" s="2225"/>
      <c r="K2" s="2225"/>
      <c r="L2" s="2225"/>
      <c r="M2" s="2225"/>
      <c r="N2" s="2234"/>
      <c r="O2" s="2225"/>
      <c r="P2" s="2225"/>
    </row>
    <row r="3" spans="1:16" ht="15.75" thickBot="1">
      <c r="A3" s="3453" t="s">
        <v>648</v>
      </c>
      <c r="B3" s="3453"/>
      <c r="C3" s="3453"/>
      <c r="D3" s="335">
        <f>'数据-基础表'!AY6</f>
        <v>22211.31</v>
      </c>
      <c r="E3" s="335">
        <f>'数据-基础表'!AZ5</f>
        <v>123111.63</v>
      </c>
      <c r="F3" s="2225"/>
      <c r="G3" s="442"/>
      <c r="H3" s="440" t="s">
        <v>649</v>
      </c>
      <c r="I3" s="344">
        <f>ROUND('数据-基础表'!B3/'数据-基础表'!A3,2)</f>
        <v>5.54</v>
      </c>
      <c r="J3" s="2225"/>
      <c r="K3" s="2225"/>
      <c r="L3" s="2225"/>
      <c r="M3" s="2225"/>
      <c r="N3" s="2234"/>
      <c r="O3" s="2225"/>
      <c r="P3" s="2225"/>
    </row>
    <row r="4" spans="1:16" ht="14.25">
      <c r="A4" s="3454"/>
      <c r="B4" s="3455"/>
      <c r="C4" s="3456"/>
      <c r="D4" s="20" t="s">
        <v>645</v>
      </c>
      <c r="E4" s="21" t="s">
        <v>646</v>
      </c>
      <c r="F4" s="2225"/>
      <c r="G4" s="1180" t="s">
        <v>1793</v>
      </c>
      <c r="H4" s="440" t="s">
        <v>650</v>
      </c>
      <c r="I4" s="344">
        <f>ROUND(SUMIF('数据-基础表'!I9:AS9,"地上",'数据-基础表'!I5:AS5)/'数据-基础表'!A3,2)</f>
        <v>3.87</v>
      </c>
      <c r="J4" s="2225"/>
      <c r="K4" s="2225"/>
      <c r="L4" s="2225"/>
      <c r="M4" s="2225"/>
      <c r="N4" s="2234"/>
      <c r="O4" s="2225"/>
      <c r="P4" s="2225"/>
    </row>
    <row r="5" spans="1:16" ht="14.25">
      <c r="A5" s="22" t="s">
        <v>651</v>
      </c>
      <c r="B5" s="3457" t="s">
        <v>652</v>
      </c>
      <c r="C5" s="3457"/>
      <c r="D5" s="337">
        <f>ROUND($D$3*E5/$E$3,2)</f>
        <v>0</v>
      </c>
      <c r="E5" s="338">
        <f>SUMIF('数据-基础表'!$11:$11,"住宅",'数据-基础表'!$5:$5)</f>
        <v>0</v>
      </c>
      <c r="F5" s="2225"/>
      <c r="G5" s="442"/>
      <c r="H5" s="440" t="s">
        <v>649</v>
      </c>
      <c r="I5" s="344">
        <f>ROUND(E31/D31,2)</f>
        <v>5.54</v>
      </c>
      <c r="J5" s="2225"/>
      <c r="K5" s="2225"/>
      <c r="L5" s="2225"/>
      <c r="M5" s="2225"/>
      <c r="N5" s="2225"/>
      <c r="O5" s="2225"/>
      <c r="P5" s="2225"/>
    </row>
    <row r="6" spans="1:16" ht="15" thickBot="1">
      <c r="A6" s="24"/>
      <c r="B6" s="3457" t="s">
        <v>653</v>
      </c>
      <c r="C6" s="3457"/>
      <c r="D6" s="337">
        <f>ROUND($D$3*E6/$E$3,2)</f>
        <v>22211.31</v>
      </c>
      <c r="E6" s="338">
        <f>E3-E5</f>
        <v>123111.63</v>
      </c>
      <c r="F6" s="2225"/>
      <c r="G6" s="1759" t="s">
        <v>1794</v>
      </c>
      <c r="H6" s="442" t="s">
        <v>650</v>
      </c>
      <c r="I6" s="1760">
        <f>ROUND(F31/D31,2)</f>
        <v>3.87</v>
      </c>
      <c r="J6" s="2225"/>
      <c r="K6" s="2225"/>
      <c r="L6" s="2225"/>
      <c r="M6" s="2225"/>
      <c r="N6" s="2225"/>
      <c r="O6" s="2225"/>
      <c r="P6" s="2225"/>
    </row>
    <row r="7" spans="1:16" ht="14.25">
      <c r="A7" s="3449"/>
      <c r="B7" s="3450"/>
      <c r="C7" s="3451"/>
      <c r="D7" s="20" t="s">
        <v>645</v>
      </c>
      <c r="E7" s="25" t="s">
        <v>646</v>
      </c>
      <c r="F7" s="2225"/>
      <c r="G7" s="1178" t="s">
        <v>1873</v>
      </c>
      <c r="H7" s="38"/>
      <c r="I7" s="761">
        <f>I6</f>
        <v>3.87</v>
      </c>
      <c r="J7" s="2225"/>
      <c r="K7" s="2225"/>
      <c r="L7" s="2225"/>
      <c r="M7" s="2225"/>
      <c r="N7" s="2225"/>
      <c r="O7" s="2225"/>
      <c r="P7" s="2225"/>
    </row>
    <row r="8" spans="1:16" ht="14.25">
      <c r="A8" s="22" t="s">
        <v>654</v>
      </c>
      <c r="B8" s="26" t="s">
        <v>655</v>
      </c>
      <c r="C8" s="23" t="s">
        <v>656</v>
      </c>
      <c r="D8" s="337">
        <f t="shared" ref="D8:D15" si="0">ROUND($D$3*E8/$E$3,2)</f>
        <v>15434.94</v>
      </c>
      <c r="E8" s="340">
        <f>SUMIF('数据-基础表'!BB10:BK10,"地上",'数据-基础表'!BB5:BK5)</f>
        <v>85551.93</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3272.12</v>
      </c>
      <c r="E10" s="340">
        <f>SUMPRODUCT(('数据-基础表'!BB10:BK10="地下")*('数据-基础表'!BB11:BK11="商业")*('数据-基础表'!BB5:BK5))</f>
        <v>18136.540000000008</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2936.28</v>
      </c>
      <c r="E14" s="340">
        <f>SUMPRODUCT(('数据-基础表'!BB10:BK10="地下")*('数据-基础表'!BB11:BK11="车库—商业")*('数据-基础表'!BB5:BK5))</f>
        <v>16275.059999999998</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21643.34</v>
      </c>
      <c r="E16" s="342">
        <f>SUM(E8:E15)</f>
        <v>119963.53</v>
      </c>
      <c r="F16" s="2225"/>
      <c r="G16" s="2226"/>
      <c r="H16" s="1177" t="s">
        <v>534</v>
      </c>
      <c r="I16" s="1181"/>
      <c r="J16" s="2225"/>
      <c r="K16" s="3446" t="s">
        <v>534</v>
      </c>
      <c r="L16" s="3447"/>
      <c r="M16" s="3447"/>
      <c r="N16" s="3447"/>
      <c r="O16" s="3447"/>
      <c r="P16" s="3448"/>
    </row>
    <row r="17" spans="1:19" ht="14.25">
      <c r="A17" s="29" t="s">
        <v>664</v>
      </c>
      <c r="B17" s="30" t="s">
        <v>665</v>
      </c>
      <c r="C17" s="34" t="s">
        <v>2394</v>
      </c>
      <c r="D17" s="2075" t="s">
        <v>645</v>
      </c>
      <c r="E17" s="2073" t="s">
        <v>646</v>
      </c>
      <c r="F17" s="36"/>
      <c r="G17" s="37"/>
      <c r="H17" s="1182" t="s">
        <v>666</v>
      </c>
      <c r="I17" s="1183" t="s">
        <v>207</v>
      </c>
      <c r="J17" s="2225"/>
      <c r="K17" s="3443" t="s">
        <v>672</v>
      </c>
      <c r="L17" s="3444"/>
      <c r="M17" s="3445"/>
      <c r="N17" s="3443" t="s">
        <v>2697</v>
      </c>
      <c r="O17" s="3444"/>
      <c r="P17" s="3445"/>
      <c r="R17" s="2485" t="s">
        <v>2395</v>
      </c>
      <c r="S17" s="354"/>
    </row>
    <row r="18" spans="1:19">
      <c r="A18" s="27"/>
      <c r="B18" s="31"/>
      <c r="C18" s="35"/>
      <c r="D18" s="2076"/>
      <c r="E18" s="2074" t="s">
        <v>667</v>
      </c>
      <c r="F18" s="15" t="s">
        <v>668</v>
      </c>
      <c r="G18" s="16" t="s">
        <v>669</v>
      </c>
      <c r="H18" s="1184" t="s">
        <v>670</v>
      </c>
      <c r="I18" s="1185" t="s">
        <v>671</v>
      </c>
      <c r="J18" s="2225"/>
      <c r="K18" s="1184" t="s">
        <v>2690</v>
      </c>
      <c r="L18" s="6" t="s">
        <v>2698</v>
      </c>
      <c r="M18" s="2803" t="s">
        <v>2696</v>
      </c>
      <c r="N18" s="1184" t="s">
        <v>2690</v>
      </c>
      <c r="O18" s="6" t="s">
        <v>2698</v>
      </c>
      <c r="P18" s="2803" t="s">
        <v>2696</v>
      </c>
      <c r="R18" s="2486" t="s">
        <v>2396</v>
      </c>
      <c r="S18" s="2486" t="s">
        <v>2397</v>
      </c>
    </row>
    <row r="19" spans="1:19" ht="14.25">
      <c r="A19" s="32"/>
      <c r="B19" s="26" t="s">
        <v>119</v>
      </c>
      <c r="C19" s="1419" t="str">
        <f>'数据-基础表'!C13</f>
        <v>商场</v>
      </c>
      <c r="D19" s="337">
        <f>ROUND($D$3*E19/$E$3,2)</f>
        <v>18707.060000000001</v>
      </c>
      <c r="E19" s="345">
        <f t="shared" ref="E19:E26" si="1">SUM(F19:G19)</f>
        <v>103688.47</v>
      </c>
      <c r="F19" s="346">
        <f>'数据-基础表'!I13</f>
        <v>85551.93</v>
      </c>
      <c r="G19" s="347">
        <f>'数据-基础表'!M16</f>
        <v>18136.540000000008</v>
      </c>
      <c r="H19" s="1131">
        <f>ROUND($D$3*I19/$E$3,2)</f>
        <v>490.91</v>
      </c>
      <c r="I19" s="340">
        <f t="shared" ref="I19:I26" si="2">IF($I$17="自定义",P19,M19)</f>
        <v>2721.01</v>
      </c>
      <c r="J19" s="2225"/>
      <c r="K19" s="2804">
        <f t="shared" ref="K19:K26" si="3">ROUND(E$28*E19/E$27,2)</f>
        <v>2721.01</v>
      </c>
      <c r="L19" s="2487">
        <f t="shared" ref="L19:L26" si="4">ROUND(IF(COUNTIF(C19,"*住宅*")&gt;0,E$29*E19/E$32,0),2)</f>
        <v>0</v>
      </c>
      <c r="M19" s="2822">
        <f>K19+L19</f>
        <v>2721.01</v>
      </c>
      <c r="N19" s="2820"/>
      <c r="O19" s="2802"/>
      <c r="P19" s="2805">
        <f>N19+O19</f>
        <v>0</v>
      </c>
      <c r="R19" s="2487">
        <f t="shared" ref="R19:S26" si="5">D19+H19</f>
        <v>19197.97</v>
      </c>
      <c r="S19" s="2488">
        <f t="shared" si="5"/>
        <v>106409.48</v>
      </c>
    </row>
    <row r="20" spans="1:19" ht="14.25">
      <c r="A20" s="33"/>
      <c r="B20" s="26" t="s">
        <v>638</v>
      </c>
      <c r="C20" s="1419" t="str">
        <f>'数据-基础表'!C14</f>
        <v>地下车库</v>
      </c>
      <c r="D20" s="337">
        <f t="shared" ref="D20:D26" si="6">ROUND($D$3*E20/$E$3,2)</f>
        <v>2936.28</v>
      </c>
      <c r="E20" s="345">
        <f t="shared" si="1"/>
        <v>16275.059999999998</v>
      </c>
      <c r="F20" s="346"/>
      <c r="G20" s="347">
        <f>'数据-基础表'!K14</f>
        <v>16275.059999999998</v>
      </c>
      <c r="H20" s="1131">
        <f t="shared" ref="H20:H26" si="7">ROUND($D$3*I20/$E$3,2)</f>
        <v>77.05</v>
      </c>
      <c r="I20" s="340">
        <f t="shared" si="2"/>
        <v>427.09</v>
      </c>
      <c r="J20" s="2225"/>
      <c r="K20" s="2804">
        <f t="shared" si="3"/>
        <v>427.09</v>
      </c>
      <c r="L20" s="2487">
        <f t="shared" si="4"/>
        <v>0</v>
      </c>
      <c r="M20" s="2822">
        <f t="shared" ref="M20:M26" si="8">K20+L20</f>
        <v>427.09</v>
      </c>
      <c r="N20" s="2820"/>
      <c r="O20" s="2802"/>
      <c r="P20" s="2805">
        <f t="shared" ref="P20:P26" si="9">N20+O20</f>
        <v>0</v>
      </c>
      <c r="R20" s="2487">
        <f t="shared" si="5"/>
        <v>3013.3300000000004</v>
      </c>
      <c r="S20" s="2488">
        <f t="shared" si="5"/>
        <v>16702.149999999998</v>
      </c>
    </row>
    <row r="21" spans="1:19" ht="14.25" hidden="1">
      <c r="A21" s="33"/>
      <c r="B21" s="26" t="s">
        <v>638</v>
      </c>
      <c r="C21" s="1419"/>
      <c r="D21" s="337">
        <f t="shared" si="6"/>
        <v>0</v>
      </c>
      <c r="E21" s="345">
        <f t="shared" si="1"/>
        <v>0</v>
      </c>
      <c r="F21" s="346"/>
      <c r="G21" s="347"/>
      <c r="H21" s="1131">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hidden="1">
      <c r="A22" s="33"/>
      <c r="B22" s="26" t="s">
        <v>638</v>
      </c>
      <c r="C22" s="349"/>
      <c r="D22" s="337">
        <f t="shared" si="6"/>
        <v>0</v>
      </c>
      <c r="E22" s="345">
        <f t="shared" si="1"/>
        <v>0</v>
      </c>
      <c r="F22" s="350"/>
      <c r="G22" s="351"/>
      <c r="H22" s="1131">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hidden="1">
      <c r="A23" s="33"/>
      <c r="B23" s="26" t="s">
        <v>638</v>
      </c>
      <c r="C23" s="349"/>
      <c r="D23" s="337">
        <f>ROUND($D$3*E23/$E$3,2)</f>
        <v>0</v>
      </c>
      <c r="E23" s="345">
        <f>SUM(F23:G23)</f>
        <v>0</v>
      </c>
      <c r="F23" s="350"/>
      <c r="G23" s="351"/>
      <c r="H23" s="1131">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hidden="1">
      <c r="A24" s="33"/>
      <c r="B24" s="26" t="s">
        <v>638</v>
      </c>
      <c r="C24" s="349"/>
      <c r="D24" s="337">
        <f>ROUND($D$3*E24/$E$3,2)</f>
        <v>0</v>
      </c>
      <c r="E24" s="345">
        <f>SUM(F24:G24)</f>
        <v>0</v>
      </c>
      <c r="F24" s="350"/>
      <c r="G24" s="351"/>
      <c r="H24" s="1131">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hidden="1">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hidden="1">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29.25" thickBot="1">
      <c r="A27" s="33"/>
      <c r="B27" s="23"/>
      <c r="C27" s="2778" t="s">
        <v>639</v>
      </c>
      <c r="D27" s="2807">
        <f>SUM(D19:D26)</f>
        <v>21643.34</v>
      </c>
      <c r="E27" s="2808">
        <f>IF(SUM(E19:E26)='数据-基础表'!BA5,SUM(E19:E26),IF(F27="地上面积有误","面积有误","地下面积有误"))</f>
        <v>119963.53</v>
      </c>
      <c r="F27" s="2807">
        <f>IF(SUM(F19:F26)=E8,SUM(F19:F26),"地上面积有误")</f>
        <v>85551.93</v>
      </c>
      <c r="G27" s="2809">
        <f>SUM(G19:G26)</f>
        <v>34411.600000000006</v>
      </c>
      <c r="H27" s="2810">
        <f>SUM(H19:H26)</f>
        <v>567.96</v>
      </c>
      <c r="I27" s="2811">
        <f>SUM(I19:I26)</f>
        <v>3148.1000000000004</v>
      </c>
      <c r="J27" s="2225"/>
      <c r="K27" s="2817">
        <f>SUM(K19:K26)</f>
        <v>3148.1000000000004</v>
      </c>
      <c r="L27" s="2818">
        <f>SUM(L19:L26)</f>
        <v>0</v>
      </c>
      <c r="M27" s="2823">
        <f>SUM(M19:M26)</f>
        <v>3148.1000000000004</v>
      </c>
      <c r="N27" s="2817">
        <f t="shared" ref="N27:O27" si="10">SUM(N19:N26)</f>
        <v>0</v>
      </c>
      <c r="O27" s="2818">
        <f t="shared" si="10"/>
        <v>0</v>
      </c>
      <c r="P27" s="2819">
        <f>SUM(P19:P26)</f>
        <v>0</v>
      </c>
      <c r="R27" s="2489" t="str">
        <f>IF(SUM(R19:R26)=$D$3,SUM(R19:R26),SUM(R19:R26)&amp;"误差"&amp;ROUND(SUM(R19:R26)-$D$3,2))</f>
        <v>22211.3误差-0.01</v>
      </c>
      <c r="S27" s="2487">
        <f>IF(SUM(S19:S26)=$E$3,SUM(S19:S26),SUM(S19:S26)&amp;"误差"&amp;ROUND(SUM(S19:S26)-E3,2))</f>
        <v>123111.62999999999</v>
      </c>
    </row>
    <row r="28" spans="1:19" ht="14.25">
      <c r="A28" s="33"/>
      <c r="B28" s="26" t="s">
        <v>640</v>
      </c>
      <c r="C28" s="5" t="s">
        <v>641</v>
      </c>
      <c r="D28" s="337">
        <f>ROUND($D$3*E28/$E$3,2)</f>
        <v>567.97</v>
      </c>
      <c r="E28" s="345">
        <f>SUM(F28:G28)</f>
        <v>3148.0999999999995</v>
      </c>
      <c r="F28" s="354">
        <f>'数据-基础表'!BQ5+'数据-基础表'!BS5</f>
        <v>378.24</v>
      </c>
      <c r="G28" s="355">
        <f>'数据-基础表'!BR5+'数据-基础表'!BT5</f>
        <v>2769.8599999999997</v>
      </c>
      <c r="H28" s="2225"/>
      <c r="I28" s="2225"/>
      <c r="J28" s="2225"/>
      <c r="K28" s="2225"/>
      <c r="L28" s="2225"/>
      <c r="M28" s="2225"/>
      <c r="N28" s="2806"/>
      <c r="O28" s="2806"/>
      <c r="P28" s="2225"/>
    </row>
    <row r="29" spans="1:19" ht="14.25" hidden="1">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567.97</v>
      </c>
      <c r="E30" s="2807">
        <f>SUM(E28:E29)</f>
        <v>3148.0999999999995</v>
      </c>
      <c r="F30" s="2807">
        <f>SUM(F28:F29)</f>
        <v>378.24</v>
      </c>
      <c r="G30" s="2809">
        <f>SUM(G28:G29)</f>
        <v>2769.8599999999997</v>
      </c>
      <c r="H30" s="2225"/>
      <c r="I30" s="2225"/>
      <c r="J30" s="2225"/>
      <c r="K30" s="2225"/>
      <c r="L30" s="2225"/>
      <c r="M30" s="2225"/>
      <c r="N30" s="2806"/>
      <c r="O30" s="2806"/>
      <c r="P30" s="2225"/>
    </row>
    <row r="31" spans="1:19" ht="15.75" thickBot="1">
      <c r="A31" s="1186"/>
      <c r="B31" s="2526"/>
      <c r="C31" s="2527" t="s">
        <v>642</v>
      </c>
      <c r="D31" s="1187">
        <f>D27+D30</f>
        <v>22211.31</v>
      </c>
      <c r="E31" s="1187">
        <f>E27+E30</f>
        <v>123111.63</v>
      </c>
      <c r="F31" s="1188">
        <f>F27+F30</f>
        <v>85930.17</v>
      </c>
      <c r="G31" s="1189">
        <f>G27+G30</f>
        <v>37181.460000000006</v>
      </c>
      <c r="H31" s="2225"/>
      <c r="I31" s="2225"/>
      <c r="J31" s="2225"/>
      <c r="K31" s="2225"/>
      <c r="L31" s="2225"/>
      <c r="M31" s="2225"/>
      <c r="N31" s="2225"/>
      <c r="O31" s="2225"/>
      <c r="P31" s="2225"/>
    </row>
    <row r="32" spans="1:19" ht="14.25">
      <c r="A32" s="1180"/>
      <c r="B32" s="1180" t="s">
        <v>2711</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673</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674</v>
      </c>
      <c r="B2" s="2516">
        <f>项目基本情况!D3</f>
        <v>42962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675</v>
      </c>
      <c r="B4" s="275"/>
      <c r="C4" s="276"/>
      <c r="D4" s="1196"/>
      <c r="E4" s="276" t="s">
        <v>537</v>
      </c>
      <c r="F4" s="276"/>
      <c r="G4" s="276"/>
      <c r="H4" s="276"/>
      <c r="I4" s="276"/>
      <c r="J4" s="277"/>
      <c r="K4" s="1197"/>
      <c r="L4" s="1198"/>
      <c r="M4" s="276"/>
      <c r="N4" s="276" t="s">
        <v>538</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2691</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2682</v>
      </c>
      <c r="AP5" s="2891" t="s">
        <v>2692</v>
      </c>
      <c r="AQ5" s="2892" t="s">
        <v>2802</v>
      </c>
      <c r="AR5" s="2892" t="s">
        <v>2803</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商场</v>
      </c>
      <c r="B6" s="2493" t="str">
        <f>IF(A6=0,"","经营性")</f>
        <v>经营性</v>
      </c>
      <c r="C6" s="39" t="s">
        <v>3047</v>
      </c>
      <c r="D6" s="2056">
        <f>SUMIF(项目基本情况!D$12:I$12,C6,项目基本情况!D$14:I$14)</f>
        <v>40</v>
      </c>
      <c r="E6" s="2050">
        <f>IF(B6="","",SUMIF(项目基本情况!D$12:I$12,C6,项目基本情况!D$13:I$13))</f>
        <v>55485</v>
      </c>
      <c r="F6" s="362">
        <f>SUMIF(项目基本情况!D$12:I$12,C6,项目基本情况!D$15:I$15)</f>
        <v>34.299999999999997</v>
      </c>
      <c r="G6" s="363">
        <f>IF(ISERROR(ROUND(POWER(1+H6,D6-F6)*(POWER(1+H6,F6)-1)/(POWER(1+H6,D6)-1),3)),0,ROUND(POWER(1+H6,D6-F6)*(POWER(1+H6,F6)-1)/(POWER(1+H6,D6)-1),3))</f>
        <v>0.95299999999999996</v>
      </c>
      <c r="H6" s="1474">
        <v>5.5E-2</v>
      </c>
      <c r="I6" s="1474">
        <v>5.5E-2</v>
      </c>
      <c r="J6" s="364">
        <v>0.08</v>
      </c>
      <c r="K6" s="2496">
        <f>SUMIF('数据-汇总表'!C$19:C$33,A6,'数据-汇总表'!E$19:E$33)</f>
        <v>103688.47</v>
      </c>
      <c r="L6" s="1475">
        <v>3200</v>
      </c>
      <c r="M6" s="365">
        <f t="shared" ref="M6:M14" si="0">ROUND(K6*L6/10000,0)</f>
        <v>33180</v>
      </c>
      <c r="N6" s="1473">
        <v>0.98299999999999998</v>
      </c>
      <c r="O6" s="365" t="str">
        <f>IF($N$5="成新度","——",ROUND(M6*N6,0))</f>
        <v>——</v>
      </c>
      <c r="P6" s="366" t="str">
        <f>IF($N$5="成新度","——",M6-O6)</f>
        <v>——</v>
      </c>
      <c r="Q6" s="1476">
        <v>0.25</v>
      </c>
      <c r="R6" s="367">
        <f ca="1">SUMIF('数据-汇总表'!C$19:C$33,A6,'数据-汇总表'!R$19:R$27)</f>
        <v>19197.97</v>
      </c>
      <c r="S6" s="343">
        <f>IF('数据-汇总表'!$I$17="按面积比例",SUMIF('数据-汇总表'!C$19:C$33,A6,'数据-汇总表'!K$19:K$33),SUMIF('数据-汇总表'!C$19:C$33,A6,'数据-汇总表'!N$19:N$33))</f>
        <v>2721.01</v>
      </c>
      <c r="T6" s="2890">
        <f>ROUND($L$14*S6/10000,0)</f>
        <v>762</v>
      </c>
      <c r="U6" s="368">
        <v>4.8</v>
      </c>
      <c r="V6" s="369">
        <v>0.03</v>
      </c>
      <c r="W6" s="3368">
        <v>0.1</v>
      </c>
      <c r="X6" s="2506"/>
      <c r="Y6" s="370">
        <f>N6</f>
        <v>0.98299999999999998</v>
      </c>
      <c r="Z6" s="371"/>
      <c r="AA6" s="364"/>
      <c r="AB6" s="364"/>
      <c r="AC6" s="2506"/>
      <c r="AD6" s="372"/>
      <c r="AE6" s="2507">
        <f ca="1">IF(AN6="",0,SUMIF(INDIRECT("'"&amp;AN6&amp;"'"&amp;"!E:E"),$AE$5,INDIRECT("'"&amp;AN6&amp;"'"&amp;"!F:F")))</f>
        <v>34.299999999999997</v>
      </c>
      <c r="AF6" s="352"/>
      <c r="AG6" s="478">
        <f>IF(AF6="",0,AE6-AF6)</f>
        <v>0</v>
      </c>
      <c r="AH6" s="373"/>
      <c r="AI6" s="375">
        <v>365</v>
      </c>
      <c r="AJ6" s="376"/>
      <c r="AK6" s="377">
        <v>0.02</v>
      </c>
      <c r="AL6" s="378">
        <v>2E-3</v>
      </c>
      <c r="AM6" s="379">
        <v>1.4999999999999999E-2</v>
      </c>
      <c r="AN6" s="2576" t="s">
        <v>3113</v>
      </c>
      <c r="AO6" s="344">
        <f ca="1">SUMIF(INDIRECT("'"&amp;AN6&amp;"'"&amp;"!A:A"),"总价",INDIRECT("'"&amp;AN6&amp;"'"&amp;"!B:B"))</f>
        <v>306660</v>
      </c>
      <c r="AP6" s="2893">
        <f>IF(C6="住宅",K6*L6,0)</f>
        <v>0</v>
      </c>
      <c r="AQ6" s="344">
        <f>ROUND($L$14*$N$14*S6/10000,0)</f>
        <v>749</v>
      </c>
      <c r="AR6" s="344">
        <f>ROUND($L$14*(1-$N$14)*S6/10000,0)</f>
        <v>13</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地下车库</v>
      </c>
      <c r="B7" s="2493" t="str">
        <f t="shared" ref="B7:B13" si="1">IF(A7=0,"","经营性")</f>
        <v>经营性</v>
      </c>
      <c r="C7" s="39" t="s">
        <v>3078</v>
      </c>
      <c r="D7" s="2056">
        <f>SUMIF(项目基本情况!D$12:I$12,C7,项目基本情况!D$14:I$14)</f>
        <v>50</v>
      </c>
      <c r="E7" s="2050">
        <f>IF(B7="","",SUMIF(项目基本情况!D$12:I$12,C7,项目基本情况!D$13:I$13))</f>
        <v>59138</v>
      </c>
      <c r="F7" s="362">
        <f>SUMIF(项目基本情况!D$12:I$12,C7,项目基本情况!D$15:I$15)</f>
        <v>44.31</v>
      </c>
      <c r="G7" s="363">
        <f t="shared" ref="G7:G11" si="2">IF(ISERROR(ROUND(POWER(1+H7,D7-F7)*(POWER(1+H7,F7)-1)/(POWER(1+H7,D7)-1),3)),0,ROUND(POWER(1+H7,D7-F7)*(POWER(1+H7,F7)-1)/(POWER(1+H7,D7)-1),3))</f>
        <v>0.96499999999999997</v>
      </c>
      <c r="H7" s="1474">
        <v>4.4999999999999998E-2</v>
      </c>
      <c r="I7" s="1474">
        <v>0.05</v>
      </c>
      <c r="J7" s="364">
        <f>J6</f>
        <v>0.08</v>
      </c>
      <c r="K7" s="2496">
        <f>SUMIF('数据-汇总表'!C$19:C$33,A7,'数据-汇总表'!E$19:E$33)</f>
        <v>16275.059999999998</v>
      </c>
      <c r="L7" s="1475">
        <v>2800</v>
      </c>
      <c r="M7" s="365">
        <f t="shared" si="0"/>
        <v>4557</v>
      </c>
      <c r="N7" s="1473">
        <f>N6</f>
        <v>0.98299999999999998</v>
      </c>
      <c r="O7" s="365" t="str">
        <f t="shared" ref="O7:O14" si="3">IF($N$5="成新度","——",ROUND(M7*N7,0))</f>
        <v>——</v>
      </c>
      <c r="P7" s="366" t="str">
        <f t="shared" ref="P7:P14" si="4">IF($N$5="成新度","——",M7-O7)</f>
        <v>——</v>
      </c>
      <c r="Q7" s="1476">
        <v>0.1</v>
      </c>
      <c r="R7" s="367">
        <f ca="1">SUMIF('数据-汇总表'!C$19:C$33,A7,'数据-汇总表'!R$19:R$27)</f>
        <v>3013.3300000000004</v>
      </c>
      <c r="S7" s="343">
        <f>IF('数据-汇总表'!$I$17="按面积比例",SUMIF('数据-汇总表'!C$19:C$33,A7,'数据-汇总表'!K$19:K$33),SUMIF('数据-汇总表'!C$19:C$33,A7,'数据-汇总表'!N$19:N$33))</f>
        <v>427.09</v>
      </c>
      <c r="T7" s="2890">
        <f t="shared" ref="T7:T13" si="5">ROUND($L$14*S7/10000,0)</f>
        <v>120</v>
      </c>
      <c r="U7" s="368">
        <v>0.7</v>
      </c>
      <c r="V7" s="369">
        <v>0.01</v>
      </c>
      <c r="W7" s="369">
        <v>0.1</v>
      </c>
      <c r="X7" s="2506"/>
      <c r="Y7" s="370">
        <f>N7</f>
        <v>0.98299999999999998</v>
      </c>
      <c r="Z7" s="371"/>
      <c r="AA7" s="364"/>
      <c r="AB7" s="364"/>
      <c r="AC7" s="2506"/>
      <c r="AD7" s="372"/>
      <c r="AE7" s="2507">
        <f t="shared" ref="AE7:AE13" ca="1" si="6">IF(AN7="",0,SUMIF(INDIRECT("'"&amp;AN7&amp;"'"&amp;"!E:E"),$AE$5,INDIRECT("'"&amp;AN7&amp;"'"&amp;"!F:F")))</f>
        <v>44.31</v>
      </c>
      <c r="AF7" s="352"/>
      <c r="AG7" s="478">
        <f t="shared" ref="AG7:AG13" si="7">IF(AF7="",0,AE7-AF7)</f>
        <v>0</v>
      </c>
      <c r="AH7" s="373"/>
      <c r="AI7" s="375">
        <v>365</v>
      </c>
      <c r="AJ7" s="376"/>
      <c r="AK7" s="377">
        <f>AK6</f>
        <v>0.02</v>
      </c>
      <c r="AL7" s="378">
        <f>AL6</f>
        <v>2E-3</v>
      </c>
      <c r="AM7" s="379">
        <f>AM6</f>
        <v>1.4999999999999999E-2</v>
      </c>
      <c r="AN7" s="2576" t="s">
        <v>3097</v>
      </c>
      <c r="AO7" s="344">
        <f t="shared" ref="AO7:AO13" ca="1" si="8">SUMIF(INDIRECT("'"&amp;AN7&amp;"'"&amp;"!A:A"),"总价",INDIRECT("'"&amp;AN7&amp;"'"&amp;"!B:B"))</f>
        <v>3049</v>
      </c>
      <c r="AP7" s="2893">
        <f t="shared" ref="AP7:AP13" si="9">IF(C7="住宅",K7*L7,0)</f>
        <v>0</v>
      </c>
      <c r="AQ7" s="344">
        <f t="shared" ref="AQ7:AQ13" si="10">ROUND($L$14*$N$14*S7/10000,0)</f>
        <v>118</v>
      </c>
      <c r="AR7" s="344">
        <f t="shared" ref="AR7:AR13" si="11">ROUND($L$14*(1-$N$14)*S7/10000,0)</f>
        <v>2</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8">
        <f t="shared" si="7"/>
        <v>0</v>
      </c>
      <c r="AH8" s="1480"/>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536</v>
      </c>
      <c r="B14" s="2493" t="s">
        <v>535</v>
      </c>
      <c r="C14" s="2494" t="s">
        <v>536</v>
      </c>
      <c r="D14" s="2056"/>
      <c r="E14" s="2050"/>
      <c r="F14" s="362"/>
      <c r="G14" s="363"/>
      <c r="H14" s="2495"/>
      <c r="I14" s="2495"/>
      <c r="J14" s="2495"/>
      <c r="K14" s="2496">
        <f>SUMIF('数据-汇总表'!C$19:C$33,A14,'数据-汇总表'!E$19:E$33)</f>
        <v>3148.0999999999995</v>
      </c>
      <c r="L14" s="381">
        <f>L7</f>
        <v>2800</v>
      </c>
      <c r="M14" s="365">
        <f t="shared" si="0"/>
        <v>881</v>
      </c>
      <c r="N14" s="382">
        <f>N7</f>
        <v>0.98299999999999998</v>
      </c>
      <c r="O14" s="365" t="str">
        <f t="shared" si="3"/>
        <v>——</v>
      </c>
      <c r="P14" s="366" t="str">
        <f t="shared" si="4"/>
        <v>——</v>
      </c>
      <c r="Q14" s="2499"/>
      <c r="R14" s="367"/>
      <c r="S14" s="343"/>
      <c r="T14" s="2890"/>
      <c r="U14" s="1131"/>
      <c r="V14" s="2501"/>
      <c r="W14" s="2501"/>
      <c r="X14" s="2502"/>
      <c r="Y14" s="2503"/>
      <c r="Z14" s="2504"/>
      <c r="AA14" s="2505"/>
      <c r="AB14" s="2505"/>
      <c r="AC14" s="2506"/>
      <c r="AD14" s="2502"/>
      <c r="AE14" s="2507"/>
      <c r="AF14" s="344"/>
      <c r="AG14" s="478"/>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2399</v>
      </c>
      <c r="B15" s="2493" t="s">
        <v>535</v>
      </c>
      <c r="C15" s="2494" t="s">
        <v>2104</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1"/>
      <c r="V15" s="2501"/>
      <c r="W15" s="2501"/>
      <c r="X15" s="2502"/>
      <c r="Y15" s="2503"/>
      <c r="Z15" s="2504"/>
      <c r="AA15" s="2505"/>
      <c r="AB15" s="2505"/>
      <c r="AC15" s="2506"/>
      <c r="AD15" s="2502"/>
      <c r="AE15" s="2507"/>
      <c r="AF15" s="344"/>
      <c r="AG15" s="478"/>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0.95499999999999996</v>
      </c>
      <c r="H16" s="389">
        <f>ROUND(SUMPRODUCT(H6:H13,K6:K13)/SUMPRODUCT((H6:H13&gt;0)*(K6:K13)),3)</f>
        <v>5.3999999999999999E-2</v>
      </c>
      <c r="I16" s="390"/>
      <c r="J16" s="390"/>
      <c r="K16" s="391">
        <f>SUM(K6:K15)</f>
        <v>123111.63</v>
      </c>
      <c r="L16" s="392">
        <f>ROUND(M16*10000/SUM(K6:K14),0)</f>
        <v>3137</v>
      </c>
      <c r="M16" s="392">
        <f>SUM(M6:M14)</f>
        <v>38618</v>
      </c>
      <c r="N16" s="393">
        <f>ROUND(SUMPRODUCT(M6:M14,N6:N14)/M16,3)</f>
        <v>0.98299999999999998</v>
      </c>
      <c r="O16" s="392">
        <f>SUM(O6:O14)</f>
        <v>0</v>
      </c>
      <c r="P16" s="392">
        <f>SUM(P6:P14)</f>
        <v>0</v>
      </c>
      <c r="Q16" s="394">
        <f>ROUND(SUMPRODUCT(Q6:Q13,K6:K13)/SUMPRODUCT((Q6:Q13&gt;0)*(K6:K13)),2)</f>
        <v>0.23</v>
      </c>
      <c r="R16" s="2500">
        <f ca="1">SUM(R6:R13)</f>
        <v>22211.300000000003</v>
      </c>
      <c r="S16" s="395">
        <f>SUM(S6:S13)</f>
        <v>3148.1000000000004</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2.5</v>
      </c>
      <c r="C20" s="2232" t="s">
        <v>2416</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f>B20</f>
        <v>2.5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411">
        <f ca="1">成本法!C10</f>
        <v>2462</v>
      </c>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713</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715</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716</v>
      </c>
      <c r="B33" s="1134">
        <v>0.03</v>
      </c>
      <c r="C33" s="3289" t="s">
        <v>3007</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717</v>
      </c>
      <c r="B34" s="412">
        <v>0.05</v>
      </c>
      <c r="C34" s="3289" t="s">
        <v>3008</v>
      </c>
      <c r="D34" s="2233" t="s">
        <v>718</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719</v>
      </c>
      <c r="B35" s="409">
        <v>200</v>
      </c>
      <c r="C35" s="3289" t="s">
        <v>3009</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3010</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3011</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3011</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2544</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2620</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3013</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3012</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3037</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3038</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3039</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3014</v>
      </c>
      <c r="D53" s="2237" t="s">
        <v>3018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8" t="s">
        <v>751</v>
      </c>
      <c r="B1" s="3459"/>
      <c r="C1" s="3459"/>
      <c r="D1" s="3459"/>
      <c r="E1" s="3459"/>
      <c r="F1" s="3459"/>
      <c r="G1" s="345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40.5">
      <c r="A3" s="1019" t="s">
        <v>754</v>
      </c>
      <c r="B3" s="51" t="s">
        <v>52</v>
      </c>
      <c r="C3" s="3291"/>
      <c r="D3" s="2256"/>
      <c r="E3" s="1028" t="s">
        <v>754</v>
      </c>
      <c r="F3" s="1212" t="s">
        <v>99</v>
      </c>
      <c r="G3" s="3295" t="s">
        <v>3021</v>
      </c>
      <c r="H3" s="2255"/>
      <c r="I3" s="2255"/>
      <c r="J3" s="2255"/>
      <c r="K3" s="2255"/>
      <c r="L3" s="2255"/>
      <c r="M3" s="2255"/>
      <c r="N3" s="2255"/>
      <c r="O3" s="2255"/>
      <c r="P3" s="2255"/>
      <c r="Q3" s="2255"/>
      <c r="R3" s="2255"/>
    </row>
    <row r="4" spans="1:29" ht="54">
      <c r="A4" s="1028"/>
      <c r="B4" s="2211" t="s">
        <v>755</v>
      </c>
      <c r="C4" s="3292" t="s">
        <v>3086</v>
      </c>
      <c r="D4" s="2256"/>
      <c r="E4" s="1213"/>
      <c r="F4" s="2215" t="s">
        <v>756</v>
      </c>
      <c r="G4" s="3293" t="s">
        <v>757</v>
      </c>
      <c r="H4" s="2255"/>
      <c r="I4" s="2255"/>
      <c r="J4" s="2255"/>
      <c r="K4" s="2255"/>
      <c r="L4" s="2255"/>
      <c r="M4" s="2255"/>
      <c r="N4" s="2255"/>
      <c r="O4" s="2255"/>
      <c r="P4" s="2255"/>
      <c r="Q4" s="2255"/>
      <c r="R4" s="2255"/>
    </row>
    <row r="5" spans="1:29" ht="27">
      <c r="A5" s="1028"/>
      <c r="B5" s="2211" t="s">
        <v>758</v>
      </c>
      <c r="C5" s="3292"/>
      <c r="D5" s="2256"/>
      <c r="E5" s="1213"/>
      <c r="F5" s="2744" t="s">
        <v>2637</v>
      </c>
      <c r="G5" s="3293" t="s">
        <v>2639</v>
      </c>
      <c r="H5" s="2255"/>
      <c r="I5" s="2255"/>
      <c r="J5" s="2255"/>
      <c r="K5" s="2255"/>
      <c r="L5" s="2255"/>
      <c r="M5" s="2255"/>
      <c r="N5" s="2255"/>
      <c r="O5" s="2255"/>
      <c r="P5" s="2255"/>
      <c r="Q5" s="2255"/>
      <c r="R5" s="2255"/>
    </row>
    <row r="6" spans="1:29" ht="40.5">
      <c r="A6" s="1028"/>
      <c r="B6" s="2211" t="s">
        <v>72</v>
      </c>
      <c r="C6" s="3293" t="s">
        <v>3087</v>
      </c>
      <c r="D6" s="2256"/>
      <c r="E6" s="1213"/>
      <c r="F6" s="2744" t="s">
        <v>2636</v>
      </c>
      <c r="G6" s="3293" t="s">
        <v>2638</v>
      </c>
      <c r="H6" s="2255"/>
      <c r="I6" s="2255"/>
      <c r="J6" s="2255"/>
      <c r="K6" s="2255"/>
      <c r="L6" s="2255"/>
      <c r="M6" s="2255"/>
      <c r="N6" s="2255"/>
      <c r="O6" s="2255"/>
      <c r="P6" s="2255"/>
      <c r="Q6" s="2255"/>
      <c r="R6" s="2255"/>
    </row>
    <row r="7" spans="1:29" ht="54.75" thickBot="1">
      <c r="A7" s="1028"/>
      <c r="B7" s="2211" t="s">
        <v>2637</v>
      </c>
      <c r="C7" s="3293" t="s">
        <v>3103</v>
      </c>
      <c r="D7" s="2257"/>
      <c r="E7" s="1214"/>
      <c r="F7" s="1215" t="s">
        <v>737</v>
      </c>
      <c r="G7" s="3296" t="s">
        <v>3022</v>
      </c>
      <c r="H7" s="2255"/>
      <c r="I7" s="2255"/>
      <c r="J7" s="2255"/>
      <c r="K7" s="2255"/>
      <c r="L7" s="2255"/>
      <c r="M7" s="2255"/>
      <c r="N7" s="2255"/>
      <c r="O7" s="2255"/>
      <c r="P7" s="2255"/>
      <c r="Q7" s="2255"/>
      <c r="R7" s="2255"/>
    </row>
    <row r="8" spans="1:29" ht="27">
      <c r="A8" s="1028"/>
      <c r="B8" s="2744" t="s">
        <v>2636</v>
      </c>
      <c r="C8" s="3293" t="s">
        <v>3088</v>
      </c>
      <c r="D8" s="2257"/>
      <c r="E8" s="2257"/>
      <c r="F8" s="2258"/>
      <c r="G8" s="2258"/>
      <c r="H8" s="2255"/>
      <c r="I8" s="2255"/>
      <c r="J8" s="2255"/>
      <c r="K8" s="2255"/>
      <c r="L8" s="2255"/>
      <c r="M8" s="2255"/>
      <c r="N8" s="2255"/>
      <c r="O8" s="2255"/>
      <c r="P8" s="2255"/>
      <c r="Q8" s="2255"/>
      <c r="R8" s="2255"/>
    </row>
    <row r="9" spans="1:29" ht="54">
      <c r="A9" s="1028"/>
      <c r="B9" s="2211" t="s">
        <v>73</v>
      </c>
      <c r="C9" s="3292" t="s">
        <v>3089</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4" t="s">
        <v>3090</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40.5">
      <c r="A15" s="46" t="s">
        <v>742</v>
      </c>
      <c r="B15" s="14" t="s">
        <v>52</v>
      </c>
      <c r="C15" s="1223">
        <f>C3</f>
        <v>0</v>
      </c>
      <c r="D15" s="2256"/>
      <c r="E15" s="2757" t="s">
        <v>743</v>
      </c>
      <c r="F15" s="14" t="s">
        <v>744</v>
      </c>
      <c r="G15" s="1021" t="str">
        <f>G3</f>
        <v>估价对象位于XX开发区，园区建设成熟度XX，产业集聚程度XX</v>
      </c>
    </row>
    <row r="16" spans="1:29" ht="54">
      <c r="A16" s="2760"/>
      <c r="B16" s="1224" t="s">
        <v>745</v>
      </c>
      <c r="C16" s="1225" t="str">
        <f>C4</f>
        <v>估价对象周边有国泰百货、苏宁易购等，周边商业氛围较好，人流量较大，商业繁华度较好</v>
      </c>
      <c r="D16" s="2256"/>
      <c r="E16" s="2758"/>
      <c r="F16" s="1226" t="s">
        <v>746</v>
      </c>
      <c r="G16" s="1023" t="str">
        <f>G4</f>
        <v>估价对象周边道路状况、公共交通通达情况、停车便捷程度，综合评价交通便捷度较好</v>
      </c>
    </row>
    <row r="17" spans="1:18">
      <c r="A17" s="2760"/>
      <c r="B17" s="1224" t="s">
        <v>747</v>
      </c>
      <c r="C17" s="1225">
        <f>C5</f>
        <v>0</v>
      </c>
      <c r="D17" s="2257"/>
      <c r="E17" s="2758"/>
      <c r="F17" s="1226" t="s">
        <v>748</v>
      </c>
      <c r="G17" s="271"/>
    </row>
    <row r="18" spans="1:18" ht="40.5">
      <c r="A18" s="2760"/>
      <c r="B18" s="1226" t="s">
        <v>72</v>
      </c>
      <c r="C18" s="1023" t="str">
        <f>C6</f>
        <v>估价对象周边有房2内路、周边无地铁，路网密集程度一般，交通便捷度一般</v>
      </c>
      <c r="D18" s="2257"/>
      <c r="E18" s="2758"/>
      <c r="F18" s="1226" t="s">
        <v>737</v>
      </c>
      <c r="G18" s="1023" t="str">
        <f>G7</f>
        <v>该园区内是否有污染型企业，绿化情况，卫生条件，整体环境状况判断</v>
      </c>
    </row>
    <row r="19" spans="1:18" ht="27">
      <c r="A19" s="2760"/>
      <c r="B19" s="1226" t="s">
        <v>91</v>
      </c>
      <c r="C19" s="271" t="s">
        <v>3091</v>
      </c>
      <c r="D19" s="2256"/>
      <c r="E19" s="2758"/>
      <c r="F19" s="2744" t="s">
        <v>2637</v>
      </c>
      <c r="G19" s="1023" t="str">
        <f>G5</f>
        <v>估价对象所在区域公共配套设施齐备情况</v>
      </c>
    </row>
    <row r="20" spans="1:18" ht="54">
      <c r="A20" s="2760"/>
      <c r="B20" s="1226" t="s">
        <v>90</v>
      </c>
      <c r="C20" s="1225" t="str">
        <f>C9</f>
        <v>区域自然环境：良乡塔；人文环境：良乡文化广场；综合评价环境状况一般</v>
      </c>
      <c r="D20" s="2257"/>
      <c r="E20" s="2758"/>
      <c r="F20" s="2744" t="s">
        <v>2636</v>
      </c>
      <c r="G20" s="1023" t="str">
        <f>G6</f>
        <v>估价对象所在区域基础设施水平</v>
      </c>
    </row>
    <row r="21" spans="1:18" ht="54">
      <c r="A21" s="2760"/>
      <c r="B21" s="2744" t="s">
        <v>2637</v>
      </c>
      <c r="C21" s="1023" t="str">
        <f>C7</f>
        <v>估价对象所在区域公共配套设施齐备情况较好：蓝色未来幼儿园、北京市房山区第一医院良乡分部</v>
      </c>
      <c r="D21" s="2256"/>
      <c r="E21" s="2758"/>
      <c r="F21" s="1226" t="s">
        <v>89</v>
      </c>
      <c r="G21" s="283"/>
    </row>
    <row r="22" spans="1:18" ht="13.5" customHeight="1">
      <c r="A22" s="2760"/>
      <c r="B22" s="2744" t="s">
        <v>2636</v>
      </c>
      <c r="C22" s="1023" t="str">
        <f>C8</f>
        <v>估价对象所在区域基础设施水平：七通</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城市次干道－拱辰北大街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2990</v>
      </c>
      <c r="B1" s="3255">
        <f>SUM(B14:B23)</f>
        <v>123111.63</v>
      </c>
      <c r="C1" s="3254"/>
      <c r="D1" s="3254"/>
      <c r="E1" s="3254"/>
      <c r="F1" s="3254"/>
      <c r="G1" s="3252"/>
    </row>
    <row r="2" spans="1:10" ht="16.5">
      <c r="A2" s="3255" t="s">
        <v>2978</v>
      </c>
      <c r="B2" s="3255">
        <f>SUM(C14:C23)</f>
        <v>22211.31</v>
      </c>
      <c r="C2" s="3254"/>
      <c r="D2" s="3254"/>
      <c r="E2" s="3254"/>
      <c r="F2" s="3254"/>
      <c r="G2" s="3252"/>
    </row>
    <row r="3" spans="1:10" ht="16.5">
      <c r="A3" s="3255" t="s">
        <v>2987</v>
      </c>
      <c r="B3" s="3256">
        <f>项目基本情况!D3</f>
        <v>42962</v>
      </c>
      <c r="C3" s="3254"/>
      <c r="D3" s="3254"/>
      <c r="E3" s="3254"/>
      <c r="F3" s="3254"/>
      <c r="G3" s="3252"/>
    </row>
    <row r="4" spans="1:10" ht="33">
      <c r="A4" s="3255" t="s">
        <v>2986</v>
      </c>
      <c r="B4" s="3255" t="s">
        <v>2985</v>
      </c>
      <c r="C4" s="3255" t="s">
        <v>2984</v>
      </c>
      <c r="D4" s="3255" t="s">
        <v>2983</v>
      </c>
      <c r="E4" s="3254"/>
      <c r="F4" s="3252"/>
      <c r="G4" s="3252"/>
    </row>
    <row r="5" spans="1:10" ht="16.5">
      <c r="A5" s="3255" t="s">
        <v>2982</v>
      </c>
      <c r="B5" s="3255">
        <f ca="1">SUM(D14:D23)</f>
        <v>259766</v>
      </c>
      <c r="C5" s="3255">
        <f ca="1">ROUND(B5*10000/$B$1,0)</f>
        <v>21100</v>
      </c>
      <c r="D5" s="3255">
        <f ca="1">ROUND(B5*10000/$B$2,0)</f>
        <v>116952</v>
      </c>
      <c r="E5" s="3254"/>
      <c r="F5" s="3252"/>
      <c r="G5" s="3252"/>
    </row>
    <row r="6" spans="1:10" ht="16.5">
      <c r="A6" s="3255" t="s">
        <v>2981</v>
      </c>
      <c r="B6" s="3255">
        <f ca="1">SUM(G14:G23)</f>
        <v>259766</v>
      </c>
      <c r="C6" s="3255">
        <f ca="1">ROUND(B6*10000/$B$1,0)</f>
        <v>21100</v>
      </c>
      <c r="D6" s="3255">
        <f ca="1">ROUND(B6*10000/$B$2,0)</f>
        <v>116952</v>
      </c>
      <c r="E6" s="3254"/>
      <c r="F6" s="3252"/>
      <c r="G6" s="3252"/>
    </row>
    <row r="7" spans="1:10" ht="16.5">
      <c r="A7" s="3255" t="s">
        <v>2989</v>
      </c>
      <c r="B7" s="3255">
        <f>SUM(H14:H23)</f>
        <v>0</v>
      </c>
      <c r="C7" s="3255">
        <f>ROUND(B7*10000/$B$1,0)</f>
        <v>0</v>
      </c>
      <c r="D7" s="3255">
        <f>ROUND(B7*10000/$B$2,0)</f>
        <v>0</v>
      </c>
      <c r="E7" s="3254"/>
      <c r="F7" s="3252"/>
      <c r="G7" s="3252"/>
    </row>
    <row r="8" spans="1:10" ht="16.5">
      <c r="A8" s="3255" t="s">
        <v>2878</v>
      </c>
      <c r="B8" s="3255">
        <f>SUM(I14:I23)</f>
        <v>0</v>
      </c>
      <c r="C8" s="3255">
        <f>ROUND(B8*10000/$B$1,0)</f>
        <v>0</v>
      </c>
      <c r="D8" s="3255">
        <f>ROUND(B8*10000/$B$2,0)</f>
        <v>0</v>
      </c>
      <c r="E8" s="3254"/>
      <c r="F8" s="3252"/>
      <c r="G8" s="3252"/>
    </row>
    <row r="9" spans="1:10" ht="16.5">
      <c r="A9" s="3255" t="s">
        <v>2980</v>
      </c>
      <c r="B9" s="3257"/>
      <c r="C9" s="3254"/>
      <c r="D9" s="3254"/>
      <c r="E9" s="3254"/>
      <c r="F9" s="3252"/>
      <c r="G9" s="3252"/>
    </row>
    <row r="10" spans="1:10" ht="16.5">
      <c r="A10" s="3255" t="s">
        <v>2979</v>
      </c>
      <c r="B10" s="3257"/>
      <c r="C10" s="3254"/>
      <c r="D10" s="3254"/>
      <c r="E10" s="3254"/>
      <c r="F10" s="3252"/>
      <c r="G10" s="3252"/>
    </row>
    <row r="11" spans="1:10" ht="16.5">
      <c r="A11" s="3255" t="s">
        <v>2995</v>
      </c>
      <c r="B11" s="3257"/>
      <c r="C11" s="3254"/>
      <c r="D11" s="3254"/>
      <c r="E11" s="3254"/>
      <c r="F11" s="3252"/>
      <c r="G11" s="3252"/>
    </row>
    <row r="12" spans="1:10" ht="16.5">
      <c r="A12" s="3254"/>
      <c r="B12" s="3254"/>
      <c r="C12" s="3254"/>
      <c r="D12" s="3254"/>
      <c r="E12" s="3254"/>
      <c r="F12" s="3252"/>
      <c r="G12" s="3252"/>
    </row>
    <row r="13" spans="1:10" ht="33">
      <c r="A13" s="3260" t="s">
        <v>2994</v>
      </c>
      <c r="B13" s="3253" t="s">
        <v>2991</v>
      </c>
      <c r="C13" s="3253" t="s">
        <v>2993</v>
      </c>
      <c r="D13" s="3253" t="s">
        <v>2992</v>
      </c>
      <c r="E13" s="3255" t="s">
        <v>2984</v>
      </c>
      <c r="F13" s="3255" t="s">
        <v>2983</v>
      </c>
      <c r="G13" s="3253" t="s">
        <v>2977</v>
      </c>
      <c r="H13" s="3253" t="s">
        <v>2988</v>
      </c>
      <c r="I13" s="3253" t="s">
        <v>2976</v>
      </c>
      <c r="J13" s="3252"/>
    </row>
    <row r="14" spans="1:10" ht="16.5">
      <c r="A14" s="3251" t="s">
        <v>2975</v>
      </c>
      <c r="B14" s="3253">
        <f>'数据-汇总表'!E3</f>
        <v>123111.63</v>
      </c>
      <c r="C14" s="3253">
        <f>'数据-汇总表'!D3</f>
        <v>22211.31</v>
      </c>
      <c r="D14" s="3253">
        <f ca="1">结果表!H118</f>
        <v>259766</v>
      </c>
      <c r="E14" s="3253">
        <f ca="1">ROUND(D14*10000/B14,0)</f>
        <v>21100</v>
      </c>
      <c r="F14" s="3253">
        <f ca="1">ROUND(D14*10000/C14,0)</f>
        <v>116952</v>
      </c>
      <c r="G14" s="3253">
        <f ca="1">结果表!D122</f>
        <v>259766</v>
      </c>
      <c r="H14" s="3253" t="str">
        <f>结果表!D124</f>
        <v>——</v>
      </c>
      <c r="I14" s="3253" t="str">
        <f>结果表!D126</f>
        <v>——</v>
      </c>
      <c r="J14" s="3252"/>
    </row>
    <row r="15" spans="1:10" ht="16.5">
      <c r="A15" s="3251" t="s">
        <v>2974</v>
      </c>
      <c r="B15" s="3258"/>
      <c r="C15" s="3258"/>
      <c r="D15" s="3258"/>
      <c r="E15" s="3253" t="e">
        <f t="shared" ref="E15:E23" si="0">ROUND(D15*10000/B15,0)</f>
        <v>#DIV/0!</v>
      </c>
      <c r="F15" s="3253" t="e">
        <f t="shared" ref="F15:F23" si="1">ROUND(D15*10000/C15,0)</f>
        <v>#DIV/0!</v>
      </c>
      <c r="G15" s="3259"/>
      <c r="H15" s="3259"/>
      <c r="I15" s="3258"/>
      <c r="J15" s="3252"/>
    </row>
    <row r="16" spans="1:10" ht="16.5">
      <c r="A16" s="3251" t="s">
        <v>2973</v>
      </c>
      <c r="B16" s="3258"/>
      <c r="C16" s="3258"/>
      <c r="D16" s="3258"/>
      <c r="E16" s="3253" t="e">
        <f t="shared" si="0"/>
        <v>#DIV/0!</v>
      </c>
      <c r="F16" s="3253" t="e">
        <f t="shared" si="1"/>
        <v>#DIV/0!</v>
      </c>
      <c r="G16" s="3259"/>
      <c r="H16" s="3259"/>
      <c r="I16" s="3258"/>
    </row>
    <row r="17" spans="1:9" ht="16.5">
      <c r="A17" s="3251" t="s">
        <v>2972</v>
      </c>
      <c r="B17" s="3258"/>
      <c r="C17" s="3258"/>
      <c r="D17" s="3258"/>
      <c r="E17" s="3253" t="e">
        <f t="shared" si="0"/>
        <v>#DIV/0!</v>
      </c>
      <c r="F17" s="3253" t="e">
        <f t="shared" si="1"/>
        <v>#DIV/0!</v>
      </c>
      <c r="G17" s="3259"/>
      <c r="H17" s="3259"/>
      <c r="I17" s="3258"/>
    </row>
    <row r="18" spans="1:9" ht="16.5">
      <c r="A18" s="3251" t="s">
        <v>2971</v>
      </c>
      <c r="B18" s="3258"/>
      <c r="C18" s="3258"/>
      <c r="D18" s="3258"/>
      <c r="E18" s="3253" t="e">
        <f t="shared" si="0"/>
        <v>#DIV/0!</v>
      </c>
      <c r="F18" s="3253" t="e">
        <f t="shared" si="1"/>
        <v>#DIV/0!</v>
      </c>
      <c r="G18" s="3258"/>
      <c r="H18" s="3258"/>
      <c r="I18" s="3258"/>
    </row>
    <row r="19" spans="1:9" ht="16.5">
      <c r="A19" s="3251" t="s">
        <v>2970</v>
      </c>
      <c r="B19" s="3258"/>
      <c r="C19" s="3258"/>
      <c r="D19" s="3258"/>
      <c r="E19" s="3253" t="e">
        <f t="shared" si="0"/>
        <v>#DIV/0!</v>
      </c>
      <c r="F19" s="3253" t="e">
        <f t="shared" si="1"/>
        <v>#DIV/0!</v>
      </c>
      <c r="G19" s="3258"/>
      <c r="H19" s="3258"/>
      <c r="I19" s="3258"/>
    </row>
    <row r="20" spans="1:9" ht="16.5">
      <c r="A20" s="3251" t="s">
        <v>2969</v>
      </c>
      <c r="B20" s="3258"/>
      <c r="C20" s="3258"/>
      <c r="D20" s="3258"/>
      <c r="E20" s="3253" t="e">
        <f t="shared" si="0"/>
        <v>#DIV/0!</v>
      </c>
      <c r="F20" s="3253" t="e">
        <f t="shared" si="1"/>
        <v>#DIV/0!</v>
      </c>
      <c r="G20" s="3258"/>
      <c r="H20" s="3258"/>
      <c r="I20" s="3258"/>
    </row>
    <row r="21" spans="1:9" ht="16.5">
      <c r="A21" s="3251" t="s">
        <v>2968</v>
      </c>
      <c r="B21" s="3258"/>
      <c r="C21" s="3258"/>
      <c r="D21" s="3258"/>
      <c r="E21" s="3253" t="e">
        <f t="shared" si="0"/>
        <v>#DIV/0!</v>
      </c>
      <c r="F21" s="3253" t="e">
        <f t="shared" si="1"/>
        <v>#DIV/0!</v>
      </c>
      <c r="G21" s="3258"/>
      <c r="H21" s="3258"/>
      <c r="I21" s="3258"/>
    </row>
    <row r="22" spans="1:9" ht="16.5">
      <c r="A22" s="3251" t="s">
        <v>2967</v>
      </c>
      <c r="B22" s="3258"/>
      <c r="C22" s="3258"/>
      <c r="D22" s="3258"/>
      <c r="E22" s="3253" t="e">
        <f t="shared" si="0"/>
        <v>#DIV/0!</v>
      </c>
      <c r="F22" s="3253" t="e">
        <f t="shared" si="1"/>
        <v>#DIV/0!</v>
      </c>
      <c r="G22" s="3258"/>
      <c r="H22" s="3258"/>
      <c r="I22" s="3258"/>
    </row>
    <row r="23" spans="1:9" ht="16.5">
      <c r="A23" s="3251" t="s">
        <v>2966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98" zoomScaleSheetLayoutView="100" zoomScalePageLayoutView="80" workbookViewId="0">
      <selection activeCell="I103" sqref="I103"/>
    </sheetView>
  </sheetViews>
  <sheetFormatPr defaultColWidth="12.625" defaultRowHeight="21.75" customHeight="1"/>
  <cols>
    <col min="1" max="2" width="12.625" style="1242"/>
    <col min="3" max="3" width="16.125" style="1242" bestFit="1" customWidth="1"/>
    <col min="4"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759</v>
      </c>
      <c r="B1" s="1241"/>
      <c r="C1" s="2097"/>
      <c r="D1" s="1241"/>
      <c r="E1" s="1241"/>
      <c r="F1" s="2081" t="s">
        <v>2113</v>
      </c>
      <c r="G1" s="2054" t="s">
        <v>3115</v>
      </c>
      <c r="H1" s="2110" t="str">
        <f>IF(G1="现房","——","估价对象范围")</f>
        <v>——</v>
      </c>
      <c r="I1" s="2087"/>
    </row>
    <row r="2" spans="1:12" ht="21.75" customHeight="1" thickBot="1">
      <c r="A2" s="3495" t="str">
        <f>项目基本情况!S2</f>
        <v>北京市房地产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29" t="s">
        <v>11</v>
      </c>
      <c r="B4" s="430" t="s">
        <v>12</v>
      </c>
      <c r="C4" s="431" t="s">
        <v>3117</v>
      </c>
      <c r="D4" s="431" t="s">
        <v>3116</v>
      </c>
      <c r="E4" s="3501" t="s">
        <v>760</v>
      </c>
      <c r="F4" s="3502"/>
      <c r="G4" s="3502"/>
      <c r="H4" s="3502"/>
      <c r="I4" s="3503"/>
      <c r="K4" s="2183" t="str">
        <f>IF(ISNUMBER(FIND("比较法",结果表!C4)),"比较法",IF(ISNUMBER(FIND("成本法",结果表!C4)),"成本法",IF(ISNUMBER(FIND("假设开发法",结果表!C4)),"假设开发法",IF(ISNUMBER(FIND("收益法",结果表!C4)),"收益法","基准地价系数修正法"))))</f>
        <v>收益法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 r="A5" s="3474" t="s">
        <v>13</v>
      </c>
      <c r="B5" s="3461">
        <v>25</v>
      </c>
      <c r="C5" s="3477">
        <v>24</v>
      </c>
      <c r="D5" s="3498">
        <v>24</v>
      </c>
      <c r="E5" s="471" t="s">
        <v>804</v>
      </c>
      <c r="F5" s="432"/>
      <c r="G5" s="432"/>
      <c r="H5" s="432"/>
      <c r="I5" s="433"/>
    </row>
    <row r="6" spans="1:12" ht="12.75">
      <c r="A6" s="3474"/>
      <c r="B6" s="3461"/>
      <c r="C6" s="3478"/>
      <c r="D6" s="3498"/>
      <c r="E6" s="471" t="s">
        <v>805</v>
      </c>
      <c r="F6" s="432"/>
      <c r="G6" s="432"/>
      <c r="H6" s="432"/>
      <c r="I6" s="433"/>
    </row>
    <row r="7" spans="1:12" ht="12.75">
      <c r="A7" s="3474"/>
      <c r="B7" s="3461"/>
      <c r="C7" s="3479"/>
      <c r="D7" s="3498"/>
      <c r="E7" s="471" t="s">
        <v>806</v>
      </c>
      <c r="F7" s="432"/>
      <c r="G7" s="432"/>
      <c r="H7" s="432"/>
      <c r="I7" s="433"/>
    </row>
    <row r="8" spans="1:12" ht="12.75">
      <c r="A8" s="3474" t="s">
        <v>14</v>
      </c>
      <c r="B8" s="3461">
        <v>15</v>
      </c>
      <c r="C8" s="3477">
        <v>14</v>
      </c>
      <c r="D8" s="3498">
        <v>14</v>
      </c>
      <c r="E8" s="471" t="s">
        <v>807</v>
      </c>
      <c r="F8" s="432"/>
      <c r="G8" s="432"/>
      <c r="H8" s="432"/>
      <c r="I8" s="433"/>
    </row>
    <row r="9" spans="1:12" ht="12.75">
      <c r="A9" s="3474"/>
      <c r="B9" s="3461"/>
      <c r="C9" s="3479"/>
      <c r="D9" s="3498"/>
      <c r="E9" s="471" t="s">
        <v>808</v>
      </c>
      <c r="F9" s="432"/>
      <c r="G9" s="432"/>
      <c r="H9" s="432"/>
      <c r="I9" s="433"/>
    </row>
    <row r="10" spans="1:12" ht="12.75" customHeight="1">
      <c r="A10" s="3474" t="s">
        <v>15</v>
      </c>
      <c r="B10" s="3461">
        <v>15</v>
      </c>
      <c r="C10" s="3477">
        <v>14</v>
      </c>
      <c r="D10" s="3498">
        <v>14</v>
      </c>
      <c r="E10" s="471" t="s">
        <v>809</v>
      </c>
      <c r="F10" s="432"/>
      <c r="G10" s="432"/>
      <c r="H10" s="432"/>
      <c r="I10" s="433"/>
    </row>
    <row r="11" spans="1:12" ht="12.75" customHeight="1">
      <c r="A11" s="3474"/>
      <c r="B11" s="3461"/>
      <c r="C11" s="3479"/>
      <c r="D11" s="3498"/>
      <c r="E11" s="471" t="s">
        <v>810</v>
      </c>
      <c r="F11" s="432"/>
      <c r="G11" s="432"/>
      <c r="H11" s="432"/>
      <c r="I11" s="433"/>
    </row>
    <row r="12" spans="1:12" ht="12.75" customHeight="1">
      <c r="A12" s="3474" t="s">
        <v>16</v>
      </c>
      <c r="B12" s="3461">
        <v>15</v>
      </c>
      <c r="C12" s="3477">
        <v>14</v>
      </c>
      <c r="D12" s="3498">
        <v>14</v>
      </c>
      <c r="E12" s="471" t="s">
        <v>811</v>
      </c>
      <c r="F12" s="432"/>
      <c r="G12" s="432"/>
      <c r="H12" s="432"/>
      <c r="I12" s="433"/>
    </row>
    <row r="13" spans="1:12" ht="12.75" customHeight="1">
      <c r="A13" s="3474"/>
      <c r="B13" s="3461"/>
      <c r="C13" s="3479"/>
      <c r="D13" s="3498"/>
      <c r="E13" s="471" t="s">
        <v>812</v>
      </c>
      <c r="F13" s="432"/>
      <c r="G13" s="432"/>
      <c r="H13" s="432"/>
      <c r="I13" s="433"/>
    </row>
    <row r="14" spans="1:12" ht="12.75">
      <c r="A14" s="3474" t="s">
        <v>17</v>
      </c>
      <c r="B14" s="3461">
        <v>30</v>
      </c>
      <c r="C14" s="3477">
        <v>29</v>
      </c>
      <c r="D14" s="3498">
        <v>29</v>
      </c>
      <c r="E14" s="471" t="s">
        <v>813</v>
      </c>
      <c r="F14" s="432"/>
      <c r="G14" s="432"/>
      <c r="H14" s="432"/>
      <c r="I14" s="433"/>
    </row>
    <row r="15" spans="1:12" ht="12.75">
      <c r="A15" s="3474"/>
      <c r="B15" s="3461"/>
      <c r="C15" s="3478"/>
      <c r="D15" s="3498"/>
      <c r="E15" s="471" t="s">
        <v>814</v>
      </c>
      <c r="F15" s="432"/>
      <c r="G15" s="432"/>
      <c r="H15" s="432"/>
      <c r="I15" s="433"/>
    </row>
    <row r="16" spans="1:12" ht="12.75">
      <c r="A16" s="3474"/>
      <c r="B16" s="3461"/>
      <c r="C16" s="3479"/>
      <c r="D16" s="3498"/>
      <c r="E16" s="471" t="s">
        <v>815</v>
      </c>
      <c r="F16" s="432"/>
      <c r="G16" s="432"/>
      <c r="H16" s="432"/>
      <c r="I16" s="433"/>
    </row>
    <row r="17" spans="1:35" ht="14.25">
      <c r="A17" s="434" t="s">
        <v>18</v>
      </c>
      <c r="B17" s="38"/>
      <c r="C17" s="472">
        <f>SUM(C5:C16)</f>
        <v>95</v>
      </c>
      <c r="D17" s="472">
        <f>SUM(D5:D16)</f>
        <v>95</v>
      </c>
      <c r="E17" s="2276"/>
      <c r="F17" s="2276"/>
      <c r="G17" s="2276"/>
      <c r="H17" s="2276"/>
      <c r="I17" s="2276"/>
      <c r="K17" s="2183"/>
      <c r="L17" s="2184" t="s">
        <v>2320</v>
      </c>
      <c r="M17" s="2184" t="s">
        <v>2321</v>
      </c>
    </row>
    <row r="18" spans="1:35" ht="15" thickBot="1">
      <c r="A18" s="435" t="s">
        <v>19</v>
      </c>
      <c r="B18" s="18"/>
      <c r="C18" s="473">
        <f>ROUND(C17/SUM(C17:D17),2)</f>
        <v>0.5</v>
      </c>
      <c r="D18" s="473">
        <f>1-C18</f>
        <v>0.5</v>
      </c>
      <c r="E18" s="2276"/>
      <c r="F18" s="2276"/>
      <c r="G18" s="2276"/>
      <c r="H18" s="2276"/>
      <c r="I18" s="2276"/>
      <c r="K18" s="2183" t="s">
        <v>2135</v>
      </c>
      <c r="L18" s="2183">
        <f>IF(C1="",'数据-汇总表'!E3,SUMIF(项目类型,C1,'数据-汇总表'!E17:E26)+SUMIF(项目类型,C1,'数据-汇总表'!I17:I26))</f>
        <v>123111.63</v>
      </c>
      <c r="M18" s="2183">
        <f>IF(C1="",'数据-汇总表'!E3,SUMIF(项目类型,C1,'数据-汇总表'!E17:E26))</f>
        <v>123111.63</v>
      </c>
    </row>
    <row r="19" spans="1:35" ht="14.25">
      <c r="A19" s="436" t="s">
        <v>180</v>
      </c>
      <c r="B19" s="437" t="s">
        <v>20</v>
      </c>
      <c r="C19" s="474">
        <f ca="1">SUMIF(INDIRECT("'"&amp;C4&amp;"'"&amp;"!A:A"),结果表!B19,INDIRECT("'"&amp;C4&amp;"'"&amp;"!B:B"))</f>
        <v>309709</v>
      </c>
      <c r="D19" s="475">
        <f ca="1">SUMIF(INDIRECT("'"&amp;D4&amp;"'"&amp;"!A:A"),结果表!B19,INDIRECT("'"&amp;D4&amp;"'"&amp;"!B:B"))</f>
        <v>209822</v>
      </c>
      <c r="E19" s="436" t="s">
        <v>179</v>
      </c>
      <c r="F19" s="437" t="s">
        <v>20</v>
      </c>
      <c r="G19" s="476">
        <f ca="1">ROUND(C19*$C$18+D19*$D$18,0)</f>
        <v>259766</v>
      </c>
      <c r="H19" s="438" t="s">
        <v>228</v>
      </c>
      <c r="I19" s="2276"/>
      <c r="K19" s="2183" t="s">
        <v>2136</v>
      </c>
      <c r="L19" s="2183">
        <f>IF(C1="",'数据-汇总表'!D3,SUMIF(项目类型,C1,'数据-汇总表'!D17:D26)+SUMIF(项目类型,C1,'数据-汇总表'!H17:H27))</f>
        <v>22211.31</v>
      </c>
      <c r="M19" s="2183">
        <f>IF(C1="",'数据-汇总表'!D3,SUMIF(项目类型,C1,'数据-汇总表'!D17:D26))</f>
        <v>22211.31</v>
      </c>
    </row>
    <row r="20" spans="1:35" ht="14.25">
      <c r="A20" s="439"/>
      <c r="B20" s="440" t="s">
        <v>21</v>
      </c>
      <c r="C20" s="477">
        <f ca="1">SUMIF(INDIRECT("'"&amp;C4&amp;"'"&amp;"!A:A"),结果表!B20,INDIRECT("'"&amp;C4&amp;"'"&amp;"!B:B"))</f>
        <v>25157</v>
      </c>
      <c r="D20" s="478">
        <f ca="1">SUMIF(INDIRECT("'"&amp;D4&amp;"'"&amp;"!A:A"),结果表!B20,INDIRECT("'"&amp;D4&amp;"'"&amp;"!B:B"))</f>
        <v>17043</v>
      </c>
      <c r="E20" s="439"/>
      <c r="F20" s="440" t="s">
        <v>21</v>
      </c>
      <c r="G20" s="479">
        <f ca="1">ROUND(C20*$C$18+D20*$D$18,0)</f>
        <v>21100</v>
      </c>
      <c r="H20" s="441" t="s">
        <v>227</v>
      </c>
      <c r="I20" s="2276"/>
    </row>
    <row r="21" spans="1:35" ht="15" customHeight="1" thickBot="1">
      <c r="A21" s="443"/>
      <c r="B21" s="444" t="s">
        <v>22</v>
      </c>
      <c r="C21" s="1420">
        <f ca="1">ROUND(C19*10000/L19,0)</f>
        <v>139438</v>
      </c>
      <c r="D21" s="1421">
        <f ca="1">ROUND(D19*10000/L19,0)</f>
        <v>94466</v>
      </c>
      <c r="E21" s="443"/>
      <c r="F21" s="444" t="s">
        <v>22</v>
      </c>
      <c r="G21" s="480">
        <f ca="1">ROUND(G19*10000/L19,0)</f>
        <v>116952</v>
      </c>
      <c r="H21" s="445" t="s">
        <v>227</v>
      </c>
      <c r="I21" s="2276"/>
    </row>
    <row r="22" spans="1:35" ht="15" thickBot="1">
      <c r="A22" s="275" t="s">
        <v>181</v>
      </c>
      <c r="B22" s="1422"/>
      <c r="C22" s="1423"/>
      <c r="D22" s="1424">
        <f ca="1">IF(C19&lt;D19,D19/C19-1,C19/D19-1)</f>
        <v>0.47605589499671153</v>
      </c>
      <c r="E22" s="2276"/>
      <c r="F22" s="2276"/>
      <c r="G22" s="2276"/>
      <c r="H22" s="2276"/>
      <c r="I22" s="2276"/>
    </row>
    <row r="23" spans="1:35" ht="12.75" thickBot="1">
      <c r="A23" s="1241"/>
      <c r="B23" s="1241"/>
      <c r="C23" s="1241"/>
      <c r="D23" s="1241"/>
      <c r="E23" s="2276"/>
      <c r="F23" s="2276"/>
      <c r="G23" s="2276"/>
      <c r="H23" s="2276"/>
      <c r="I23" s="2276"/>
    </row>
    <row r="24" spans="1:35" ht="14.25">
      <c r="A24" s="3468" t="s">
        <v>177</v>
      </c>
      <c r="B24" s="437" t="s">
        <v>20</v>
      </c>
      <c r="C24" s="476">
        <f>IF(B30=0,0,D30)</f>
        <v>0</v>
      </c>
      <c r="D24" s="446"/>
      <c r="E24" s="2276"/>
      <c r="F24" s="2276"/>
      <c r="G24" s="2276"/>
      <c r="H24" s="2276"/>
      <c r="I24" s="2276"/>
    </row>
    <row r="25" spans="1:35" ht="14.25">
      <c r="A25" s="3469"/>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3" customFormat="1" ht="14.25" thickBot="1">
      <c r="A31" s="452"/>
      <c r="B31" s="452"/>
      <c r="C31" s="452"/>
      <c r="D31" s="452"/>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259766</v>
      </c>
      <c r="D32" s="2091" t="s">
        <v>210</v>
      </c>
      <c r="E32" s="2276"/>
      <c r="F32" s="2276"/>
      <c r="G32" s="2276"/>
      <c r="H32" s="2276"/>
      <c r="I32" s="2276"/>
    </row>
    <row r="33" spans="1:15" ht="13.5">
      <c r="A33" s="457" t="s">
        <v>761</v>
      </c>
      <c r="B33" s="2090"/>
      <c r="C33" s="2873" t="s">
        <v>3118</v>
      </c>
      <c r="D33" s="2876" t="s">
        <v>3116</v>
      </c>
      <c r="E33" s="2088" t="s">
        <v>2115</v>
      </c>
      <c r="F33" s="2089" t="str">
        <f>IF(D32="楼面单价","取值（单价）","取值（总价）")</f>
        <v>取值（总价）</v>
      </c>
      <c r="G33" s="2276"/>
      <c r="H33" s="2276"/>
      <c r="I33" s="2276"/>
    </row>
    <row r="34" spans="1:15" ht="15">
      <c r="A34" s="458"/>
      <c r="B34" s="459" t="s">
        <v>764</v>
      </c>
      <c r="C34" s="489">
        <f ca="1">IF(C33="自定义",F34,C32-C35)</f>
        <v>185473</v>
      </c>
      <c r="D34" s="2092">
        <f ca="1">IF(C33="自定义",ROUND(C34/C32,3),IF(C33="收益比率",SUMIF(INDIRECT("'"&amp;D33&amp;"'"&amp;"!b:b"),"土地收益比率",INDIRECT("'"&amp;D33&amp;"'"&amp;"!c:c")),SUMIF(INDIRECT("'"&amp;D33&amp;"'"&amp;"!b:b"),"土地成本比率",INDIRECT("'"&amp;D33&amp;"'"&amp;"!c:c"))))</f>
        <v>0.71399999999999997</v>
      </c>
      <c r="E34" s="2874" t="s">
        <v>2116</v>
      </c>
      <c r="F34" s="3248"/>
      <c r="G34" s="2276"/>
      <c r="H34" s="2276"/>
      <c r="I34" s="2276"/>
    </row>
    <row r="35" spans="1:15" ht="15.75" thickBot="1">
      <c r="A35" s="461"/>
      <c r="B35" s="2877" t="s">
        <v>766</v>
      </c>
      <c r="C35" s="2878">
        <f ca="1">IF(C33="自定义",F35,ROUND(C32*D35,0))</f>
        <v>74293</v>
      </c>
      <c r="D35" s="2879">
        <f ca="1">IF(C33="自定义",ROUND(C35/C32,3),IF(C33="收益比率",SUMIF(INDIRECT("'"&amp;D33&amp;"'"&amp;"!b:b"),"建筑物收益比率",INDIRECT("'"&amp;D33&amp;"'"&amp;"!c:c")),SUMIF(INDIRECT("'"&amp;D33&amp;"'"&amp;"!b:b"),"建筑物成本比率",INDIRECT("'"&amp;D33&amp;"'"&amp;"!c:c"))))</f>
        <v>0.28599999999999998</v>
      </c>
      <c r="E35" s="2875" t="s">
        <v>2117</v>
      </c>
      <c r="F35" s="495"/>
      <c r="G35" s="2276"/>
      <c r="H35" s="2276"/>
      <c r="I35" s="2276"/>
    </row>
    <row r="36" spans="1:15" ht="15.75" thickBot="1">
      <c r="A36" s="3487" t="s">
        <v>762</v>
      </c>
      <c r="B36" s="455" t="s">
        <v>763</v>
      </c>
      <c r="C36" s="486"/>
      <c r="D36" s="456"/>
      <c r="E36" s="1244"/>
      <c r="F36" s="2277"/>
      <c r="G36" s="2276"/>
      <c r="H36" s="2276"/>
      <c r="I36" s="2276"/>
    </row>
    <row r="37" spans="1:15" ht="15.75" thickBot="1">
      <c r="A37" s="3488"/>
      <c r="B37" s="13" t="s">
        <v>765</v>
      </c>
      <c r="C37" s="488"/>
      <c r="D37" s="2225"/>
      <c r="E37" s="2225"/>
      <c r="F37" s="2277"/>
      <c r="G37" s="2276"/>
      <c r="H37" s="2276"/>
      <c r="I37" s="2276"/>
    </row>
    <row r="38" spans="1:15" ht="15.75" thickBot="1">
      <c r="A38" s="3489"/>
      <c r="B38" s="460" t="s">
        <v>767</v>
      </c>
      <c r="C38" s="1135"/>
      <c r="D38" s="1245"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6" t="s">
        <v>774</v>
      </c>
      <c r="B40" s="490"/>
      <c r="C40" s="491"/>
      <c r="D40" s="491"/>
      <c r="E40" s="492"/>
      <c r="F40" s="2277"/>
      <c r="G40" s="2276"/>
      <c r="H40" s="2276"/>
      <c r="I40" s="2276"/>
    </row>
    <row r="41" spans="1:15" ht="13.5">
      <c r="A41" s="1246" t="s">
        <v>775</v>
      </c>
      <c r="B41" s="490"/>
      <c r="C41" s="491"/>
      <c r="D41" s="491"/>
      <c r="E41" s="492"/>
      <c r="F41" s="2277"/>
      <c r="G41" s="2276"/>
      <c r="H41" s="2276"/>
      <c r="I41" s="2276"/>
    </row>
    <row r="42" spans="1:15" ht="14.25" thickBot="1">
      <c r="A42" s="1247"/>
      <c r="B42" s="493"/>
      <c r="C42" s="494"/>
      <c r="D42" s="494"/>
      <c r="E42" s="495"/>
      <c r="F42" s="2277"/>
      <c r="G42" s="2276"/>
      <c r="H42" s="2276"/>
      <c r="I42" s="2276"/>
    </row>
    <row r="43" spans="1:15" ht="12">
      <c r="A43" s="241"/>
      <c r="B43" s="241"/>
      <c r="C43" s="241"/>
      <c r="D43" s="241"/>
      <c r="E43" s="241"/>
      <c r="F43" s="1248"/>
      <c r="G43" s="1248"/>
      <c r="H43" s="1248"/>
      <c r="I43" s="1249"/>
    </row>
    <row r="44" spans="1:15" ht="18.75" hidden="1">
      <c r="A44" s="1250" t="s">
        <v>776</v>
      </c>
      <c r="B44" s="1251"/>
      <c r="C44" s="1251"/>
      <c r="D44" s="1252"/>
      <c r="E44" s="1252"/>
      <c r="F44" s="1253"/>
      <c r="G44" s="1253"/>
      <c r="H44" s="1253"/>
      <c r="I44" s="1253"/>
      <c r="J44" s="3265" t="s">
        <v>214</v>
      </c>
      <c r="K44" s="3266"/>
      <c r="L44" s="3266"/>
      <c r="M44" s="3266"/>
      <c r="N44" s="3266"/>
      <c r="O44" s="3266"/>
    </row>
    <row r="45" spans="1:15" ht="14.25" hidden="1" customHeight="1" thickBot="1">
      <c r="A45" s="3465" t="s">
        <v>796</v>
      </c>
      <c r="B45" s="3466"/>
      <c r="C45" s="3467"/>
      <c r="D45" s="496">
        <f ca="1">ROUND(H101*F45,0)</f>
        <v>259766</v>
      </c>
      <c r="E45" s="497" t="s">
        <v>797</v>
      </c>
      <c r="F45" s="498">
        <v>1</v>
      </c>
      <c r="G45" s="499" t="s">
        <v>798</v>
      </c>
      <c r="H45" s="2276"/>
      <c r="I45" s="2276"/>
      <c r="J45" s="3529" t="s">
        <v>215</v>
      </c>
      <c r="K45" s="3529"/>
      <c r="L45" s="3529"/>
      <c r="M45" s="3529"/>
      <c r="N45" s="3529"/>
      <c r="O45" s="3529"/>
    </row>
    <row r="46" spans="1:15" ht="14.25" hidden="1" customHeight="1">
      <c r="A46" s="3462" t="s">
        <v>287</v>
      </c>
      <c r="B46" s="3463"/>
      <c r="C46" s="3463"/>
      <c r="D46" s="3463"/>
      <c r="E46" s="3463"/>
      <c r="F46" s="3463"/>
      <c r="G46" s="3464"/>
      <c r="H46" s="2278"/>
      <c r="I46" s="2231"/>
      <c r="J46" s="1499">
        <v>1</v>
      </c>
      <c r="K46" s="3529" t="s">
        <v>216</v>
      </c>
      <c r="L46" s="3529"/>
      <c r="M46" s="3553"/>
      <c r="N46" s="3553"/>
      <c r="O46" s="3553"/>
    </row>
    <row r="47" spans="1:15" ht="12" hidden="1" customHeight="1">
      <c r="A47" s="501" t="s">
        <v>288</v>
      </c>
      <c r="B47" s="502"/>
      <c r="C47" s="503"/>
      <c r="D47" s="504" t="s">
        <v>289</v>
      </c>
      <c r="E47" s="313" t="s">
        <v>290</v>
      </c>
      <c r="F47" s="505" t="s">
        <v>799</v>
      </c>
      <c r="G47" s="506" t="s">
        <v>800</v>
      </c>
      <c r="H47" s="2278"/>
      <c r="I47" s="2231"/>
      <c r="J47" s="1499">
        <v>2</v>
      </c>
      <c r="K47" s="3529" t="s">
        <v>217</v>
      </c>
      <c r="L47" s="3529"/>
      <c r="M47" s="3554">
        <f>'数据-取费表'!B2</f>
        <v>42962</v>
      </c>
      <c r="N47" s="3554"/>
      <c r="O47" s="3554"/>
    </row>
    <row r="48" spans="1:15" ht="25.5" hidden="1">
      <c r="A48" s="3494" t="s">
        <v>291</v>
      </c>
      <c r="B48" s="3476"/>
      <c r="C48" s="3476"/>
      <c r="D48" s="471">
        <f>IF(H48="情况1",0,IF(H48="情况2",D52,IF(H48="情况3",D53,IF(H48="情况4",D54))))</f>
        <v>0</v>
      </c>
      <c r="E48" s="1922" t="str">
        <f>IF(H48="情况4","(销售额-原购置价)×税（费）率","销售额×税（费）率")</f>
        <v>销售额×税（费）率</v>
      </c>
      <c r="F48" s="507" t="str">
        <f>IF(H48="情况1","免征",'数据-取费表'!B41)</f>
        <v>免征</v>
      </c>
      <c r="G48" s="465" t="s">
        <v>777</v>
      </c>
      <c r="H48" s="1430" t="s">
        <v>2417</v>
      </c>
      <c r="I48" s="2278"/>
      <c r="J48" s="1499">
        <v>3</v>
      </c>
      <c r="K48" s="3529" t="s">
        <v>778</v>
      </c>
      <c r="L48" s="3529"/>
      <c r="M48" s="3555">
        <f ca="1">H101</f>
        <v>259766</v>
      </c>
      <c r="N48" s="3555"/>
      <c r="O48" s="3555"/>
    </row>
    <row r="49" spans="1:35" ht="25.5" hidden="1" customHeight="1">
      <c r="A49" s="508" t="s">
        <v>801</v>
      </c>
      <c r="B49" s="3460" t="s">
        <v>802</v>
      </c>
      <c r="C49" s="3460"/>
      <c r="D49" s="509">
        <v>0</v>
      </c>
      <c r="E49" s="312" t="s">
        <v>803</v>
      </c>
      <c r="F49" s="317" t="s">
        <v>171</v>
      </c>
      <c r="G49" s="3535"/>
      <c r="H49" s="2276"/>
      <c r="I49" s="2279"/>
      <c r="J49" s="1499">
        <v>4</v>
      </c>
      <c r="K49" s="3529" t="str">
        <f>IF(项目基本情况!E8="房地产抵押价值","房地产抵押价值","抵押担保权已注销时的房地产抵押价值")</f>
        <v>抵押担保权已注销时的房地产抵押价值</v>
      </c>
      <c r="L49" s="3529"/>
      <c r="M49" s="3555" t="str">
        <f>IF(项目基本情况!E8="房地产抵押价值",H107,H109)</f>
        <v>——</v>
      </c>
      <c r="N49" s="3555"/>
      <c r="O49" s="3555"/>
    </row>
    <row r="50" spans="1:35" ht="25.5" hidden="1" customHeight="1">
      <c r="A50" s="510"/>
      <c r="B50" s="3460" t="s">
        <v>294</v>
      </c>
      <c r="C50" s="3460"/>
      <c r="D50" s="511"/>
      <c r="E50" s="320"/>
      <c r="F50" s="512"/>
      <c r="G50" s="3536"/>
      <c r="H50" s="2276"/>
      <c r="I50" s="2279"/>
      <c r="J50" s="3529" t="s">
        <v>218</v>
      </c>
      <c r="K50" s="3529"/>
      <c r="L50" s="3529"/>
      <c r="M50" s="3529"/>
      <c r="N50" s="3529"/>
      <c r="O50" s="3529"/>
    </row>
    <row r="51" spans="1:35" ht="12" hidden="1" customHeight="1">
      <c r="A51" s="513"/>
      <c r="B51" s="3460" t="s">
        <v>295</v>
      </c>
      <c r="C51" s="3460"/>
      <c r="D51" s="514"/>
      <c r="E51" s="319"/>
      <c r="F51" s="512"/>
      <c r="G51" s="3537"/>
      <c r="H51" s="2276"/>
      <c r="I51" s="2279"/>
      <c r="J51" s="3267" t="s">
        <v>219</v>
      </c>
      <c r="K51" s="3529" t="s">
        <v>220</v>
      </c>
      <c r="L51" s="3529"/>
      <c r="M51" s="3267" t="s">
        <v>3003</v>
      </c>
      <c r="N51" s="3267" t="s">
        <v>221</v>
      </c>
      <c r="O51" s="3267" t="s">
        <v>222</v>
      </c>
    </row>
    <row r="52" spans="1:35" ht="24" hidden="1" customHeight="1">
      <c r="A52" s="515" t="s">
        <v>296</v>
      </c>
      <c r="B52" s="3460" t="s">
        <v>297</v>
      </c>
      <c r="C52" s="3460"/>
      <c r="D52" s="514">
        <f ca="1">ROUND(D45*'数据-取费表'!B41/(1+'数据-取费表'!C42),0)</f>
        <v>13607</v>
      </c>
      <c r="E52" s="299" t="s">
        <v>298</v>
      </c>
      <c r="F52" s="516">
        <f>'数据-取费表'!B41</f>
        <v>5.5000000000000007E-2</v>
      </c>
      <c r="G52" s="466"/>
      <c r="H52" s="2276"/>
      <c r="I52" s="2279"/>
      <c r="J52" s="1499">
        <v>1</v>
      </c>
      <c r="K52" s="3530" t="s">
        <v>779</v>
      </c>
      <c r="L52" s="3530"/>
      <c r="M52" s="3268">
        <f>D48</f>
        <v>0</v>
      </c>
      <c r="N52" s="1498" t="str">
        <f>E48</f>
        <v>销售额×税（费）率</v>
      </c>
      <c r="O52" s="3269" t="str">
        <f>F48</f>
        <v>免征</v>
      </c>
    </row>
    <row r="53" spans="1:35" ht="12" hidden="1" customHeight="1">
      <c r="A53" s="515" t="s">
        <v>299</v>
      </c>
      <c r="B53" s="3485" t="s">
        <v>300</v>
      </c>
      <c r="C53" s="3486"/>
      <c r="D53" s="514">
        <f ca="1">ROUND(D45*'数据-取费表'!B41/(1+'数据-取费表'!C42),0)</f>
        <v>13607</v>
      </c>
      <c r="E53" s="299" t="s">
        <v>298</v>
      </c>
      <c r="F53" s="516">
        <f>'数据-取费表'!B41</f>
        <v>5.5000000000000007E-2</v>
      </c>
      <c r="G53" s="466"/>
      <c r="H53" s="2276"/>
      <c r="I53" s="2279"/>
      <c r="J53" s="1499">
        <v>2</v>
      </c>
      <c r="K53" s="3530" t="s">
        <v>780</v>
      </c>
      <c r="L53" s="3530"/>
      <c r="M53" s="3268">
        <f t="shared" ref="M53:O54" ca="1" si="0">D55</f>
        <v>130</v>
      </c>
      <c r="N53" s="1498" t="str">
        <f t="shared" si="0"/>
        <v>销售额×税（费）率</v>
      </c>
      <c r="O53" s="3269">
        <f t="shared" si="0"/>
        <v>5.0000000000000001E-4</v>
      </c>
    </row>
    <row r="54" spans="1:35" ht="12" hidden="1" customHeight="1">
      <c r="A54" s="515" t="s">
        <v>301</v>
      </c>
      <c r="B54" s="3485" t="s">
        <v>302</v>
      </c>
      <c r="C54" s="3486"/>
      <c r="D54" s="514">
        <f ca="1">C68</f>
        <v>13607</v>
      </c>
      <c r="E54" s="319" t="s">
        <v>303</v>
      </c>
      <c r="F54" s="516">
        <f>'数据-取费表'!B41</f>
        <v>5.5000000000000007E-2</v>
      </c>
      <c r="G54" s="466"/>
      <c r="H54" s="2280"/>
      <c r="I54" s="2279"/>
      <c r="J54" s="1499">
        <v>3</v>
      </c>
      <c r="K54" s="3530" t="s">
        <v>781</v>
      </c>
      <c r="L54" s="3530"/>
      <c r="M54" s="3268">
        <f t="shared" ca="1" si="0"/>
        <v>147262</v>
      </c>
      <c r="N54" s="1498" t="str">
        <f t="shared" si="0"/>
        <v>增值额×税（费）率</v>
      </c>
      <c r="O54" s="3270" t="str">
        <f t="shared" si="0"/>
        <v>——</v>
      </c>
    </row>
    <row r="55" spans="1:35" ht="24" hidden="1" customHeight="1">
      <c r="A55" s="3475" t="s">
        <v>304</v>
      </c>
      <c r="B55" s="3476"/>
      <c r="C55" s="3476"/>
      <c r="D55" s="517">
        <f ca="1">IF(H55="个人住宅",0,ROUND(D45*I55,0))</f>
        <v>130</v>
      </c>
      <c r="E55" s="299" t="s">
        <v>305</v>
      </c>
      <c r="F55" s="516">
        <f>IF(H55="正常",I55,"免征")</f>
        <v>5.0000000000000001E-4</v>
      </c>
      <c r="G55" s="466"/>
      <c r="H55" s="1430" t="s">
        <v>155</v>
      </c>
      <c r="I55" s="518">
        <f>'数据-取费表'!B49</f>
        <v>5.0000000000000001E-4</v>
      </c>
      <c r="J55" s="1499" t="str">
        <f>IF(H59="非个人房产","",4)</f>
        <v/>
      </c>
      <c r="K55" s="3530" t="str">
        <f>IF(H59="非个人房产","——","个人所得税")</f>
        <v>——</v>
      </c>
      <c r="L55" s="3530"/>
      <c r="M55" s="3271" t="str">
        <f>D59</f>
        <v>——</v>
      </c>
      <c r="N55" s="3272" t="str">
        <f>E59</f>
        <v>——</v>
      </c>
      <c r="O55" s="3273" t="str">
        <f>F59</f>
        <v>——</v>
      </c>
    </row>
    <row r="56" spans="1:35" ht="24.75" hidden="1">
      <c r="A56" s="3475" t="s">
        <v>306</v>
      </c>
      <c r="B56" s="3476"/>
      <c r="C56" s="3476"/>
      <c r="D56" s="517">
        <f ca="1">IF(H56="个人住宅",D57,D58)</f>
        <v>147262</v>
      </c>
      <c r="E56" s="299" t="s">
        <v>307</v>
      </c>
      <c r="F56" s="516" t="str">
        <f>IF(H56="正常",F58,"免征")</f>
        <v>——</v>
      </c>
      <c r="G56" s="1254" t="s">
        <v>782</v>
      </c>
      <c r="H56" s="1429" t="s">
        <v>155</v>
      </c>
      <c r="I56" s="2281"/>
      <c r="J56" s="1499" t="str">
        <f>IF(项目基本情况!K6="上海银行",IF(J55="",4,J55+1),"")</f>
        <v/>
      </c>
      <c r="K56" s="3557" t="str">
        <f>IF(项目基本情况!K6="上海银行","其他处置费用","")</f>
        <v/>
      </c>
      <c r="L56" s="3558"/>
      <c r="M56" s="3268" t="str">
        <f>IF(项目基本情况!K6="上海银行",M69,"")</f>
        <v/>
      </c>
      <c r="N56" s="3560" t="str">
        <f>IF(项目基本情况!K6="上海银行","包含处置中涉及的律师、诉讼、拍卖、评估等费用","")</f>
        <v/>
      </c>
      <c r="O56" s="3561"/>
    </row>
    <row r="57" spans="1:35" ht="12.75" hidden="1">
      <c r="A57" s="515" t="s">
        <v>292</v>
      </c>
      <c r="B57" s="3492" t="s">
        <v>308</v>
      </c>
      <c r="C57" s="3515"/>
      <c r="D57" s="519">
        <v>0</v>
      </c>
      <c r="E57" s="312" t="s">
        <v>293</v>
      </c>
      <c r="F57" s="487"/>
      <c r="G57" s="466"/>
      <c r="H57" s="2281"/>
      <c r="I57" s="2281"/>
      <c r="J57" s="3540">
        <f>IF(AND(J55="",J56=""),4,IF(项目基本情况!K6="上海银行",结果表!J56+1,结果表!J55+1))</f>
        <v>4</v>
      </c>
      <c r="K57" s="3530" t="s">
        <v>783</v>
      </c>
      <c r="L57" s="3274" t="s">
        <v>223</v>
      </c>
      <c r="M57" s="3275"/>
      <c r="N57" s="3276">
        <f ca="1">SUMIF(M52:M56,"&lt;9e307")</f>
        <v>147392</v>
      </c>
      <c r="O57" s="3277"/>
      <c r="P57" s="3264" t="e">
        <f ca="1">N57/M49</f>
        <v>#VALUE!</v>
      </c>
    </row>
    <row r="58" spans="1:35" ht="24.75" hidden="1">
      <c r="A58" s="515" t="s">
        <v>296</v>
      </c>
      <c r="B58" s="3492" t="s">
        <v>309</v>
      </c>
      <c r="C58" s="3493"/>
      <c r="D58" s="517">
        <f ca="1">IF(H58="转让取得",C81,C97)</f>
        <v>147262</v>
      </c>
      <c r="E58" s="299" t="s">
        <v>307</v>
      </c>
      <c r="F58" s="313" t="s">
        <v>171</v>
      </c>
      <c r="G58" s="466"/>
      <c r="H58" s="1429" t="s">
        <v>1134</v>
      </c>
      <c r="I58" s="2281"/>
      <c r="J58" s="3540"/>
      <c r="K58" s="3530"/>
      <c r="L58" s="3274" t="s">
        <v>224</v>
      </c>
      <c r="M58" s="3278"/>
      <c r="N58" s="3279" t="str">
        <f ca="1">NUMBERSTRING(INT(N57*10000),2)&amp;"元整"</f>
        <v>壹拾肆亿柒仟叁佰玖拾贰万元整</v>
      </c>
      <c r="O58" s="3280"/>
    </row>
    <row r="59" spans="1:35" ht="24.75" hidden="1" thickBot="1">
      <c r="A59" s="3533" t="s">
        <v>310</v>
      </c>
      <c r="B59" s="3534"/>
      <c r="C59" s="3534"/>
      <c r="D59" s="520" t="str">
        <f>IF(H59="非个人房产","——",IF(H59="个人住宅",0,ROUND(D45*I59,0)))</f>
        <v>——</v>
      </c>
      <c r="E59" s="521" t="str">
        <f>IF(H59="非个人房产","——","销售额×税（费）率")</f>
        <v>——</v>
      </c>
      <c r="F59" s="522" t="str">
        <f>IF(H59="非个人房产","——",IF(H59="个人住宅","免征",I59))</f>
        <v>——</v>
      </c>
      <c r="G59" s="1255" t="s">
        <v>170</v>
      </c>
      <c r="H59" s="1429" t="s">
        <v>1133</v>
      </c>
      <c r="I59" s="523">
        <v>0.01</v>
      </c>
      <c r="J59" s="3531">
        <f>J57+1</f>
        <v>5</v>
      </c>
      <c r="K59" s="3530" t="s">
        <v>172</v>
      </c>
      <c r="L59" s="1498" t="s">
        <v>223</v>
      </c>
      <c r="M59" s="3281"/>
      <c r="N59" s="3282" t="e">
        <f ca="1">M49-N57</f>
        <v>#VALUE!</v>
      </c>
      <c r="O59" s="3283"/>
    </row>
    <row r="60" spans="1:35" ht="12" hidden="1" customHeight="1">
      <c r="A60" s="1256"/>
      <c r="B60" s="1241"/>
      <c r="C60" s="1241"/>
      <c r="D60" s="1241"/>
      <c r="E60" s="229"/>
      <c r="F60" s="2281"/>
      <c r="G60" s="2281"/>
      <c r="H60" s="2282"/>
      <c r="I60" s="2276"/>
      <c r="J60" s="3532"/>
      <c r="K60" s="3530"/>
      <c r="L60" s="3274" t="s">
        <v>224</v>
      </c>
      <c r="M60" s="3278"/>
      <c r="N60" s="3279" t="e">
        <f ca="1">NUMBERSTRING(INT(N59*10000),2)&amp;"元整"</f>
        <v>#VALUE!</v>
      </c>
      <c r="O60" s="3280"/>
    </row>
    <row r="61" spans="1:35" ht="13.5" hidden="1" thickBot="1">
      <c r="A61" s="3473" t="s">
        <v>311</v>
      </c>
      <c r="B61" s="3473"/>
      <c r="C61" s="3473"/>
      <c r="D61" s="3473"/>
      <c r="E61" s="3473"/>
      <c r="F61" s="2281"/>
      <c r="G61" s="2281"/>
      <c r="H61" s="2282"/>
      <c r="I61" s="2276"/>
      <c r="J61" s="1499">
        <f>J59+1</f>
        <v>6</v>
      </c>
      <c r="K61" s="3530" t="s">
        <v>225</v>
      </c>
      <c r="L61" s="3530"/>
      <c r="M61" s="3284"/>
      <c r="N61" s="3285" t="e">
        <f ca="1">ROUND(N59*10000/'数据-汇总表'!E3,0)</f>
        <v>#VALUE!</v>
      </c>
      <c r="O61" s="3286"/>
    </row>
    <row r="62" spans="1:35" ht="12.75" hidden="1">
      <c r="A62" s="3490" t="s">
        <v>312</v>
      </c>
      <c r="B62" s="3491"/>
      <c r="C62" s="1916"/>
      <c r="D62" s="1916" t="s">
        <v>320</v>
      </c>
      <c r="E62" s="524" t="s">
        <v>321</v>
      </c>
      <c r="F62" s="2281"/>
      <c r="G62" s="2281"/>
      <c r="H62" s="2282"/>
      <c r="I62" s="2276"/>
    </row>
    <row r="63" spans="1:35" ht="12.75" hidden="1">
      <c r="A63" s="535" t="s">
        <v>1896</v>
      </c>
      <c r="B63" s="525" t="s">
        <v>313</v>
      </c>
      <c r="C63" s="526">
        <f ca="1">ROUND((C64+C65)/(1+'数据-取费表'!C42),0)</f>
        <v>247396</v>
      </c>
      <c r="D63" s="527"/>
      <c r="E63" s="528"/>
      <c r="F63" s="2281"/>
      <c r="G63" s="2281"/>
      <c r="H63" s="2282"/>
      <c r="I63" s="2276"/>
      <c r="J63" s="3559" t="s">
        <v>2996</v>
      </c>
      <c r="K63" s="3263" t="s">
        <v>2997</v>
      </c>
      <c r="L63" s="3261" t="e">
        <f>IF(M49&gt;10000,M49*0.5%,IF(AND(M49&gt;1000,M49&lt;=10000),M49*1%,IF(AND(M49&gt;100,M49&lt;=1000),M49*3%,IF(AND(M49&gt;10,M49&lt;=100),M49*5%,M49*8%))))</f>
        <v>#VALUE!</v>
      </c>
      <c r="M63" s="313" t="e">
        <f>ROUND(L63,1)</f>
        <v>#VALUE!</v>
      </c>
      <c r="Z63" s="1432"/>
      <c r="AI63" s="1242"/>
    </row>
    <row r="64" spans="1:35" ht="14.25" hidden="1" customHeight="1">
      <c r="A64" s="529" t="s">
        <v>1891</v>
      </c>
      <c r="B64" s="530" t="s">
        <v>314</v>
      </c>
      <c r="C64" s="531">
        <f ca="1">D45</f>
        <v>259766</v>
      </c>
      <c r="D64" s="532" t="s">
        <v>167</v>
      </c>
      <c r="E64" s="533"/>
      <c r="F64" s="2281"/>
      <c r="G64" s="2281"/>
      <c r="H64" s="2282"/>
      <c r="I64" s="2276"/>
      <c r="J64" s="3559"/>
      <c r="K64" s="3263" t="s">
        <v>2998</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3004</v>
      </c>
      <c r="Z64" s="1432"/>
      <c r="AI64" s="1242"/>
    </row>
    <row r="65" spans="1:35" ht="14.25" hidden="1" customHeight="1">
      <c r="A65" s="529" t="s">
        <v>1892</v>
      </c>
      <c r="B65" s="530" t="s">
        <v>315</v>
      </c>
      <c r="C65" s="534"/>
      <c r="D65" s="532"/>
      <c r="E65" s="533"/>
      <c r="F65" s="2281"/>
      <c r="G65" s="2281"/>
      <c r="H65" s="2282"/>
      <c r="I65" s="2276"/>
      <c r="J65" s="3559"/>
      <c r="K65" s="3263" t="s">
        <v>2999</v>
      </c>
      <c r="L65" s="3261" t="e">
        <f>IF(M49&gt;1000,M49*0.1%,IF(AND(M49&gt;500,M49&lt;=1000),M49*0.5%,IF(AND(M49&gt;50,M49&lt;=500),M49*1%,IF(AND(M49&gt;1,M49&lt;=50),M49*1.5%))))</f>
        <v>#VALUE!</v>
      </c>
      <c r="M65" s="313" t="e">
        <f t="shared" si="1"/>
        <v>#VALUE!</v>
      </c>
      <c r="N65" s="469" t="s">
        <v>3005</v>
      </c>
      <c r="Z65" s="1432"/>
      <c r="AI65" s="1242"/>
    </row>
    <row r="66" spans="1:35" ht="14.25" hidden="1" customHeight="1">
      <c r="A66" s="535" t="s">
        <v>1893</v>
      </c>
      <c r="B66" s="536" t="s">
        <v>316</v>
      </c>
      <c r="C66" s="537"/>
      <c r="D66" s="538" t="s">
        <v>167</v>
      </c>
      <c r="E66" s="3315" t="s">
        <v>3040</v>
      </c>
      <c r="F66" s="2281"/>
      <c r="G66" s="2281"/>
      <c r="H66" s="2282"/>
      <c r="I66" s="2276"/>
      <c r="J66" s="3559"/>
      <c r="K66" s="3263" t="s">
        <v>3000</v>
      </c>
      <c r="L66" s="3261" t="e">
        <f>M49*0.5%</f>
        <v>#VALUE!</v>
      </c>
      <c r="M66" s="313" t="e">
        <f>IF(L66&gt;0.5,0.5,ROUND(L66,0))</f>
        <v>#VALUE!</v>
      </c>
      <c r="N66" s="469" t="s">
        <v>3006</v>
      </c>
      <c r="Z66" s="1432"/>
      <c r="AI66" s="1242"/>
    </row>
    <row r="67" spans="1:35" ht="14.25" hidden="1" customHeight="1">
      <c r="A67" s="535" t="s">
        <v>1894</v>
      </c>
      <c r="B67" s="536" t="s">
        <v>317</v>
      </c>
      <c r="C67" s="539">
        <f ca="1">C63-C66</f>
        <v>247396</v>
      </c>
      <c r="D67" s="532" t="s">
        <v>167</v>
      </c>
      <c r="E67" s="533"/>
      <c r="F67" s="2281"/>
      <c r="G67" s="2281"/>
      <c r="H67" s="2282"/>
      <c r="I67" s="2276"/>
      <c r="J67" s="3559"/>
      <c r="K67" s="3263" t="s">
        <v>3001</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hidden="1" customHeight="1" thickBot="1">
      <c r="A68" s="540" t="s">
        <v>1895</v>
      </c>
      <c r="B68" s="541" t="s">
        <v>318</v>
      </c>
      <c r="C68" s="542">
        <f ca="1">IF(C67&lt;=0,0,ROUND(C67*D68,0))</f>
        <v>13607</v>
      </c>
      <c r="D68" s="543">
        <f>'数据-取费表'!B41</f>
        <v>5.5000000000000007E-2</v>
      </c>
      <c r="E68" s="544"/>
      <c r="F68" s="2281"/>
      <c r="G68" s="2281"/>
      <c r="H68" s="2282"/>
      <c r="I68" s="2276"/>
      <c r="J68" s="3559"/>
      <c r="K68" s="3263" t="s">
        <v>3002</v>
      </c>
      <c r="L68" s="3261" t="e">
        <f>IF(M49&gt;10000,M49*0.5%,IF(AND(M49&gt;5000,M49&lt;=10000),M49*1%,IF(AND(M49&gt;1000,M49&lt;=5000),M49*2%,IF(AND(M49&gt;200,M49&lt;=1000),M49*3%,M49*5%))))</f>
        <v>#VALUE!</v>
      </c>
      <c r="M68" s="313" t="e">
        <f>ROUND(L68,1)</f>
        <v>#VALUE!</v>
      </c>
      <c r="Z68" s="1432"/>
      <c r="AI68" s="1242"/>
    </row>
    <row r="69" spans="1:35" s="1243" customFormat="1" ht="16.5" hidden="1" customHeight="1">
      <c r="A69" s="1257"/>
      <c r="B69" s="1258"/>
      <c r="C69" s="1259"/>
      <c r="D69" s="1260"/>
      <c r="E69" s="1261"/>
      <c r="F69" s="229"/>
      <c r="G69" s="229"/>
      <c r="H69" s="241"/>
      <c r="I69" s="1241"/>
      <c r="J69" s="3559"/>
      <c r="K69" s="3263" t="s">
        <v>187</v>
      </c>
      <c r="L69" s="3262"/>
      <c r="M69" s="313" t="e">
        <f>ROUND(SUM(M63:M68),0)</f>
        <v>#VALUE!</v>
      </c>
      <c r="N69" s="3264"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3" t="s">
        <v>319</v>
      </c>
      <c r="B70" s="3514"/>
      <c r="C70" s="3514"/>
      <c r="D70" s="3514"/>
      <c r="E70" s="3514"/>
      <c r="F70" s="3514"/>
      <c r="G70" s="3514"/>
      <c r="H70" s="3514"/>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490" t="s">
        <v>312</v>
      </c>
      <c r="B71" s="3491"/>
      <c r="C71" s="1916"/>
      <c r="D71" s="1916" t="s">
        <v>320</v>
      </c>
      <c r="E71" s="545" t="s">
        <v>321</v>
      </c>
      <c r="F71" s="546"/>
      <c r="G71" s="546"/>
      <c r="H71" s="547"/>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5" t="s">
        <v>1896</v>
      </c>
      <c r="B72" s="536" t="s">
        <v>322</v>
      </c>
      <c r="C72" s="539">
        <f ca="1">ROUND(D45/(1+'数据-取费表'!C42),0)</f>
        <v>247396</v>
      </c>
      <c r="D72" s="532" t="s">
        <v>167</v>
      </c>
      <c r="E72" s="1919"/>
      <c r="F72" s="1920"/>
      <c r="G72" s="1920"/>
      <c r="H72" s="548"/>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5" t="s">
        <v>1893</v>
      </c>
      <c r="B73" s="505" t="s">
        <v>323</v>
      </c>
      <c r="C73" s="539">
        <f ca="1">C74+C78</f>
        <v>1237</v>
      </c>
      <c r="D73" s="532" t="s">
        <v>167</v>
      </c>
      <c r="E73" s="1919"/>
      <c r="F73" s="1920"/>
      <c r="G73" s="1920"/>
      <c r="H73" s="548"/>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9" t="s">
        <v>1897</v>
      </c>
      <c r="B74" s="530" t="s">
        <v>324</v>
      </c>
      <c r="C74" s="532">
        <f>ROUND(IF(G77="2016年5月1日后购买",C75/(1+'数据-取费表'!C42)+C76+C77,C75+C76+C77),0)</f>
        <v>0</v>
      </c>
      <c r="D74" s="532" t="s">
        <v>167</v>
      </c>
      <c r="E74" s="1919"/>
      <c r="F74" s="1920"/>
      <c r="G74" s="1920"/>
      <c r="H74" s="548"/>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9" t="s">
        <v>1898</v>
      </c>
      <c r="B75" s="530" t="s">
        <v>325</v>
      </c>
      <c r="C75" s="550"/>
      <c r="D75" s="532" t="s">
        <v>167</v>
      </c>
      <c r="E75" s="551" t="s">
        <v>326</v>
      </c>
      <c r="F75" s="1425" t="s">
        <v>2418</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9" t="s">
        <v>1900</v>
      </c>
      <c r="B76" s="553" t="s">
        <v>327</v>
      </c>
      <c r="C76" s="532">
        <f>IF(F75="购房发票",ROUND(C75*H75*D76,0),0)</f>
        <v>0</v>
      </c>
      <c r="D76" s="554">
        <v>0.05</v>
      </c>
      <c r="E76" s="3485" t="s">
        <v>328</v>
      </c>
      <c r="F76" s="3460"/>
      <c r="G76" s="3460"/>
      <c r="H76" s="3512"/>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6" t="s">
        <v>2509</v>
      </c>
      <c r="H77" s="1921"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9" t="s">
        <v>1899</v>
      </c>
      <c r="B78" s="530" t="s">
        <v>330</v>
      </c>
      <c r="C78" s="557">
        <f ca="1">ROUND(D45*D78/(1+'数据-取费表'!C42),0)</f>
        <v>1237</v>
      </c>
      <c r="D78" s="558">
        <f>'数据-取费表'!B43</f>
        <v>5.000000000000001E-3</v>
      </c>
      <c r="E78" s="3480" t="s">
        <v>2510</v>
      </c>
      <c r="F78" s="3471"/>
      <c r="G78" s="3471"/>
      <c r="H78" s="3481"/>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1902</v>
      </c>
      <c r="B79" s="536" t="s">
        <v>331</v>
      </c>
      <c r="C79" s="539">
        <f ca="1">C72-C73</f>
        <v>246159</v>
      </c>
      <c r="D79" s="532" t="s">
        <v>167</v>
      </c>
      <c r="E79" s="1919"/>
      <c r="F79" s="1920"/>
      <c r="G79" s="1920"/>
      <c r="H79" s="548"/>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1903</v>
      </c>
      <c r="B80" s="536" t="s">
        <v>332</v>
      </c>
      <c r="C80" s="559">
        <f ca="1">IF(C79&lt;=0,0,C79/C73)</f>
        <v>198.99676637025061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1904</v>
      </c>
      <c r="B81" s="541" t="s">
        <v>333</v>
      </c>
      <c r="C81" s="560">
        <f ca="1">ROUND(IF(C79&lt;=0,0,IF(C80&gt;=200%,C79*60%-C73*35%,IF(C80&gt;=100%,C79*50%-C73*15%,IF(C80&gt;=50%,C79*40%-C73*5%,IF(C80&lt;50%,C79*30%,0))))),0)</f>
        <v>147262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13" t="s">
        <v>334</v>
      </c>
      <c r="B83" s="3514"/>
      <c r="C83" s="3514"/>
      <c r="D83" s="3514"/>
      <c r="E83" s="3514"/>
      <c r="F83" s="3514"/>
      <c r="G83" s="3514"/>
      <c r="H83" s="3514"/>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490" t="s">
        <v>312</v>
      </c>
      <c r="B84" s="3491"/>
      <c r="C84" s="1916"/>
      <c r="D84" s="1916"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5" t="s">
        <v>1896</v>
      </c>
      <c r="B85" s="536" t="s">
        <v>322</v>
      </c>
      <c r="C85" s="539">
        <f ca="1">ROUND(D45/(1+'数据-取费表'!C42),0)</f>
        <v>247396</v>
      </c>
      <c r="D85" s="532" t="s">
        <v>167</v>
      </c>
      <c r="E85" s="1919"/>
      <c r="F85" s="1920"/>
      <c r="G85" s="1920"/>
      <c r="H85" s="566"/>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5" t="s">
        <v>1893</v>
      </c>
      <c r="B86" s="505" t="s">
        <v>323</v>
      </c>
      <c r="C86" s="539">
        <f ca="1">IF(H88="仅含出让金",C87+C90+C91+C92+C93+C94,C87+C91+C92+C93+C94)</f>
        <v>1237</v>
      </c>
      <c r="D86" s="567"/>
      <c r="E86" s="1919"/>
      <c r="F86" s="1920"/>
      <c r="G86" s="1920"/>
      <c r="H86" s="566"/>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9" t="s">
        <v>1897</v>
      </c>
      <c r="B87" s="530" t="s">
        <v>335</v>
      </c>
      <c r="C87" s="557">
        <f>C88+C89</f>
        <v>0</v>
      </c>
      <c r="D87" s="558"/>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9" t="s">
        <v>1898</v>
      </c>
      <c r="B88" s="530" t="s">
        <v>336</v>
      </c>
      <c r="C88" s="568"/>
      <c r="D88" s="558"/>
      <c r="E88" s="569" t="s">
        <v>337</v>
      </c>
      <c r="F88" s="1915"/>
      <c r="G88" s="570" t="s">
        <v>338</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9" t="s">
        <v>1900</v>
      </c>
      <c r="B89" s="530" t="s">
        <v>329</v>
      </c>
      <c r="C89" s="557">
        <f>ROUND(C88*D89,0)</f>
        <v>0</v>
      </c>
      <c r="D89" s="558">
        <f>'数据-取费表'!B48+'数据-取费表'!B49</f>
        <v>3.0499999999999999E-2</v>
      </c>
      <c r="E89" s="569" t="s">
        <v>339</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9" t="s">
        <v>1899</v>
      </c>
      <c r="B90" s="530" t="s">
        <v>340</v>
      </c>
      <c r="C90" s="568"/>
      <c r="D90" s="558"/>
      <c r="E90" s="569" t="str">
        <f>IF(H88="-","土地取得成本中已包含该笔费用"," ")</f>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1905</v>
      </c>
      <c r="B91" s="530" t="s">
        <v>341</v>
      </c>
      <c r="C91" s="557">
        <f>IF(H91="——",成本法!C33,I91)</f>
        <v>0</v>
      </c>
      <c r="D91" s="558"/>
      <c r="E91" s="3470" t="s">
        <v>795</v>
      </c>
      <c r="F91" s="3471"/>
      <c r="G91" s="3471"/>
      <c r="H91" s="1428" t="s">
        <v>2319</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1906</v>
      </c>
      <c r="B92" s="530" t="s">
        <v>342</v>
      </c>
      <c r="C92" s="557">
        <f>ROUND((C87+C90+C91)*D92,0)</f>
        <v>0</v>
      </c>
      <c r="D92" s="558">
        <v>0.1</v>
      </c>
      <c r="E92" s="3470" t="s">
        <v>343</v>
      </c>
      <c r="F92" s="3471"/>
      <c r="G92" s="3471"/>
      <c r="H92" s="3481"/>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1907</v>
      </c>
      <c r="B93" s="530" t="s">
        <v>330</v>
      </c>
      <c r="C93" s="557">
        <f ca="1">ROUND(D45*D93/(1+'数据-取费表'!C42),0)</f>
        <v>1237</v>
      </c>
      <c r="D93" s="558">
        <f>'数据-取费表'!B43</f>
        <v>5.000000000000001E-3</v>
      </c>
      <c r="E93" s="3480" t="s">
        <v>2510</v>
      </c>
      <c r="F93" s="3471"/>
      <c r="G93" s="3471"/>
      <c r="H93" s="3481"/>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1908</v>
      </c>
      <c r="B94" s="530" t="s">
        <v>344</v>
      </c>
      <c r="C94" s="568">
        <f>ROUND((C87+C90+C91)*D94,0)</f>
        <v>0</v>
      </c>
      <c r="D94" s="558">
        <v>0.2</v>
      </c>
      <c r="E94" s="3482" t="s">
        <v>3055</v>
      </c>
      <c r="F94" s="3483"/>
      <c r="G94" s="3483"/>
      <c r="H94" s="3484"/>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1902</v>
      </c>
      <c r="B95" s="536" t="s">
        <v>331</v>
      </c>
      <c r="C95" s="539">
        <f ca="1">ROUND(C85-C86,0)</f>
        <v>246159</v>
      </c>
      <c r="D95" s="532" t="s">
        <v>167</v>
      </c>
      <c r="E95" s="1919"/>
      <c r="F95" s="1920"/>
      <c r="G95" s="1920"/>
      <c r="H95" s="566"/>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1903</v>
      </c>
      <c r="B96" s="536" t="s">
        <v>332</v>
      </c>
      <c r="C96" s="559">
        <f ca="1">IF(C95&lt;=0,0,C95/C86)</f>
        <v>198.99676637025061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1904</v>
      </c>
      <c r="B97" s="541" t="s">
        <v>333</v>
      </c>
      <c r="C97" s="560">
        <f ca="1">ROUND(IF(C95&lt;=0,0,IF(C96&gt;=200%,C95*60%-C86*35%,IF(C96&gt;=100%,C95*50%-C86*15%,IF(C96&gt;=50%,C95*40%-C86*5%,IF(C96&lt;50%,C95*30%,0))))),0)</f>
        <v>147262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229</v>
      </c>
      <c r="B99" s="1241"/>
      <c r="C99" s="1241"/>
      <c r="D99" s="1241"/>
      <c r="E99" s="229"/>
      <c r="F99" s="229"/>
      <c r="G99" s="229"/>
      <c r="H99" s="241"/>
      <c r="I99" s="2276"/>
    </row>
    <row r="100" spans="1:35" ht="18.75" customHeight="1">
      <c r="A100" s="3454" t="s">
        <v>230</v>
      </c>
      <c r="B100" s="3455"/>
      <c r="C100" s="3455"/>
      <c r="D100" s="3472"/>
      <c r="E100" s="3455" t="s">
        <v>2909</v>
      </c>
      <c r="F100" s="3455"/>
      <c r="G100" s="3455"/>
      <c r="H100" s="3472"/>
      <c r="I100" s="2276"/>
    </row>
    <row r="101" spans="1:35" ht="18.75" customHeight="1">
      <c r="A101" s="3538" t="s">
        <v>208</v>
      </c>
      <c r="B101" s="3539"/>
      <c r="C101" s="1264" t="str">
        <f>C4</f>
        <v>收益法（汇总）</v>
      </c>
      <c r="D101" s="1265" t="str">
        <f>D4</f>
        <v>成本法</v>
      </c>
      <c r="E101" s="3556" t="s">
        <v>1910</v>
      </c>
      <c r="F101" s="3505"/>
      <c r="G101" s="1266" t="s">
        <v>210</v>
      </c>
      <c r="H101" s="1984">
        <f ca="1">H118</f>
        <v>259766</v>
      </c>
      <c r="I101" s="2276"/>
    </row>
    <row r="102" spans="1:35" ht="18.75" customHeight="1">
      <c r="A102" s="3507" t="s">
        <v>209</v>
      </c>
      <c r="B102" s="1266" t="s">
        <v>210</v>
      </c>
      <c r="C102" s="1233">
        <f ca="1">C19</f>
        <v>309709</v>
      </c>
      <c r="D102" s="1234">
        <f ca="1">D19</f>
        <v>209822</v>
      </c>
      <c r="E102" s="3556"/>
      <c r="F102" s="3505"/>
      <c r="G102" s="1266" t="s">
        <v>211</v>
      </c>
      <c r="H102" s="711">
        <f ca="1">I118</f>
        <v>21100</v>
      </c>
      <c r="I102" s="2276"/>
    </row>
    <row r="103" spans="1:35" ht="42.75" customHeight="1">
      <c r="A103" s="3507"/>
      <c r="B103" s="1266" t="s">
        <v>211</v>
      </c>
      <c r="C103" s="1235">
        <f ca="1">C20</f>
        <v>25157</v>
      </c>
      <c r="D103" s="1236">
        <f ca="1">D20</f>
        <v>17043</v>
      </c>
      <c r="E103" s="3551" t="s">
        <v>3019</v>
      </c>
      <c r="F103" s="3552"/>
      <c r="G103" s="1267" t="s">
        <v>213</v>
      </c>
      <c r="H103" s="1984">
        <f>IF(D36="正常操作",H104+H105+H106,H105+H106)</f>
        <v>0</v>
      </c>
      <c r="I103" s="2276"/>
    </row>
    <row r="104" spans="1:35" ht="18.75" customHeight="1">
      <c r="A104" s="3507" t="s">
        <v>212</v>
      </c>
      <c r="B104" s="1268" t="s">
        <v>210</v>
      </c>
      <c r="C104" s="1237">
        <f ca="1">H118</f>
        <v>259766</v>
      </c>
      <c r="D104" s="1238"/>
      <c r="E104" s="13" t="s">
        <v>1909</v>
      </c>
      <c r="F104" s="6"/>
      <c r="G104" s="1267" t="s">
        <v>213</v>
      </c>
      <c r="H104" s="1985">
        <f>IF(D36="同一抵押权人同一抵押物续贷",C36&amp;"（未扣减，详见特别提示）",C36)</f>
        <v>0</v>
      </c>
      <c r="I104" s="2276"/>
    </row>
    <row r="105" spans="1:35" ht="18.75" customHeight="1" thickBot="1">
      <c r="A105" s="3508"/>
      <c r="B105" s="1269" t="s">
        <v>211</v>
      </c>
      <c r="C105" s="1239">
        <f ca="1">I118</f>
        <v>21100</v>
      </c>
      <c r="D105" s="1240"/>
      <c r="E105" s="13" t="s">
        <v>1911</v>
      </c>
      <c r="F105" s="6"/>
      <c r="G105" s="1267" t="s">
        <v>213</v>
      </c>
      <c r="H105" s="1985">
        <f>C37</f>
        <v>0</v>
      </c>
      <c r="I105" s="2276"/>
    </row>
    <row r="106" spans="1:35" ht="18.75" customHeight="1">
      <c r="A106" s="1241" t="s">
        <v>2007</v>
      </c>
      <c r="B106" s="1241"/>
      <c r="C106" s="1241"/>
      <c r="D106" s="1241"/>
      <c r="E106" s="467" t="s">
        <v>1912</v>
      </c>
      <c r="F106" s="6"/>
      <c r="G106" s="1267" t="s">
        <v>213</v>
      </c>
      <c r="H106" s="1985">
        <f>C38</f>
        <v>0</v>
      </c>
      <c r="I106" s="2276"/>
    </row>
    <row r="107" spans="1:35" ht="18.75" customHeight="1">
      <c r="A107" s="2276"/>
      <c r="B107" s="2276"/>
      <c r="C107" s="2276"/>
      <c r="D107" s="2276"/>
      <c r="E107" s="3504" t="str">
        <f>IF(项目基本情况!E8="已注销","——","3.房地产抵押价值")</f>
        <v>3.房地产抵押价值</v>
      </c>
      <c r="F107" s="3505"/>
      <c r="G107" s="1266" t="s">
        <v>210</v>
      </c>
      <c r="H107" s="1984">
        <f ca="1">IF(E107="——","——",H101-H103)</f>
        <v>259766</v>
      </c>
      <c r="I107" s="2276"/>
    </row>
    <row r="108" spans="1:35" ht="18.75" customHeight="1">
      <c r="A108" s="2276"/>
      <c r="B108" s="2276"/>
      <c r="C108" s="2276"/>
      <c r="D108" s="2276"/>
      <c r="E108" s="3504"/>
      <c r="F108" s="3505"/>
      <c r="G108" s="1266" t="s">
        <v>211</v>
      </c>
      <c r="H108" s="711">
        <f ca="1">ROUND(H107*10000/'数据-汇总表'!E3,0)</f>
        <v>21100</v>
      </c>
      <c r="I108" s="2276"/>
    </row>
    <row r="109" spans="1:35" ht="18.75" customHeight="1">
      <c r="A109" s="2276"/>
      <c r="B109" s="2276"/>
      <c r="C109" s="2276"/>
      <c r="D109" s="2276"/>
      <c r="E109" s="3504" t="str">
        <f>IF(项目基本情况!E8="已注销及未注销","4.抵押担保权已注销时的房地产抵押价值",IF(项目基本情况!E8="已注销","3.抵押担保权已注销时的房地产抵押价值","——"))</f>
        <v>——</v>
      </c>
      <c r="F109" s="3505"/>
      <c r="G109" s="1266" t="s">
        <v>210</v>
      </c>
      <c r="H109" s="685" t="str">
        <f>IF(E109="——","——",H101-H105-H106)</f>
        <v>——</v>
      </c>
      <c r="I109" s="2276"/>
    </row>
    <row r="110" spans="1:35" ht="18.75" customHeight="1">
      <c r="A110" s="2276"/>
      <c r="B110" s="2276"/>
      <c r="C110" s="2276"/>
      <c r="D110" s="2276"/>
      <c r="E110" s="3504"/>
      <c r="F110" s="3505"/>
      <c r="G110" s="1266" t="s">
        <v>211</v>
      </c>
      <c r="H110" s="711" t="str">
        <f>IF(H109="——","——",ROUND(H109*10000/'数据-汇总表'!E3,0))</f>
        <v>——</v>
      </c>
      <c r="I110" s="2276"/>
    </row>
    <row r="111" spans="1:35" ht="18.75" customHeight="1">
      <c r="A111" s="2276"/>
      <c r="B111" s="2276"/>
      <c r="C111" s="2276"/>
      <c r="D111" s="2276"/>
      <c r="E111" s="3541" t="str">
        <f>IF(项目基本情况!E9="抵押净值",IF(OR(项目基本情况!E8="已注销",项目基本情况!E8="房地产抵押价值"),"4.抵押净值","5.抵押净值"),"——")</f>
        <v>——</v>
      </c>
      <c r="F111" s="3542"/>
      <c r="G111" s="1266" t="s">
        <v>210</v>
      </c>
      <c r="H111" s="1984" t="str">
        <f>IF(E111="——","——",N59)</f>
        <v>——</v>
      </c>
      <c r="I111" s="2276"/>
    </row>
    <row r="112" spans="1:35" ht="18.75" customHeight="1" thickBot="1">
      <c r="A112" s="2276"/>
      <c r="B112" s="2276"/>
      <c r="C112" s="2276"/>
      <c r="D112" s="2276"/>
      <c r="E112" s="3543"/>
      <c r="F112" s="3544"/>
      <c r="G112" s="1270" t="s">
        <v>211</v>
      </c>
      <c r="H112" s="1421" t="str">
        <f>IF(E111="——","——",N61)</f>
        <v>——</v>
      </c>
      <c r="I112" s="2276"/>
    </row>
    <row r="113" spans="1:11" ht="18.75" customHeight="1">
      <c r="A113" s="2276"/>
      <c r="B113" s="2276"/>
      <c r="C113" s="2276"/>
      <c r="D113" s="2276"/>
      <c r="E113" s="3509" t="s">
        <v>2007</v>
      </c>
      <c r="F113" s="3509"/>
      <c r="G113" s="3509"/>
      <c r="H113" s="3509"/>
      <c r="I113" s="2276"/>
    </row>
    <row r="114" spans="1:11" ht="3.75" customHeight="1">
      <c r="A114" s="1241"/>
      <c r="B114" s="1241"/>
      <c r="C114" s="1241"/>
      <c r="D114" s="1241"/>
      <c r="E114" s="1256"/>
      <c r="F114" s="1256"/>
      <c r="G114" s="1256"/>
      <c r="H114" s="1256"/>
      <c r="I114" s="1241"/>
    </row>
    <row r="115" spans="1:11" ht="18.75" customHeight="1">
      <c r="A115" s="3523" t="s">
        <v>226</v>
      </c>
      <c r="B115" s="3524"/>
      <c r="C115" s="3524"/>
      <c r="D115" s="3524"/>
      <c r="E115" s="3524"/>
      <c r="F115" s="3524"/>
      <c r="G115" s="3524"/>
      <c r="H115" s="3524"/>
      <c r="I115" s="3525"/>
    </row>
    <row r="116" spans="1:11" ht="27" customHeight="1">
      <c r="A116" s="3412" t="s">
        <v>5</v>
      </c>
      <c r="B116" s="3510" t="s">
        <v>784</v>
      </c>
      <c r="C116" s="3510" t="s">
        <v>785</v>
      </c>
      <c r="D116" s="3527" t="s">
        <v>206</v>
      </c>
      <c r="E116" s="3528"/>
      <c r="F116" s="3519" t="s">
        <v>2387</v>
      </c>
      <c r="G116" s="3519"/>
      <c r="H116" s="3412" t="s">
        <v>6</v>
      </c>
      <c r="I116" s="3412"/>
    </row>
    <row r="117" spans="1:11" ht="18.75" customHeight="1">
      <c r="A117" s="3412"/>
      <c r="B117" s="3511"/>
      <c r="C117" s="3511"/>
      <c r="D117" s="1913" t="s">
        <v>7</v>
      </c>
      <c r="E117" s="1913" t="s">
        <v>786</v>
      </c>
      <c r="F117" s="1913" t="s">
        <v>7</v>
      </c>
      <c r="G117" s="1913" t="s">
        <v>8</v>
      </c>
      <c r="H117" s="1913" t="s">
        <v>7</v>
      </c>
      <c r="I117" s="1913" t="s">
        <v>8</v>
      </c>
    </row>
    <row r="118" spans="1:11" ht="24.75" customHeight="1">
      <c r="A118" s="2031" t="str">
        <f>项目基本情况!S2</f>
        <v>北京市房地产</v>
      </c>
      <c r="B118" s="1918">
        <f>M18</f>
        <v>123111.63</v>
      </c>
      <c r="C118" s="1918">
        <f>M19</f>
        <v>22211.31</v>
      </c>
      <c r="D118" s="1918">
        <f ca="1">ROUND(IF(D32="总价",C34,E118*B118/10000),0)</f>
        <v>185473</v>
      </c>
      <c r="E118" s="1918">
        <f ca="1">ROUND(IF(C33="自定义",IF(D32="楼面单价",C34,D118*10000/B118),I118-G118),0)</f>
        <v>15065</v>
      </c>
      <c r="F118" s="1918">
        <f ca="1">ROUND(IF(D32="总价",C35,G118*B118/10000),0)</f>
        <v>74293</v>
      </c>
      <c r="G118" s="1918">
        <f ca="1">ROUND(IF(D32="楼面单价",C35,F118*10000/B118),0)</f>
        <v>6035</v>
      </c>
      <c r="H118" s="1918">
        <f ca="1">ROUND(IF(D32="总价",C32,I118*B118/10000),0)</f>
        <v>259766</v>
      </c>
      <c r="I118" s="1918">
        <f ca="1">ROUND(IF(D32="楼面单价",C32,H118*10000/B118),0)</f>
        <v>21100</v>
      </c>
      <c r="J118" s="1444">
        <v>252780</v>
      </c>
    </row>
    <row r="119" spans="1:11" ht="18.75" customHeight="1">
      <c r="A119" s="3412" t="s">
        <v>9</v>
      </c>
      <c r="B119" s="3412"/>
      <c r="C119" s="3412"/>
      <c r="D119" s="3516" t="str">
        <f ca="1">NUMBERSTRING(INT(D118*10000),2)&amp;"元整"</f>
        <v>壹拾捌亿伍仟肆佰柒拾叁万元整</v>
      </c>
      <c r="E119" s="3518"/>
      <c r="F119" s="3516" t="str">
        <f ca="1">NUMBERSTRING(INT(F118*10000),2)&amp;"元整"</f>
        <v>柒亿肆仟贰佰玖拾叁万元整</v>
      </c>
      <c r="G119" s="3518"/>
      <c r="H119" s="3516" t="str">
        <f ca="1">NUMBERSTRING(INT(H118*10000),2)&amp;"元整"</f>
        <v>贰拾伍亿玖仟柒佰陆拾陆万元整</v>
      </c>
      <c r="I119" s="3518"/>
      <c r="J119" s="1444">
        <f ca="1">J118-H118</f>
        <v>-6986</v>
      </c>
    </row>
    <row r="120" spans="1:11" ht="18.75" customHeight="1">
      <c r="A120" s="3548" t="str">
        <f>MID(E103,3,LEN(E103)-2)</f>
        <v>估价师知悉的法定优先受偿款</v>
      </c>
      <c r="B120" s="3549"/>
      <c r="C120" s="3550"/>
      <c r="D120" s="3545">
        <f>H103</f>
        <v>0</v>
      </c>
      <c r="E120" s="3546"/>
      <c r="F120" s="3546"/>
      <c r="G120" s="3546"/>
      <c r="H120" s="3546"/>
      <c r="I120" s="3547"/>
      <c r="K120" s="1432" t="str">
        <f>IF(D120=0,"故，本次评估不存在"&amp;A120,"故，本次评估"&amp;A120&amp;"为人民币"&amp;D120&amp;"万元整。")</f>
        <v>故，本次评估不存在估价师知悉的法定优先受偿款</v>
      </c>
    </row>
    <row r="121" spans="1:11" ht="18.75" customHeight="1">
      <c r="A121" s="3520" t="s">
        <v>9</v>
      </c>
      <c r="B121" s="3521"/>
      <c r="C121" s="3522"/>
      <c r="D121" s="3516" t="str">
        <f>IF(D120=0,"零元整",NUMBERSTRING(INT(D120*10000),2)&amp;"元整")</f>
        <v>零元整</v>
      </c>
      <c r="E121" s="3517"/>
      <c r="F121" s="3517"/>
      <c r="G121" s="3517"/>
      <c r="H121" s="3517"/>
      <c r="I121" s="3518"/>
    </row>
    <row r="122" spans="1:11" ht="18.75" customHeight="1">
      <c r="A122" s="3506" t="str">
        <f>MID(E107,3,LEN(E107)-2)</f>
        <v>房地产抵押价值</v>
      </c>
      <c r="B122" s="3506"/>
      <c r="C122" s="3506"/>
      <c r="D122" s="3545">
        <f ca="1">H107</f>
        <v>259766</v>
      </c>
      <c r="E122" s="3546"/>
      <c r="F122" s="3546"/>
      <c r="G122" s="3546"/>
      <c r="H122" s="3546"/>
      <c r="I122" s="3547"/>
    </row>
    <row r="123" spans="1:11" ht="18.75" customHeight="1">
      <c r="A123" s="3412" t="s">
        <v>9</v>
      </c>
      <c r="B123" s="3412"/>
      <c r="C123" s="3412"/>
      <c r="D123" s="3516" t="str">
        <f ca="1">NUMBERSTRING(INT(D122*10000),2)&amp;"元整"</f>
        <v>贰拾伍亿玖仟柒佰陆拾陆万元整</v>
      </c>
      <c r="E123" s="3517"/>
      <c r="F123" s="3517"/>
      <c r="G123" s="3517"/>
      <c r="H123" s="3517"/>
      <c r="I123" s="3518"/>
    </row>
    <row r="124" spans="1:11" ht="18.75" customHeight="1">
      <c r="A124" s="3506" t="str">
        <f>MID(E109,3,LEN(E109)-2)</f>
        <v/>
      </c>
      <c r="B124" s="3506"/>
      <c r="C124" s="3506"/>
      <c r="D124" s="3545" t="str">
        <f>H109</f>
        <v>——</v>
      </c>
      <c r="E124" s="3546"/>
      <c r="F124" s="3546"/>
      <c r="G124" s="3546"/>
      <c r="H124" s="3546"/>
      <c r="I124" s="3547"/>
    </row>
    <row r="125" spans="1:11" ht="18.75" customHeight="1">
      <c r="A125" s="3412" t="s">
        <v>9</v>
      </c>
      <c r="B125" s="3412"/>
      <c r="C125" s="3412"/>
      <c r="D125" s="3516" t="e">
        <f>NUMBERSTRING(INT(D124*10000),2)&amp;"元整"</f>
        <v>#VALUE!</v>
      </c>
      <c r="E125" s="3517"/>
      <c r="F125" s="3517"/>
      <c r="G125" s="3517"/>
      <c r="H125" s="3517"/>
      <c r="I125" s="3518"/>
    </row>
    <row r="126" spans="1:11" ht="18.75" customHeight="1">
      <c r="A126" s="3506" t="str">
        <f>MID(E111,3,LEN(E111)-2)</f>
        <v/>
      </c>
      <c r="B126" s="3506"/>
      <c r="C126" s="3506"/>
      <c r="D126" s="3545" t="str">
        <f>H111</f>
        <v>——</v>
      </c>
      <c r="E126" s="3546"/>
      <c r="F126" s="3546"/>
      <c r="G126" s="3546"/>
      <c r="H126" s="3546"/>
      <c r="I126" s="3547"/>
    </row>
    <row r="127" spans="1:11" ht="18.75" customHeight="1">
      <c r="A127" s="3412" t="s">
        <v>9</v>
      </c>
      <c r="B127" s="3412"/>
      <c r="C127" s="3412"/>
      <c r="D127" s="3516" t="e">
        <f>NUMBERSTRING(INT(D126*10000),2)&amp;"元整"</f>
        <v>#VALUE!</v>
      </c>
      <c r="E127" s="3517"/>
      <c r="F127" s="3517"/>
      <c r="G127" s="3517"/>
      <c r="H127" s="3517"/>
      <c r="I127" s="3518"/>
    </row>
    <row r="128" spans="1:11" ht="21.75" customHeight="1">
      <c r="A128" s="3526" t="s">
        <v>2006</v>
      </c>
      <c r="B128" s="3526"/>
      <c r="C128" s="3526"/>
      <c r="D128" s="3526"/>
      <c r="E128" s="3526"/>
      <c r="F128" s="3526"/>
      <c r="G128" s="3526"/>
      <c r="H128" s="3526"/>
      <c r="I128" s="3526"/>
    </row>
    <row r="129" spans="1:35" ht="21.75" customHeight="1">
      <c r="A129" s="2026" t="s">
        <v>787</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788</v>
      </c>
      <c r="G135" s="1446"/>
      <c r="H135" s="1446"/>
      <c r="I135" s="1447" t="s">
        <v>789</v>
      </c>
    </row>
    <row r="136" spans="1:35" ht="21.75" customHeight="1">
      <c r="A136" s="1444"/>
      <c r="B136" s="1448" t="s">
        <v>790</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791</v>
      </c>
    </row>
    <row r="139" spans="1:35" ht="21.75" customHeight="1">
      <c r="A139" s="1444"/>
      <c r="B139" s="1448" t="s">
        <v>792</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791</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3" stopIfTrue="1" operator="equal">
      <formula>25</formula>
    </cfRule>
  </conditionalFormatting>
  <conditionalFormatting sqref="C8:C9">
    <cfRule type="cellIs" dxfId="148" priority="21" stopIfTrue="1" operator="equal">
      <formula>15</formula>
    </cfRule>
  </conditionalFormatting>
  <conditionalFormatting sqref="C14:C16">
    <cfRule type="cellIs" dxfId="147" priority="15" stopIfTrue="1" operator="equal">
      <formula>30</formula>
    </cfRule>
  </conditionalFormatting>
  <conditionalFormatting sqref="D5:D7">
    <cfRule type="cellIs" dxfId="146" priority="12" stopIfTrue="1" operator="equal">
      <formula>25</formula>
    </cfRule>
  </conditionalFormatting>
  <conditionalFormatting sqref="D8:D9">
    <cfRule type="cellIs" dxfId="145" priority="11" stopIfTrue="1" operator="equal">
      <formula>15</formula>
    </cfRule>
  </conditionalFormatting>
  <conditionalFormatting sqref="C10:D13">
    <cfRule type="cellIs" dxfId="144" priority="10" stopIfTrue="1" operator="equal">
      <formula>15</formula>
    </cfRule>
  </conditionalFormatting>
  <conditionalFormatting sqref="D14:D16">
    <cfRule type="cellIs" dxfId="143" priority="8" stopIfTrue="1" operator="equal">
      <formula>30</formula>
    </cfRule>
  </conditionalFormatting>
  <conditionalFormatting sqref="C90">
    <cfRule type="expression" dxfId="142" priority="5" stopIfTrue="1">
      <formula>$H$88&lt;&gt;"仅含出让金"</formula>
    </cfRule>
  </conditionalFormatting>
  <conditionalFormatting sqref="C91">
    <cfRule type="expression" dxfId="141" priority="4" stopIfTrue="1">
      <formula>$H$91="由企业提供"</formula>
    </cfRule>
  </conditionalFormatting>
  <conditionalFormatting sqref="E36">
    <cfRule type="expression" dxfId="140" priority="3" stopIfTrue="1">
      <formula>$D$36="同一抵押权人同一抵押物续贷"</formula>
    </cfRule>
  </conditionalFormatting>
  <conditionalFormatting sqref="C10:C13">
    <cfRule type="cellIs" dxfId="139" priority="2" stopIfTrue="1" operator="equal">
      <formula>15</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31"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c r="C1" s="574"/>
      <c r="D1" s="574"/>
      <c r="E1" s="574"/>
      <c r="F1" s="574"/>
      <c r="G1" s="2752">
        <f>MATCH(B1,'数据-取费表'!A6:A16,0)+5</f>
        <v>8</v>
      </c>
    </row>
    <row r="2" spans="1:9" s="576" customFormat="1" ht="18" customHeight="1">
      <c r="A2" s="577" t="s">
        <v>446</v>
      </c>
      <c r="B2" s="578">
        <f ca="1">IF(D2="——",C52,C52-E2)</f>
        <v>209822</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17043</v>
      </c>
      <c r="C3" s="85" t="s">
        <v>867</v>
      </c>
      <c r="D3" s="575"/>
      <c r="E3" s="575"/>
      <c r="F3" s="575"/>
      <c r="G3" s="575"/>
    </row>
    <row r="4" spans="1:9" s="584" customFormat="1" ht="15.75">
      <c r="A4" s="581" t="s">
        <v>819</v>
      </c>
      <c r="B4" s="582"/>
      <c r="C4" s="582"/>
      <c r="D4" s="582"/>
      <c r="E4" s="582"/>
      <c r="F4" s="582"/>
      <c r="G4" s="583"/>
    </row>
    <row r="5" spans="1:9" s="590" customFormat="1" ht="13.5" customHeight="1">
      <c r="A5" s="631" t="s">
        <v>2511</v>
      </c>
      <c r="B5" s="586" t="s">
        <v>820</v>
      </c>
      <c r="C5" s="587">
        <f ca="1">C6+C7+C8</f>
        <v>100119</v>
      </c>
      <c r="D5" s="587" t="s">
        <v>821</v>
      </c>
      <c r="E5" s="588" t="s">
        <v>822</v>
      </c>
      <c r="F5" s="588" t="s">
        <v>823</v>
      </c>
      <c r="G5" s="589"/>
    </row>
    <row r="6" spans="1:9" s="590" customFormat="1" ht="13.5" customHeight="1">
      <c r="A6" s="1802" t="s">
        <v>1922</v>
      </c>
      <c r="B6" s="591" t="s">
        <v>824</v>
      </c>
      <c r="C6" s="592">
        <f ca="1">基准地价修正!V2+基准地价修正!V3+基准地价修正!V4+基准地价修正!V5+基准地价修正!V6+基准地价修正!V7+基准地价修正!E39+基准地价修正!E33</f>
        <v>94767</v>
      </c>
      <c r="D6" s="593"/>
      <c r="E6" s="594"/>
      <c r="F6" s="594"/>
      <c r="G6" s="595"/>
    </row>
    <row r="7" spans="1:9" s="590" customFormat="1" ht="13.5" customHeight="1">
      <c r="A7" s="1802" t="s">
        <v>1923</v>
      </c>
      <c r="B7" s="591" t="s">
        <v>347</v>
      </c>
      <c r="C7" s="596">
        <f ca="1">ROUND(C6*F7,0)</f>
        <v>2890</v>
      </c>
      <c r="D7" s="596"/>
      <c r="E7" s="594"/>
      <c r="F7" s="597">
        <f>'数据-取费表'!B48+'数据-取费表'!B49</f>
        <v>3.0499999999999999E-2</v>
      </c>
      <c r="G7" s="595"/>
    </row>
    <row r="8" spans="1:9" s="599" customFormat="1">
      <c r="A8" s="1802" t="s">
        <v>1924</v>
      </c>
      <c r="B8" s="591" t="s">
        <v>825</v>
      </c>
      <c r="C8" s="596">
        <f ca="1">IF(G8="已包含在土地购买价格中","0",IF(B1="",'数据-取费表'!B29,IF(G9="全部缴纳",C9+C10,H9)))</f>
        <v>2462</v>
      </c>
      <c r="D8" s="598"/>
      <c r="E8" s="596"/>
      <c r="F8" s="597"/>
      <c r="G8" s="84" t="s">
        <v>3125</v>
      </c>
    </row>
    <row r="9" spans="1:9" s="590" customFormat="1" ht="13.5" customHeight="1">
      <c r="A9" s="1803" t="s">
        <v>1931</v>
      </c>
      <c r="B9" s="600" t="s">
        <v>826</v>
      </c>
      <c r="C9" s="601">
        <f ca="1">ROUND(D9*E9/10000,0)</f>
        <v>0</v>
      </c>
      <c r="D9" s="1907">
        <f ca="1">IF(B1="",'数据-汇总表'!E5,IF(INDIRECT("'数据-取费表'!c"&amp;$G$1)="住宅",INDIRECT("'数据-取费表'!k"&amp;$G$1),0))</f>
        <v>0</v>
      </c>
      <c r="E9" s="601">
        <f>'数据-取费表'!B27</f>
        <v>0</v>
      </c>
      <c r="F9" s="597"/>
      <c r="G9" s="2799" t="s">
        <v>3095</v>
      </c>
      <c r="H9" s="2800">
        <v>2462</v>
      </c>
      <c r="I9" s="2801" t="s">
        <v>2693</v>
      </c>
    </row>
    <row r="10" spans="1:9" s="590" customFormat="1" ht="13.5" customHeight="1">
      <c r="A10" s="1803" t="s">
        <v>1932</v>
      </c>
      <c r="B10" s="600" t="s">
        <v>827</v>
      </c>
      <c r="C10" s="601">
        <f ca="1">ROUND(D10*E10/10000,0)</f>
        <v>2462</v>
      </c>
      <c r="D10" s="1907">
        <f ca="1">IF(B1="",'数据-汇总表'!E6,IF(INDIRECT("'数据-取费表'!c"&amp;$G$1)="住宅",INDIRECT("'数据-取费表'!s"&amp;$G$1),INDIRECT("'数据-取费表'!k"&amp;$G$1)+INDIRECT("'数据-取费表'!s"&amp;$G$1)))</f>
        <v>123111.63</v>
      </c>
      <c r="E10" s="601">
        <f>'数据-取费表'!B28</f>
        <v>200</v>
      </c>
      <c r="F10" s="597"/>
      <c r="G10" s="602"/>
    </row>
    <row r="11" spans="1:9" s="590" customFormat="1" ht="13.5" hidden="1" customHeight="1">
      <c r="A11" s="603" t="s">
        <v>42</v>
      </c>
      <c r="B11" s="591" t="s">
        <v>828</v>
      </c>
      <c r="C11" s="587"/>
      <c r="D11" s="1909"/>
      <c r="E11" s="594"/>
      <c r="F11" s="594"/>
      <c r="G11" s="595"/>
    </row>
    <row r="12" spans="1:9" s="590" customFormat="1" ht="13.5" hidden="1" customHeight="1">
      <c r="A12" s="603" t="s">
        <v>43</v>
      </c>
      <c r="B12" s="591" t="s">
        <v>829</v>
      </c>
      <c r="C12" s="587">
        <v>0</v>
      </c>
      <c r="D12" s="1909"/>
      <c r="E12" s="604"/>
      <c r="F12" s="597">
        <v>3.0499999999999999E-2</v>
      </c>
      <c r="G12" s="595"/>
    </row>
    <row r="13" spans="1:9" s="590" customFormat="1" ht="13.5" hidden="1" customHeight="1">
      <c r="A13" s="603" t="s">
        <v>44</v>
      </c>
      <c r="B13" s="591" t="s">
        <v>830</v>
      </c>
      <c r="C13" s="587"/>
      <c r="D13" s="1909"/>
      <c r="E13" s="594"/>
      <c r="F13" s="594"/>
      <c r="G13" s="595"/>
    </row>
    <row r="14" spans="1:9" s="590" customFormat="1" ht="13.5" hidden="1" customHeight="1">
      <c r="A14" s="603" t="s">
        <v>45</v>
      </c>
      <c r="B14" s="591" t="s">
        <v>825</v>
      </c>
      <c r="C14" s="587"/>
      <c r="D14" s="1909"/>
      <c r="E14" s="594"/>
      <c r="F14" s="594"/>
      <c r="G14" s="595" t="s">
        <v>831</v>
      </c>
    </row>
    <row r="15" spans="1:9" s="590" customFormat="1" ht="13.5" hidden="1" customHeight="1">
      <c r="A15" s="603" t="s">
        <v>46</v>
      </c>
      <c r="B15" s="591" t="s">
        <v>832</v>
      </c>
      <c r="C15" s="596"/>
      <c r="D15" s="1909"/>
      <c r="E15" s="594"/>
      <c r="F15" s="594"/>
      <c r="G15" s="595" t="s">
        <v>833</v>
      </c>
    </row>
    <row r="16" spans="1:9"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t="str">
        <f>IF(G19="已包含在土地取得成本中","0",ROUND(D19*E19/10000,0))</f>
        <v>0</v>
      </c>
      <c r="D19" s="1911">
        <f ca="1">D9+D10</f>
        <v>123111.63</v>
      </c>
      <c r="E19" s="587">
        <f>'数据-取费表'!B31</f>
        <v>200</v>
      </c>
      <c r="F19" s="607"/>
      <c r="G19" s="84" t="s">
        <v>3126</v>
      </c>
    </row>
    <row r="20" spans="1:7" s="590" customFormat="1" ht="13.5" customHeight="1">
      <c r="A20" s="1801" t="s">
        <v>2514</v>
      </c>
      <c r="B20" s="586" t="s">
        <v>837</v>
      </c>
      <c r="C20" s="608">
        <f ca="1">ROUND((C5+C19)*F20,0)</f>
        <v>2002</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12436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699">
        <f ca="1">ROUND(IF('数据-取费表'!B22&lt;=1,C5*F22*'数据-取费表'!B23,C5*(POWER((1+F22),'数据-取费表'!B23)-1)),0)</f>
        <v>12316</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0</v>
      </c>
      <c r="D24" s="614"/>
      <c r="E24" s="614"/>
      <c r="F24" s="615"/>
      <c r="G24" s="616" t="s">
        <v>842</v>
      </c>
    </row>
    <row r="25" spans="1:7" s="590" customFormat="1" ht="24">
      <c r="A25" s="1804" t="s">
        <v>1924</v>
      </c>
      <c r="B25" s="591" t="s">
        <v>2515</v>
      </c>
      <c r="C25" s="2699">
        <f ca="1">ROUND(IF('数据-取费表'!B22&lt;=1,C20*F22*'数据-取费表'!B23/2,C20*(POWER((1+F22),'数据-取费表'!B23/2)-1)),0)</f>
        <v>120</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 ca="1">C28</f>
        <v>23488</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ROUND((C5+C19+C20)*F27*'数据-取费表'!B21/'数据-取费表'!B20,0)</f>
        <v>23488</v>
      </c>
      <c r="D28" s="611"/>
      <c r="E28" s="612"/>
      <c r="F28" s="622"/>
      <c r="G28" s="623"/>
    </row>
    <row r="29" spans="1:7" s="590" customFormat="1" ht="13.5" customHeight="1">
      <c r="A29" s="1804" t="s">
        <v>1923</v>
      </c>
      <c r="B29" s="624" t="s">
        <v>2520</v>
      </c>
      <c r="C29" s="614">
        <f ca="1">ROUND(C21*F27*'数据-取费表'!B21/'数据-取费表'!B20,4)</f>
        <v>4.5999999999999999E-3</v>
      </c>
      <c r="D29" s="611"/>
      <c r="E29" s="612"/>
      <c r="F29" s="622"/>
      <c r="G29" s="623"/>
    </row>
    <row r="30" spans="1:7" s="590" customFormat="1" ht="13.5" customHeight="1">
      <c r="A30" s="1801" t="s">
        <v>1919</v>
      </c>
      <c r="B30" s="586" t="s">
        <v>348</v>
      </c>
      <c r="C30" s="611">
        <f>ROUND(F30/(1+'数据-取费表'!C42),4)</f>
        <v>5.2400000000000002E-2</v>
      </c>
      <c r="D30" s="612" t="s">
        <v>2946</v>
      </c>
      <c r="E30" s="617"/>
      <c r="F30" s="613">
        <f>'数据-取费表'!B41</f>
        <v>5.5000000000000007E-2</v>
      </c>
      <c r="G30" s="2619" t="s">
        <v>2947</v>
      </c>
    </row>
    <row r="31" spans="1:7" ht="16.5" customHeight="1">
      <c r="A31" s="585">
        <v>1</v>
      </c>
      <c r="B31" s="586" t="s">
        <v>861</v>
      </c>
      <c r="C31" s="587">
        <f ca="1">ROUND((C5+C19+C20+C22+C27)/(1-C21-D22-D27-C30),0)</f>
        <v>149756</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42818</v>
      </c>
      <c r="D33" s="608"/>
      <c r="E33" s="588"/>
      <c r="F33" s="617"/>
      <c r="G33" s="610"/>
    </row>
    <row r="34" spans="1:7" s="634" customFormat="1" ht="13.5" customHeight="1">
      <c r="A34" s="1804" t="s">
        <v>1922</v>
      </c>
      <c r="B34" s="591" t="s">
        <v>349</v>
      </c>
      <c r="C34" s="596">
        <f ca="1">IF(B1="",IF(F34=100%,'数据-取费表'!M16,'数据-取费表'!O16),IF(F34=100%,INDIRECT("'数据-取费表'!m"&amp;$G$1)+INDIRECT("'数据-取费表'!t"&amp;$G$1),INDIRECT("'数据-取费表'!o"&amp;$G$1)+INDIRECT("'数据-取费表'!aq"&amp;$G$1)))</f>
        <v>38618</v>
      </c>
      <c r="D34" s="593"/>
      <c r="E34" s="596"/>
      <c r="F34" s="633">
        <f ca="1">IF('数据-取费表'!B24=0,1,IF(B1="",'数据-取费表'!N16,INDIRECT("'数据-取费表'!n"&amp;$G$1)))</f>
        <v>1</v>
      </c>
      <c r="G34" s="595" t="s">
        <v>849</v>
      </c>
    </row>
    <row r="35" spans="1:7" ht="13.5" customHeight="1">
      <c r="A35" s="1804" t="s">
        <v>1927</v>
      </c>
      <c r="B35" s="591" t="s">
        <v>350</v>
      </c>
      <c r="C35" s="596">
        <f ca="1">ROUND(C34*F35,0)</f>
        <v>1159</v>
      </c>
      <c r="D35" s="596"/>
      <c r="E35" s="596"/>
      <c r="F35" s="635">
        <f>'数据-取费表'!B33</f>
        <v>0.03</v>
      </c>
      <c r="G35" s="595" t="s">
        <v>850</v>
      </c>
    </row>
    <row r="36" spans="1:7" ht="24">
      <c r="A36" s="1804"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4" t="s">
        <v>1929</v>
      </c>
      <c r="B37" s="591" t="s">
        <v>851</v>
      </c>
      <c r="C37" s="625">
        <f ca="1">ROUND(E37*D37*F34/10000,0)</f>
        <v>2462</v>
      </c>
      <c r="D37" s="593">
        <f ca="1">D19</f>
        <v>123111.63</v>
      </c>
      <c r="E37" s="625">
        <f>'数据-取费表'!B35</f>
        <v>200</v>
      </c>
      <c r="F37" s="635"/>
      <c r="G37" s="637" t="s">
        <v>852</v>
      </c>
    </row>
    <row r="38" spans="1:7" ht="13.5" customHeight="1">
      <c r="A38" s="1804" t="s">
        <v>1930</v>
      </c>
      <c r="B38" s="591" t="s">
        <v>353</v>
      </c>
      <c r="C38" s="596">
        <f ca="1">ROUND(C34*F38,0)</f>
        <v>579</v>
      </c>
      <c r="D38" s="596"/>
      <c r="E38" s="596"/>
      <c r="F38" s="635">
        <f>'数据-取费表'!B36</f>
        <v>1.4999999999999999E-2</v>
      </c>
      <c r="G38" s="595" t="s">
        <v>850</v>
      </c>
    </row>
    <row r="39" spans="1:7" s="590" customFormat="1" ht="13.5" customHeight="1">
      <c r="A39" s="1801" t="s">
        <v>1914</v>
      </c>
      <c r="B39" s="586" t="s">
        <v>837</v>
      </c>
      <c r="C39" s="608">
        <f ca="1">ROUND(C33*F20,0)</f>
        <v>856</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2608</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ROUND(IF('数据-取费表'!B22&lt;=1,C33*F22*'数据-取费表'!B21/2,C33*(POWER((1+F22),'数据-取费表'!B21/2)-1)),0)</f>
        <v>2557</v>
      </c>
      <c r="D42" s="614"/>
      <c r="E42" s="614"/>
      <c r="F42" s="615"/>
      <c r="G42" s="3562" t="s">
        <v>854</v>
      </c>
    </row>
    <row r="43" spans="1:7" ht="13.5" customHeight="1">
      <c r="A43" s="1804" t="s">
        <v>1923</v>
      </c>
      <c r="B43" s="591" t="s">
        <v>2521</v>
      </c>
      <c r="C43" s="614">
        <f ca="1">ROUND(IF('数据-取费表'!B22&lt;=1,C39*F22*'数据-取费表'!B21/2,C39*(POWER((1+F22),'数据-取费表'!B21/2)-1)),0)</f>
        <v>51</v>
      </c>
      <c r="D43" s="614"/>
      <c r="E43" s="614"/>
      <c r="F43" s="615"/>
      <c r="G43" s="3563"/>
    </row>
    <row r="44" spans="1:7" ht="13.5" customHeight="1">
      <c r="A44" s="1804" t="s">
        <v>1924</v>
      </c>
      <c r="B44" s="591" t="s">
        <v>2523</v>
      </c>
      <c r="C44" s="614">
        <f ca="1">ROUND(IF('数据-取费表'!B22&lt;=1,C40*F22*'数据-取费表'!B21/2,C40*(POWER((1+F22),'数据-取费表'!B21/2)-1)),4)</f>
        <v>1.1999999999999999E-3</v>
      </c>
      <c r="D44" s="614"/>
      <c r="E44" s="614"/>
      <c r="F44" s="615"/>
      <c r="G44" s="3564"/>
    </row>
    <row r="45" spans="1:7" s="590" customFormat="1" ht="13.5" customHeight="1">
      <c r="A45" s="1801" t="s">
        <v>1917</v>
      </c>
      <c r="B45" s="620" t="s">
        <v>845</v>
      </c>
      <c r="C45" s="621">
        <f ca="1">C46</f>
        <v>10045</v>
      </c>
      <c r="D45" s="611">
        <f ca="1">C47</f>
        <v>4.5999999999999999E-3</v>
      </c>
      <c r="E45" s="612" t="s">
        <v>862</v>
      </c>
      <c r="F45" s="622"/>
      <c r="G45" s="623" t="s">
        <v>2529</v>
      </c>
    </row>
    <row r="46" spans="1:7" s="590" customFormat="1" ht="13.5" customHeight="1">
      <c r="A46" s="1804" t="s">
        <v>1922</v>
      </c>
      <c r="B46" s="624" t="s">
        <v>2522</v>
      </c>
      <c r="C46" s="625">
        <f ca="1">ROUND((C33+C39)*F27,0)</f>
        <v>10045</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3233">
        <f>ROUND(F30/(1+'数据-取费表'!C42),4)</f>
        <v>5.2400000000000002E-2</v>
      </c>
      <c r="D48" s="612" t="s">
        <v>2948</v>
      </c>
      <c r="E48" s="608"/>
      <c r="F48" s="613"/>
      <c r="G48" s="2619" t="s">
        <v>2949</v>
      </c>
    </row>
    <row r="49" spans="1:7" ht="16.5" customHeight="1">
      <c r="A49" s="1801" t="s">
        <v>1919</v>
      </c>
      <c r="B49" s="586" t="s">
        <v>864</v>
      </c>
      <c r="C49" s="608">
        <f ca="1">ROUND((C33+C39+C41+C45)/(1-C40-D41-D45-C48),0)</f>
        <v>61105</v>
      </c>
      <c r="D49" s="608"/>
      <c r="E49" s="608"/>
      <c r="F49" s="640"/>
      <c r="G49" s="610" t="s">
        <v>2530</v>
      </c>
    </row>
    <row r="50" spans="1:7" s="634" customFormat="1" ht="24">
      <c r="A50" s="1801" t="s">
        <v>1920</v>
      </c>
      <c r="B50" s="586" t="s">
        <v>857</v>
      </c>
      <c r="C50" s="608"/>
      <c r="D50" s="608"/>
      <c r="E50" s="608"/>
      <c r="F50" s="640">
        <f>IF('数据-取费表'!B24=0,'数据-取费表'!N16,1)</f>
        <v>0.98299999999999998</v>
      </c>
      <c r="G50" s="623" t="s">
        <v>858</v>
      </c>
    </row>
    <row r="51" spans="1:7" ht="16.5" customHeight="1">
      <c r="A51" s="1801" t="s">
        <v>1921</v>
      </c>
      <c r="B51" s="586" t="s">
        <v>865</v>
      </c>
      <c r="C51" s="608">
        <f ca="1">ROUND(C49*F50,0)</f>
        <v>60066</v>
      </c>
      <c r="D51" s="608"/>
      <c r="E51" s="608"/>
      <c r="F51" s="640"/>
      <c r="G51" s="610" t="s">
        <v>354</v>
      </c>
    </row>
    <row r="52" spans="1:7" s="584" customFormat="1" ht="16.5" thickBot="1">
      <c r="A52" s="641" t="s">
        <v>355</v>
      </c>
      <c r="B52" s="642"/>
      <c r="C52" s="643">
        <f ca="1">C31+C51</f>
        <v>209822</v>
      </c>
      <c r="D52" s="642"/>
      <c r="E52" s="642"/>
      <c r="F52" s="642"/>
      <c r="G52" s="644"/>
    </row>
    <row r="55" spans="1:7" ht="15">
      <c r="B55" s="646" t="s">
        <v>356</v>
      </c>
      <c r="C55" s="647"/>
    </row>
    <row r="56" spans="1:7">
      <c r="B56" s="2871" t="s">
        <v>2705</v>
      </c>
      <c r="C56" s="651">
        <f ca="1">1-C57</f>
        <v>0.71399999999999997</v>
      </c>
    </row>
    <row r="57" spans="1:7">
      <c r="B57" s="2871" t="s">
        <v>2704</v>
      </c>
      <c r="C57" s="650">
        <f ca="1">ROUND(C51/C52,3)</f>
        <v>0.28599999999999998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69" t="str">
        <f>项目基本情况!B1</f>
        <v>北京市房地产市场价值预评估</v>
      </c>
      <c r="C37" s="3369"/>
      <c r="D37" s="3369"/>
      <c r="E37" s="3369"/>
      <c r="F37" s="3369"/>
      <c r="G37" s="3369"/>
      <c r="H37" s="3369"/>
      <c r="I37" s="3369"/>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 ca="1">项目基本情况!K4</f>
        <v>刘梅（注册号：0)、吴薇（注册号：1419970001)</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2635</v>
      </c>
      <c r="D1" s="574"/>
      <c r="E1" s="574"/>
      <c r="F1" s="574"/>
      <c r="G1" s="2752">
        <f>MATCH(B1,'数据-取费表'!A6:A16,0)+5</f>
        <v>8</v>
      </c>
      <c r="H1" s="2583" t="str">
        <f>IF(ISERROR(FIND("住宅",B1)),"非住宅","住宅")</f>
        <v>非住宅</v>
      </c>
    </row>
    <row r="2" spans="1:8" s="576" customFormat="1" ht="18" customHeight="1">
      <c r="A2" s="577" t="s">
        <v>345</v>
      </c>
      <c r="B2" s="578">
        <f ca="1">ROUND(IF(D2="——",C52/10000,C52/10000-E2),0)</f>
        <v>67435</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5478</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24622326</v>
      </c>
      <c r="D5" s="587" t="s">
        <v>821</v>
      </c>
      <c r="E5" s="588" t="s">
        <v>822</v>
      </c>
      <c r="F5" s="588" t="s">
        <v>823</v>
      </c>
      <c r="G5" s="589"/>
    </row>
    <row r="6" spans="1:8" s="590" customFormat="1" ht="13.5" customHeight="1">
      <c r="A6" s="1802" t="s">
        <v>1922</v>
      </c>
      <c r="B6" s="591" t="s">
        <v>824</v>
      </c>
      <c r="C6" s="592"/>
      <c r="D6" s="593"/>
      <c r="E6" s="594"/>
      <c r="F6" s="594"/>
      <c r="G6" s="595"/>
    </row>
    <row r="7" spans="1:8" s="590" customFormat="1" ht="13.5" customHeight="1">
      <c r="A7" s="1802" t="s">
        <v>1923</v>
      </c>
      <c r="B7" s="591" t="s">
        <v>347</v>
      </c>
      <c r="C7" s="596">
        <f>ROUND(C6*F7,0)</f>
        <v>0</v>
      </c>
      <c r="D7" s="596"/>
      <c r="E7" s="594"/>
      <c r="F7" s="597">
        <f>'数据-取费表'!B48+'数据-取费表'!B49</f>
        <v>3.0499999999999999E-2</v>
      </c>
      <c r="G7" s="595"/>
    </row>
    <row r="8" spans="1:8" s="599" customFormat="1">
      <c r="A8" s="1802" t="s">
        <v>1924</v>
      </c>
      <c r="B8" s="591" t="s">
        <v>825</v>
      </c>
      <c r="C8" s="596">
        <f ca="1">IF(G8="已包含在土地购买价格中",0,C9+C10)</f>
        <v>24622326</v>
      </c>
      <c r="D8" s="598"/>
      <c r="E8" s="596"/>
      <c r="F8" s="597"/>
      <c r="G8" s="84"/>
    </row>
    <row r="9" spans="1:8" s="590" customFormat="1" ht="13.5" customHeight="1">
      <c r="A9" s="1803" t="s">
        <v>1931</v>
      </c>
      <c r="B9" s="600" t="s">
        <v>826</v>
      </c>
      <c r="C9" s="601">
        <f ca="1">ROUND(D9*E9,0)</f>
        <v>0</v>
      </c>
      <c r="D9" s="1907">
        <f ca="1">IF(B1="",'数据-汇总表'!E5,IF(INDIRECT("'数据-取费表'!c"&amp;$G$1)="住宅",INDIRECT("'数据-取费表'!k"&amp;$G$1),0))</f>
        <v>0</v>
      </c>
      <c r="E9" s="601">
        <f>'数据-取费表'!B27</f>
        <v>0</v>
      </c>
      <c r="F9" s="597"/>
      <c r="G9" s="602"/>
    </row>
    <row r="10" spans="1:8" s="590" customFormat="1" ht="13.5" customHeight="1">
      <c r="A10" s="1803" t="s">
        <v>1932</v>
      </c>
      <c r="B10" s="600" t="s">
        <v>827</v>
      </c>
      <c r="C10" s="601">
        <f ca="1">ROUND(D10*E10,0)</f>
        <v>24622326</v>
      </c>
      <c r="D10" s="1907">
        <f ca="1">IF(B1="",'数据-汇总表'!E6,IF(INDIRECT("'数据-取费表'!c"&amp;$G$1)="住宅",INDIRECT("'数据-取费表'!s"&amp;$G$1),INDIRECT("'数据-取费表'!k"&amp;$G$1)+INDIRECT("'数据-取费表'!s"&amp;$G$1)))</f>
        <v>123111.63</v>
      </c>
      <c r="E10" s="601">
        <f>'数据-取费表'!B28</f>
        <v>200</v>
      </c>
      <c r="F10" s="597"/>
      <c r="G10" s="602"/>
    </row>
    <row r="11" spans="1:8" s="590" customFormat="1" ht="13.5" hidden="1" customHeight="1">
      <c r="A11" s="603" t="s">
        <v>42</v>
      </c>
      <c r="B11" s="591" t="s">
        <v>828</v>
      </c>
      <c r="C11" s="587"/>
      <c r="D11" s="1909"/>
      <c r="E11" s="594"/>
      <c r="F11" s="594"/>
      <c r="G11" s="595"/>
    </row>
    <row r="12" spans="1:8" s="590" customFormat="1" ht="13.5" hidden="1" customHeight="1">
      <c r="A12" s="603" t="s">
        <v>43</v>
      </c>
      <c r="B12" s="591" t="s">
        <v>829</v>
      </c>
      <c r="C12" s="587">
        <v>0</v>
      </c>
      <c r="D12" s="1909"/>
      <c r="E12" s="604"/>
      <c r="F12" s="597">
        <v>3.0499999999999999E-2</v>
      </c>
      <c r="G12" s="595"/>
    </row>
    <row r="13" spans="1:8" s="590" customFormat="1" ht="13.5" hidden="1" customHeight="1">
      <c r="A13" s="603" t="s">
        <v>44</v>
      </c>
      <c r="B13" s="591" t="s">
        <v>830</v>
      </c>
      <c r="C13" s="587"/>
      <c r="D13" s="1909"/>
      <c r="E13" s="594"/>
      <c r="F13" s="594"/>
      <c r="G13" s="595"/>
    </row>
    <row r="14" spans="1:8" s="590" customFormat="1" ht="13.5" hidden="1" customHeight="1">
      <c r="A14" s="603" t="s">
        <v>45</v>
      </c>
      <c r="B14" s="591" t="s">
        <v>825</v>
      </c>
      <c r="C14" s="587"/>
      <c r="D14" s="1909"/>
      <c r="E14" s="594"/>
      <c r="F14" s="594"/>
      <c r="G14" s="595" t="s">
        <v>831</v>
      </c>
    </row>
    <row r="15" spans="1:8" s="590" customFormat="1" ht="13.5" hidden="1" customHeight="1">
      <c r="A15" s="603" t="s">
        <v>46</v>
      </c>
      <c r="B15" s="591" t="s">
        <v>832</v>
      </c>
      <c r="C15" s="596"/>
      <c r="D15" s="1909"/>
      <c r="E15" s="594"/>
      <c r="F15" s="594"/>
      <c r="G15" s="595" t="s">
        <v>833</v>
      </c>
    </row>
    <row r="16" spans="1:8"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1914</v>
      </c>
      <c r="B19" s="586" t="s">
        <v>844</v>
      </c>
      <c r="C19" s="587">
        <f ca="1">IF(G19="已包含在土地取得成本中","0",ROUND(D19*E19,0))</f>
        <v>24622326</v>
      </c>
      <c r="D19" s="1911">
        <f ca="1">D9+D10</f>
        <v>123111.63</v>
      </c>
      <c r="E19" s="587">
        <f>'数据-取费表'!B31</f>
        <v>200</v>
      </c>
      <c r="F19" s="607"/>
      <c r="G19" s="84"/>
    </row>
    <row r="20" spans="1:7" s="590" customFormat="1" ht="13.5" customHeight="1">
      <c r="A20" s="1801" t="s">
        <v>1915</v>
      </c>
      <c r="B20" s="586" t="s">
        <v>837</v>
      </c>
      <c r="C20" s="608">
        <f ca="1">ROUND((C5+C19)*F20,0)</f>
        <v>984893</v>
      </c>
      <c r="D20" s="608"/>
      <c r="E20" s="608"/>
      <c r="F20" s="609">
        <f>'数据-取费表'!B37</f>
        <v>0.02</v>
      </c>
      <c r="G20" s="2619" t="s">
        <v>2525</v>
      </c>
    </row>
    <row r="21" spans="1:7" s="590" customFormat="1" ht="13.5" customHeight="1">
      <c r="A21" s="1801" t="s">
        <v>1916</v>
      </c>
      <c r="B21" s="586" t="s">
        <v>838</v>
      </c>
      <c r="C21" s="611">
        <f>F21</f>
        <v>0.02</v>
      </c>
      <c r="D21" s="612" t="s">
        <v>859</v>
      </c>
      <c r="E21" s="608"/>
      <c r="F21" s="609">
        <f>'数据-取费表'!B38</f>
        <v>0.02</v>
      </c>
      <c r="G21" s="610" t="s">
        <v>839</v>
      </c>
    </row>
    <row r="22" spans="1:7" s="590" customFormat="1" ht="13.5" customHeight="1">
      <c r="A22" s="1801" t="s">
        <v>1917</v>
      </c>
      <c r="B22" s="586" t="s">
        <v>840</v>
      </c>
      <c r="C22" s="2753">
        <f ca="1">ROUND(SUM(C23:C25),0)</f>
        <v>6116591</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754">
        <f ca="1">ROUND(IF('数据-取费表'!B22&lt;=1,C5*F22*'数据-取费表'!B22,C5*(POWER((1+F22),'数据-取费表'!B22)-1)),0)</f>
        <v>3028885</v>
      </c>
      <c r="D23" s="614"/>
      <c r="E23" s="614"/>
      <c r="F23" s="615"/>
      <c r="G23" s="616" t="s">
        <v>841</v>
      </c>
    </row>
    <row r="24" spans="1:7" s="590" customFormat="1" ht="13.5" customHeight="1">
      <c r="A24" s="1804" t="s">
        <v>1923</v>
      </c>
      <c r="B24" s="591" t="s">
        <v>2513</v>
      </c>
      <c r="C24" s="2754">
        <f ca="1">ROUND(IF('数据-取费表'!B22&lt;=1,C19*F22*('数据-取费表'!B19/2+'数据-取费表'!B20),C19*(POWER((1+F22),('数据-取费表'!B19/2+'数据-取费表'!B20))-1)),0)</f>
        <v>3028885</v>
      </c>
      <c r="D24" s="614"/>
      <c r="E24" s="614"/>
      <c r="F24" s="615"/>
      <c r="G24" s="616" t="s">
        <v>842</v>
      </c>
    </row>
    <row r="25" spans="1:7" s="590" customFormat="1" ht="24">
      <c r="A25" s="1804" t="s">
        <v>1924</v>
      </c>
      <c r="B25" s="591" t="s">
        <v>2515</v>
      </c>
      <c r="C25" s="2754">
        <f ca="1">ROUND(IF('数据-取费表'!B22&lt;=1,C20*F22*'数据-取费表'!B22/2,C20*(POWER((1+F22),'数据-取费表'!B22/2)-1)),0)</f>
        <v>58821</v>
      </c>
      <c r="D25" s="614"/>
      <c r="E25" s="617"/>
      <c r="F25" s="615"/>
      <c r="G25" s="618" t="s">
        <v>843</v>
      </c>
    </row>
    <row r="26" spans="1:7" s="590" customFormat="1">
      <c r="A26" s="1804" t="s">
        <v>1926</v>
      </c>
      <c r="B26" s="591" t="s">
        <v>2517</v>
      </c>
      <c r="C26" s="614">
        <f ca="1">ROUND(IF('数据-取费表'!B22&lt;=1,F21*F22*'数据-取费表'!B22/2,F21*(POWER((1+F22),'数据-取费表'!B22/2)-1)),4)</f>
        <v>1.1999999999999999E-3</v>
      </c>
      <c r="D26" s="614"/>
      <c r="E26" s="617"/>
      <c r="F26" s="615"/>
      <c r="G26" s="619"/>
    </row>
    <row r="27" spans="1:7" s="590" customFormat="1" ht="24.75">
      <c r="A27" s="1801" t="s">
        <v>1918</v>
      </c>
      <c r="B27" s="620" t="s">
        <v>845</v>
      </c>
      <c r="C27" s="621">
        <f ca="1">C28</f>
        <v>11552795</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ROUND((C5+C19+C20)*F27,0)</f>
        <v>11552795</v>
      </c>
      <c r="D28" s="611"/>
      <c r="E28" s="612"/>
      <c r="F28" s="622"/>
      <c r="G28" s="623"/>
    </row>
    <row r="29" spans="1:7" s="590" customFormat="1" ht="13.5" customHeight="1">
      <c r="A29" s="1804" t="s">
        <v>1923</v>
      </c>
      <c r="B29" s="624" t="s">
        <v>2520</v>
      </c>
      <c r="C29" s="614">
        <f ca="1">ROUND(C21*F27,4)</f>
        <v>4.5999999999999999E-3</v>
      </c>
      <c r="D29" s="611"/>
      <c r="E29" s="612"/>
      <c r="F29" s="622"/>
      <c r="G29" s="623"/>
    </row>
    <row r="30" spans="1:7" s="590" customFormat="1" ht="13.5" customHeight="1">
      <c r="A30" s="1801" t="s">
        <v>1919</v>
      </c>
      <c r="B30" s="586" t="s">
        <v>348</v>
      </c>
      <c r="C30" s="611">
        <f>ROUND(F30/(1+'数据-取费表'!C42),4)</f>
        <v>5.2400000000000002E-2</v>
      </c>
      <c r="D30" s="612" t="s">
        <v>2950</v>
      </c>
      <c r="E30" s="617"/>
      <c r="F30" s="613">
        <f>'数据-取费表'!B41</f>
        <v>5.5000000000000007E-2</v>
      </c>
      <c r="G30" s="2619" t="s">
        <v>2951</v>
      </c>
    </row>
    <row r="31" spans="1:7" ht="16.5" customHeight="1">
      <c r="A31" s="585">
        <v>1</v>
      </c>
      <c r="B31" s="586" t="s">
        <v>861</v>
      </c>
      <c r="C31" s="587">
        <f ca="1">ROUND((C5+C19+C20+C22+C27)/(1-C21-D22-D27-C30),0)</f>
        <v>73659070</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1913</v>
      </c>
      <c r="B33" s="2755" t="s">
        <v>2631</v>
      </c>
      <c r="C33" s="632">
        <f ca="1">SUM(C34:C38)</f>
        <v>428188736</v>
      </c>
      <c r="D33" s="608"/>
      <c r="E33" s="588"/>
      <c r="F33" s="617"/>
      <c r="G33" s="610"/>
    </row>
    <row r="34" spans="1:7" s="634" customFormat="1" ht="13.5" customHeight="1">
      <c r="A34" s="1804" t="s">
        <v>1922</v>
      </c>
      <c r="B34" s="591" t="s">
        <v>349</v>
      </c>
      <c r="C34" s="596">
        <f ca="1">ROUND(IF(B1="",SUMPRODUCT('数据-取费表'!K6:K14,'数据-取费表'!L6:L14),INDIRECT("'数据-取费表'!l"&amp;$G$1)*INDIRECT("'数据-取费表'!k"&amp;$G$1)+'数据-取费表'!L14*INDIRECT("'数据-取费表'!S"&amp;$G$1)),0)</f>
        <v>386187952</v>
      </c>
      <c r="D34" s="593"/>
      <c r="E34" s="596"/>
      <c r="F34" s="633"/>
      <c r="G34" s="595"/>
    </row>
    <row r="35" spans="1:7" ht="13.5" customHeight="1">
      <c r="A35" s="1804" t="s">
        <v>1927</v>
      </c>
      <c r="B35" s="591" t="s">
        <v>350</v>
      </c>
      <c r="C35" s="596">
        <f ca="1">ROUND(C34*F35,0)</f>
        <v>11585639</v>
      </c>
      <c r="D35" s="596"/>
      <c r="E35" s="596"/>
      <c r="F35" s="635">
        <f>'数据-取费表'!B33</f>
        <v>0.03</v>
      </c>
      <c r="G35" s="595" t="s">
        <v>850</v>
      </c>
    </row>
    <row r="36" spans="1:7" ht="24">
      <c r="A36" s="1804"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4" t="s">
        <v>1929</v>
      </c>
      <c r="B37" s="591" t="s">
        <v>851</v>
      </c>
      <c r="C37" s="625">
        <f ca="1">ROUND(E37*D37,0)</f>
        <v>24622326</v>
      </c>
      <c r="D37" s="593">
        <f ca="1">D19</f>
        <v>123111.63</v>
      </c>
      <c r="E37" s="625">
        <f>'数据-取费表'!B35</f>
        <v>200</v>
      </c>
      <c r="F37" s="635"/>
      <c r="G37" s="637"/>
    </row>
    <row r="38" spans="1:7" ht="13.5" customHeight="1">
      <c r="A38" s="1804" t="s">
        <v>1930</v>
      </c>
      <c r="B38" s="591" t="s">
        <v>353</v>
      </c>
      <c r="C38" s="596">
        <f ca="1">ROUND(C34*F38,0)</f>
        <v>5792819</v>
      </c>
      <c r="D38" s="596"/>
      <c r="E38" s="596"/>
      <c r="F38" s="635">
        <f>'数据-取费表'!B36</f>
        <v>1.4999999999999999E-2</v>
      </c>
      <c r="G38" s="595" t="s">
        <v>850</v>
      </c>
    </row>
    <row r="39" spans="1:7" s="590" customFormat="1" ht="13.5" customHeight="1">
      <c r="A39" s="1801" t="s">
        <v>1914</v>
      </c>
      <c r="B39" s="586" t="s">
        <v>837</v>
      </c>
      <c r="C39" s="608">
        <f ca="1">ROUND(C33*F20,0)</f>
        <v>8563775</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26084361</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ROUND(IF('数据-取费表'!B22&lt;=1,C33*F22*'数据-取费表'!B20/2,C33*(POWER((1+F22),'数据-取费表'!B20/2)-1)),0)</f>
        <v>25572903</v>
      </c>
      <c r="D42" s="614"/>
      <c r="E42" s="614"/>
      <c r="F42" s="615"/>
      <c r="G42" s="3565" t="s">
        <v>2634</v>
      </c>
    </row>
    <row r="43" spans="1:7" ht="13.5" customHeight="1">
      <c r="A43" s="1804" t="s">
        <v>1923</v>
      </c>
      <c r="B43" s="591" t="s">
        <v>2513</v>
      </c>
      <c r="C43" s="614">
        <f ca="1">ROUND(IF('数据-取费表'!B22&lt;=1,C39*F22*'数据-取费表'!B20/2,C39*(POWER((1+F22),'数据-取费表'!B20/2)-1)),0)</f>
        <v>511458</v>
      </c>
      <c r="D43" s="614"/>
      <c r="E43" s="614"/>
      <c r="F43" s="615"/>
      <c r="G43" s="3563"/>
    </row>
    <row r="44" spans="1:7" ht="13.5" customHeight="1">
      <c r="A44" s="1804" t="s">
        <v>1924</v>
      </c>
      <c r="B44" s="591" t="s">
        <v>2515</v>
      </c>
      <c r="C44" s="614">
        <f ca="1">ROUND(IF('数据-取费表'!B22&lt;=1,C40*F22*'数据-取费表'!B20/2,C40*(POWER((1+F22),'数据-取费表'!B20/2)-1)),4)</f>
        <v>1.1999999999999999E-3</v>
      </c>
      <c r="D44" s="614"/>
      <c r="E44" s="614"/>
      <c r="F44" s="615"/>
      <c r="G44" s="3564"/>
    </row>
    <row r="45" spans="1:7" s="590" customFormat="1" ht="13.5" customHeight="1">
      <c r="A45" s="1801" t="s">
        <v>1917</v>
      </c>
      <c r="B45" s="620" t="s">
        <v>845</v>
      </c>
      <c r="C45" s="621">
        <f ca="1">C46</f>
        <v>100453078</v>
      </c>
      <c r="D45" s="611">
        <f ca="1">C47</f>
        <v>4.5999999999999999E-3</v>
      </c>
      <c r="E45" s="612" t="s">
        <v>862</v>
      </c>
      <c r="F45" s="622"/>
      <c r="G45" s="623" t="s">
        <v>2529</v>
      </c>
    </row>
    <row r="46" spans="1:7" s="590" customFormat="1" ht="13.5" customHeight="1">
      <c r="A46" s="1804" t="s">
        <v>1922</v>
      </c>
      <c r="B46" s="624" t="s">
        <v>2522</v>
      </c>
      <c r="C46" s="625">
        <f ca="1">ROUND((C33+C39)*F27,0)</f>
        <v>100453078</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638">
        <f>ROUND(F30/(1+'数据-取费表'!C42),4)</f>
        <v>5.2400000000000002E-2</v>
      </c>
      <c r="D48" s="612" t="s">
        <v>2948</v>
      </c>
      <c r="E48" s="608"/>
      <c r="F48" s="613"/>
      <c r="G48" s="2619" t="s">
        <v>2949</v>
      </c>
    </row>
    <row r="49" spans="1:7" ht="16.5" customHeight="1">
      <c r="A49" s="1801" t="s">
        <v>1919</v>
      </c>
      <c r="B49" s="586" t="s">
        <v>2632</v>
      </c>
      <c r="C49" s="608">
        <f ca="1">ROUND((C33+C39+C41+C45)/(1-C40-D41-D45-C48),0)</f>
        <v>611076101</v>
      </c>
      <c r="D49" s="608"/>
      <c r="E49" s="608"/>
      <c r="F49" s="640"/>
      <c r="G49" s="610" t="s">
        <v>2530</v>
      </c>
    </row>
    <row r="50" spans="1:7" s="634" customFormat="1">
      <c r="A50" s="1801" t="s">
        <v>1920</v>
      </c>
      <c r="B50" s="586" t="s">
        <v>857</v>
      </c>
      <c r="C50" s="608"/>
      <c r="D50" s="608"/>
      <c r="E50" s="608"/>
      <c r="F50" s="640">
        <f>IF('数据-取费表'!B24=0,'数据-取费表'!N16,1)</f>
        <v>0.98299999999999998</v>
      </c>
      <c r="G50" s="623"/>
    </row>
    <row r="51" spans="1:7" ht="16.5" customHeight="1">
      <c r="A51" s="1801" t="s">
        <v>1921</v>
      </c>
      <c r="B51" s="586" t="s">
        <v>2633</v>
      </c>
      <c r="C51" s="608">
        <f ca="1">ROUND(C49*F50,0)</f>
        <v>600687807</v>
      </c>
      <c r="D51" s="608"/>
      <c r="E51" s="608"/>
      <c r="F51" s="640"/>
      <c r="G51" s="610" t="s">
        <v>354</v>
      </c>
    </row>
    <row r="52" spans="1:7" s="584" customFormat="1" ht="16.5" thickBot="1">
      <c r="A52" s="641" t="s">
        <v>355</v>
      </c>
      <c r="B52" s="642"/>
      <c r="C52" s="643">
        <f ca="1">C31+C51</f>
        <v>674346877</v>
      </c>
      <c r="D52" s="642"/>
      <c r="E52" s="642"/>
      <c r="F52" s="642"/>
      <c r="G52" s="644"/>
    </row>
    <row r="55" spans="1:7" ht="15">
      <c r="B55" s="646" t="s">
        <v>356</v>
      </c>
      <c r="C55" s="647"/>
    </row>
    <row r="56" spans="1:7">
      <c r="B56" s="2871" t="s">
        <v>2705</v>
      </c>
      <c r="C56" s="651">
        <f ca="1">1-C57</f>
        <v>0.10899999999999999</v>
      </c>
    </row>
    <row r="57" spans="1:7">
      <c r="B57" s="2871" t="s">
        <v>2704</v>
      </c>
      <c r="C57" s="650">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868</v>
      </c>
      <c r="B1" s="3049"/>
      <c r="C1" s="3050"/>
      <c r="D1" s="3048"/>
      <c r="E1" s="652"/>
      <c r="F1" s="652"/>
      <c r="G1" s="3049"/>
      <c r="H1" s="652"/>
      <c r="I1" s="652"/>
      <c r="J1" s="652"/>
      <c r="K1" s="652">
        <f>MATCH(C1,'数据-取费表'!A6:A16,0)+5</f>
        <v>8</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09" customFormat="1" ht="16.5" customHeight="1">
      <c r="A4" s="1806" t="s">
        <v>869</v>
      </c>
      <c r="B4" s="1807"/>
      <c r="C4" s="1850">
        <f>SUM(C8:K8)</f>
        <v>0</v>
      </c>
      <c r="D4" s="1807"/>
      <c r="E4" s="1807"/>
      <c r="F4" s="1807"/>
      <c r="G4" s="1807"/>
      <c r="H4" s="1807"/>
      <c r="I4" s="1807"/>
      <c r="J4" s="1807"/>
      <c r="K4" s="1808"/>
    </row>
    <row r="5" spans="1:33" s="1813" customFormat="1" ht="24">
      <c r="A5" s="1810" t="s">
        <v>870</v>
      </c>
      <c r="B5" s="1811" t="s">
        <v>871</v>
      </c>
      <c r="C5" s="1271" t="s">
        <v>204</v>
      </c>
      <c r="D5" s="1271" t="s">
        <v>205</v>
      </c>
      <c r="E5" s="1271" t="s">
        <v>195</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1" t="s">
        <v>872</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16275.059999999998</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9" t="s">
        <v>874</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875</v>
      </c>
      <c r="B9" s="1807"/>
      <c r="C9" s="1807"/>
      <c r="D9" s="1807"/>
      <c r="E9" s="1807"/>
      <c r="F9" s="1807"/>
      <c r="G9" s="1807"/>
      <c r="H9" s="1807"/>
      <c r="I9" s="1807"/>
      <c r="J9" s="1807"/>
      <c r="K9" s="1808"/>
    </row>
    <row r="10" spans="1:33" s="1824" customFormat="1" ht="13.5" customHeight="1">
      <c r="A10" s="1810" t="s">
        <v>870</v>
      </c>
      <c r="B10" s="295" t="s">
        <v>871</v>
      </c>
      <c r="C10" s="1820" t="s">
        <v>876</v>
      </c>
      <c r="D10" s="1821" t="s">
        <v>877</v>
      </c>
      <c r="E10" s="1821" t="s">
        <v>878</v>
      </c>
      <c r="F10" s="1821" t="s">
        <v>879</v>
      </c>
      <c r="G10" s="295"/>
      <c r="H10" s="1822"/>
      <c r="I10" s="1822"/>
      <c r="J10" s="1822"/>
      <c r="K10" s="1823"/>
    </row>
    <row r="11" spans="1:33" s="1829" customFormat="1" ht="13.5" customHeight="1">
      <c r="A11" s="1825" t="s">
        <v>2954</v>
      </c>
      <c r="B11" s="1826" t="s">
        <v>880</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2955</v>
      </c>
      <c r="B12" s="1826" t="s">
        <v>881</v>
      </c>
      <c r="C12" s="313">
        <f ca="1">ROUND(C11*F12,0)</f>
        <v>0</v>
      </c>
      <c r="D12" s="1827"/>
      <c r="E12" s="715"/>
      <c r="F12" s="1830">
        <f>'数据-取费表'!B33</f>
        <v>0.03</v>
      </c>
      <c r="G12" s="295" t="s">
        <v>882</v>
      </c>
      <c r="H12" s="1822"/>
      <c r="I12" s="1822"/>
      <c r="J12" s="1822"/>
      <c r="K12" s="1823"/>
    </row>
    <row r="13" spans="1:33" s="1829" customFormat="1" ht="13.5" customHeight="1">
      <c r="A13" s="1825" t="s">
        <v>2956</v>
      </c>
      <c r="B13" s="1826" t="s">
        <v>883</v>
      </c>
      <c r="C13" s="313">
        <f ca="1">ROUND(IF(C1="",SUMIF('数据-取费表'!C:C,"住宅",'数据-取费表'!P:P)*F13,IF(INDIRECT("'数据-取费表'!c"&amp;$K$1)="住宅",INDIRECT("'数据-取费表'!P"&amp;$K$1)*F13,0)),0)</f>
        <v>0</v>
      </c>
      <c r="D13" s="1908"/>
      <c r="E13" s="715"/>
      <c r="F13" s="1830">
        <f>'数据-取费表'!B34</f>
        <v>0.05</v>
      </c>
      <c r="G13" s="295" t="s">
        <v>884</v>
      </c>
      <c r="H13" s="1822"/>
      <c r="I13" s="1822"/>
      <c r="J13" s="1822"/>
      <c r="K13" s="1823"/>
    </row>
    <row r="14" spans="1:33" s="1831" customFormat="1" ht="13.5" customHeight="1">
      <c r="A14" s="1825" t="s">
        <v>2957</v>
      </c>
      <c r="B14" s="1826" t="s">
        <v>885</v>
      </c>
      <c r="C14" s="313">
        <f ca="1">ROUND(D14*E14*F11/10000,0)</f>
        <v>0</v>
      </c>
      <c r="D14" s="1908">
        <f ca="1">IF(C1="",'数据-汇总表'!E3,INDIRECT("'数据-取费表'!K"&amp;$K$1)+INDIRECT("'数据-取费表'!S"&amp;$K$1))</f>
        <v>123111.63</v>
      </c>
      <c r="E14" s="313">
        <f>'数据-取费表'!B35</f>
        <v>200</v>
      </c>
      <c r="F14" s="1830"/>
      <c r="G14" s="295" t="s">
        <v>886</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2958</v>
      </c>
      <c r="B15" s="1826" t="s">
        <v>892</v>
      </c>
      <c r="C15" s="1837">
        <f ca="1">ROUND(C11*F15,0)</f>
        <v>0</v>
      </c>
      <c r="D15" s="1832"/>
      <c r="E15" s="1837"/>
      <c r="F15" s="1838">
        <f>'数据-取费表'!B36</f>
        <v>1.4999999999999999E-2</v>
      </c>
      <c r="G15" s="471" t="s">
        <v>893</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2959</v>
      </c>
      <c r="C16" s="1837">
        <f ca="1">SUM(C11:C15)</f>
        <v>0</v>
      </c>
      <c r="D16" s="1832"/>
      <c r="E16" s="1837"/>
      <c r="F16" s="1838"/>
      <c r="G16" s="471"/>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887</v>
      </c>
      <c r="C17" s="313">
        <f ca="1">ROUND(D17*E17/10000,0)</f>
        <v>0</v>
      </c>
      <c r="D17" s="1908">
        <f ca="1">D14</f>
        <v>123111.63</v>
      </c>
      <c r="E17" s="313">
        <f>'数据-取费表'!B32</f>
        <v>0</v>
      </c>
      <c r="F17" s="1832"/>
      <c r="G17" s="471" t="s">
        <v>888</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2960</v>
      </c>
      <c r="B18" s="1826" t="s">
        <v>889</v>
      </c>
      <c r="C18" s="313">
        <f ca="1">C19+C20-IF(C1="",'数据-取费表'!B29,IF(G18="已全部缴纳",C19+C20,H18))</f>
        <v>0</v>
      </c>
      <c r="D18" s="1908"/>
      <c r="E18" s="313"/>
      <c r="F18" s="1830"/>
      <c r="G18" s="3045"/>
      <c r="H18" s="3043"/>
      <c r="I18" s="3044" t="s">
        <v>2804</v>
      </c>
      <c r="J18" s="1833"/>
      <c r="K18" s="1834"/>
    </row>
    <row r="19" spans="1:33" s="1829" customFormat="1" ht="13.5" customHeight="1">
      <c r="A19" s="1825" t="s">
        <v>1936</v>
      </c>
      <c r="B19" s="1826" t="s">
        <v>890</v>
      </c>
      <c r="C19" s="313">
        <f ca="1">ROUND(D19*E19/10000,0)</f>
        <v>0</v>
      </c>
      <c r="D19" s="1908">
        <f ca="1">IF(C1="",'数据-汇总表'!E5,IF(INDIRECT("'数据-取费表'!c"&amp;$K$1)="住宅",INDIRECT("'数据-取费表'!k"&amp;$K$1),0))</f>
        <v>0</v>
      </c>
      <c r="E19" s="313">
        <f>'数据-取费表'!B27</f>
        <v>0</v>
      </c>
      <c r="F19" s="1830"/>
      <c r="G19" s="303"/>
      <c r="H19" s="3047"/>
      <c r="I19" s="1835"/>
      <c r="J19" s="1835"/>
      <c r="K19" s="1836"/>
    </row>
    <row r="20" spans="1:33" s="1829" customFormat="1" ht="13.5" customHeight="1">
      <c r="A20" s="1825" t="s">
        <v>1937</v>
      </c>
      <c r="B20" s="1826" t="s">
        <v>891</v>
      </c>
      <c r="C20" s="313">
        <f ca="1">ROUND(D20*E20/10000,0)</f>
        <v>2462</v>
      </c>
      <c r="D20" s="1908">
        <f ca="1">IF(C1="",'数据-汇总表'!E6,IF(INDIRECT("'数据-取费表'!c"&amp;$K$1)="住宅",INDIRECT("'数据-取费表'!s"&amp;$K$1),INDIRECT("'数据-取费表'!k"&amp;$K$1)+INDIRECT("'数据-取费表'!s"&amp;$K$1)))</f>
        <v>123111.63</v>
      </c>
      <c r="E20" s="313">
        <f>'数据-取费表'!B28</f>
        <v>200</v>
      </c>
      <c r="F20" s="1830"/>
      <c r="G20" s="303"/>
      <c r="H20" s="1835"/>
      <c r="I20" s="1835"/>
      <c r="J20" s="1835"/>
      <c r="K20" s="1836"/>
    </row>
    <row r="21" spans="1:33" s="1829" customFormat="1" ht="13.5" customHeight="1">
      <c r="A21" s="1814" t="s">
        <v>1933</v>
      </c>
      <c r="B21" s="1839" t="s">
        <v>894</v>
      </c>
      <c r="C21" s="1840">
        <f ca="1">C16+C17+C18</f>
        <v>0</v>
      </c>
      <c r="D21" s="1841"/>
      <c r="E21" s="657"/>
      <c r="F21" s="657"/>
      <c r="G21" s="471" t="s">
        <v>2531</v>
      </c>
      <c r="H21" s="1833"/>
      <c r="I21" s="1833"/>
      <c r="J21" s="1833"/>
      <c r="K21" s="1834"/>
    </row>
    <row r="22" spans="1:33" s="1829" customFormat="1" ht="13.5" customHeight="1">
      <c r="A22" s="1819" t="s">
        <v>1914</v>
      </c>
      <c r="B22" s="1839" t="s">
        <v>895</v>
      </c>
      <c r="C22" s="1840">
        <f ca="1">ROUND(C21*F22,0)</f>
        <v>0</v>
      </c>
      <c r="D22" s="657"/>
      <c r="E22" s="657"/>
      <c r="F22" s="1842">
        <f>'数据-取费表'!B37</f>
        <v>0.02</v>
      </c>
      <c r="G22" s="295" t="s">
        <v>896</v>
      </c>
      <c r="H22" s="1822"/>
      <c r="I22" s="1822"/>
      <c r="J22" s="1822"/>
      <c r="K22" s="1823"/>
    </row>
    <row r="23" spans="1:33" s="1829" customFormat="1" ht="13.5" customHeight="1">
      <c r="A23" s="1819" t="s">
        <v>1915</v>
      </c>
      <c r="B23" s="1839" t="s">
        <v>897</v>
      </c>
      <c r="C23" s="1840">
        <f ca="1">ROUND(C4*F23*F11,0)</f>
        <v>0</v>
      </c>
      <c r="D23" s="657"/>
      <c r="E23" s="657"/>
      <c r="F23" s="1842">
        <f>'数据-取费表'!B38</f>
        <v>0.02</v>
      </c>
      <c r="G23" s="295" t="s">
        <v>898</v>
      </c>
      <c r="H23" s="1822"/>
      <c r="I23" s="1822"/>
      <c r="J23" s="1822"/>
      <c r="K23" s="1823"/>
    </row>
    <row r="24" spans="1:33" s="1829" customFormat="1" ht="13.5" customHeight="1">
      <c r="A24" s="1819" t="s">
        <v>1916</v>
      </c>
      <c r="B24" s="1839" t="s">
        <v>899</v>
      </c>
      <c r="C24" s="656">
        <f>ROUND(F24/(1+'数据-取费表'!C42),4)</f>
        <v>2.9000000000000001E-2</v>
      </c>
      <c r="D24" s="657" t="s">
        <v>50</v>
      </c>
      <c r="E24" s="657"/>
      <c r="F24" s="1842">
        <f>'数据-取费表'!B48+'数据-取费表'!B49</f>
        <v>3.0499999999999999E-2</v>
      </c>
      <c r="G24" s="2021" t="s">
        <v>2952</v>
      </c>
      <c r="H24" s="1844"/>
      <c r="I24" s="1844"/>
      <c r="J24" s="1844"/>
      <c r="K24" s="1845"/>
    </row>
    <row r="25" spans="1:33" s="1829" customFormat="1" ht="13.5" customHeight="1">
      <c r="A25" s="1819" t="s">
        <v>1917</v>
      </c>
      <c r="B25" s="1841"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2621</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3"/>
      <c r="I27" s="1833"/>
      <c r="J27" s="1833"/>
      <c r="K27" s="1834"/>
    </row>
    <row r="28" spans="1:33" s="665" customFormat="1" ht="13.5" customHeight="1">
      <c r="A28" s="1819" t="s">
        <v>1918</v>
      </c>
      <c r="B28" s="3235" t="s">
        <v>2961</v>
      </c>
      <c r="C28" s="663">
        <f ca="1">C30</f>
        <v>0</v>
      </c>
      <c r="D28" s="656">
        <f ca="1">C29</f>
        <v>0</v>
      </c>
      <c r="E28" s="658" t="s">
        <v>50</v>
      </c>
      <c r="F28" s="664">
        <f ca="1">IF(C1="",'数据-取费表'!Q16,INDIRECT("'数据-取费表'!q"&amp;$K$1))</f>
        <v>0.23</v>
      </c>
      <c r="G28" s="1843"/>
      <c r="H28" s="1844"/>
      <c r="I28" s="1844"/>
      <c r="J28" s="1844"/>
      <c r="K28" s="1845"/>
    </row>
    <row r="29" spans="1:33" s="667" customFormat="1" ht="13.5" customHeight="1">
      <c r="A29" s="1825" t="s">
        <v>1934</v>
      </c>
      <c r="B29" s="1848" t="s">
        <v>902</v>
      </c>
      <c r="C29" s="660">
        <f ca="1">ROUND((1+C24)*F28*'数据-取费表'!B24/'数据-取费表'!B20,4)</f>
        <v>0</v>
      </c>
      <c r="D29" s="660"/>
      <c r="E29" s="661"/>
      <c r="F29" s="666"/>
      <c r="G29" s="471" t="s">
        <v>903</v>
      </c>
      <c r="H29" s="1833"/>
      <c r="I29" s="1833"/>
      <c r="J29" s="1833"/>
      <c r="K29" s="1834"/>
    </row>
    <row r="30" spans="1:33" s="667" customFormat="1" ht="13.5" customHeight="1">
      <c r="A30" s="1825" t="s">
        <v>1935</v>
      </c>
      <c r="B30" s="2708" t="s">
        <v>2622</v>
      </c>
      <c r="C30" s="668">
        <f ca="1">ROUND((C21+C22+C23)*F28,0)</f>
        <v>0</v>
      </c>
      <c r="D30" s="660"/>
      <c r="E30" s="661"/>
      <c r="F30" s="666"/>
      <c r="G30" s="471"/>
      <c r="H30" s="1833"/>
      <c r="I30" s="1833"/>
      <c r="J30" s="1833"/>
      <c r="K30" s="1834"/>
    </row>
    <row r="31" spans="1:33" s="1829" customFormat="1" ht="13.5" customHeight="1" thickBot="1">
      <c r="A31" s="1860" t="s">
        <v>1919</v>
      </c>
      <c r="B31" s="1861" t="s">
        <v>904</v>
      </c>
      <c r="C31" s="1862">
        <f>ROUND(C4*F31/(1+'数据-取费表'!C42),0)</f>
        <v>0</v>
      </c>
      <c r="D31" s="1863"/>
      <c r="E31" s="1864"/>
      <c r="F31" s="1865">
        <f>'数据-取费表'!B41</f>
        <v>5.5000000000000007E-2</v>
      </c>
      <c r="G31" s="1866" t="s">
        <v>905</v>
      </c>
      <c r="H31" s="1867"/>
      <c r="I31" s="1867"/>
      <c r="J31" s="1867"/>
      <c r="K31" s="1868"/>
    </row>
    <row r="32" spans="1:33" s="1824" customFormat="1" ht="13.5" customHeight="1" thickBot="1">
      <c r="A32" s="1855" t="s">
        <v>2953</v>
      </c>
      <c r="B32" s="1856"/>
      <c r="C32" s="1857">
        <f ca="1">ROUND((C4-C21-C22-C23-C25-C28-C31)/(1+C24+D25+D28),0)</f>
        <v>0</v>
      </c>
      <c r="D32" s="1856"/>
      <c r="E32" s="1856"/>
      <c r="F32" s="1856"/>
      <c r="G32" s="1858" t="s">
        <v>906</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118"/>
  <sheetViews>
    <sheetView topLeftCell="H1" zoomScaleSheetLayoutView="96" workbookViewId="0">
      <selection activeCell="V2" activeCellId="2" sqref="E33 E39 V2:V7"/>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0" width="12" style="1626"/>
    <col min="21" max="21" width="13.875" style="1626" bestFit="1" customWidth="1"/>
    <col min="22"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1795</v>
      </c>
      <c r="B1" s="1472"/>
      <c r="C1" s="86" t="s">
        <v>2508</v>
      </c>
      <c r="D1" s="1737">
        <f>SUM(D29:D30,D33:D39)</f>
        <v>117294.04</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2896</v>
      </c>
      <c r="S1" s="3071" t="s">
        <v>2897</v>
      </c>
      <c r="T1" s="3071" t="s">
        <v>2898</v>
      </c>
      <c r="U1" s="3071" t="s">
        <v>2899</v>
      </c>
      <c r="V1" s="3071" t="s">
        <v>2900</v>
      </c>
      <c r="W1" s="3072"/>
      <c r="X1" s="3072"/>
      <c r="Y1" s="3072"/>
      <c r="Z1" s="3072"/>
      <c r="AA1" s="3072"/>
      <c r="AB1" s="3072"/>
      <c r="AC1" s="3073"/>
      <c r="AD1" s="3074"/>
      <c r="AE1" s="3074"/>
      <c r="AF1" s="3074"/>
      <c r="AG1" s="3074"/>
      <c r="AH1" s="3074"/>
      <c r="AI1" s="3074"/>
      <c r="AJ1" s="3075"/>
    </row>
    <row r="2" spans="1:36" ht="15.75">
      <c r="A2" s="86" t="s">
        <v>1796</v>
      </c>
      <c r="B2" s="580">
        <f ca="1">C26</f>
        <v>61104</v>
      </c>
      <c r="C2" s="1470" t="s">
        <v>1137</v>
      </c>
      <c r="D2" s="1627" t="s">
        <v>1797</v>
      </c>
      <c r="E2" s="1781" t="s">
        <v>3047</v>
      </c>
      <c r="F2" s="1627" t="s">
        <v>1798</v>
      </c>
      <c r="G2" s="1604" t="str">
        <f>IF(E2="商业",项目基本情况!B37,IF(E2="办公",项目基本情况!C37,IF(E2="住宅",项目基本情况!D37,项目基本情况!E37)))</f>
        <v>七级</v>
      </c>
      <c r="H2" s="1627" t="s">
        <v>1799</v>
      </c>
      <c r="I2" s="1604" t="str">
        <f>IF(E2="商业",项目基本情况!B38,IF(E2="办公",项目基本情况!C38,IF(E2="住宅",项目基本情况!D38,项目基本情况!E38)))</f>
        <v>Ⅶ-房1</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16369</v>
      </c>
      <c r="U2" s="3077">
        <v>14320.11</v>
      </c>
      <c r="V2" s="3076">
        <f ca="1">ROUND(T2*U2/10000,0)</f>
        <v>23441</v>
      </c>
      <c r="W2" s="3072"/>
      <c r="X2" s="3072"/>
      <c r="Y2" s="3072"/>
      <c r="Z2" s="3072"/>
      <c r="AA2" s="3072"/>
      <c r="AB2" s="3072"/>
      <c r="AC2" s="3073"/>
      <c r="AD2" s="3074"/>
      <c r="AE2" s="3074"/>
      <c r="AF2" s="3074"/>
      <c r="AG2" s="3074"/>
      <c r="AH2" s="3074"/>
      <c r="AI2" s="3074"/>
      <c r="AJ2" s="3075"/>
    </row>
    <row r="3" spans="1:36" ht="15.75">
      <c r="A3" s="87" t="s">
        <v>1800</v>
      </c>
      <c r="B3" s="580">
        <f ca="1">ROUND(B2*10000/D1,0)</f>
        <v>5209</v>
      </c>
      <c r="C3" s="1470" t="s">
        <v>1801</v>
      </c>
      <c r="D3" s="1627" t="s">
        <v>1140</v>
      </c>
      <c r="E3" s="1782" t="s">
        <v>3127</v>
      </c>
      <c r="F3" s="1783" t="s">
        <v>3085</v>
      </c>
      <c r="G3" s="1629">
        <f>IF(F3="宗地容积率",'数据-汇总表'!I4,IF(F3="估价对象容积率",'数据-汇总表'!I6,'数据-汇总表'!I7))</f>
        <v>3.87</v>
      </c>
      <c r="H3" s="1630" t="s">
        <v>1141</v>
      </c>
      <c r="I3" s="1784">
        <v>6</v>
      </c>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11750</v>
      </c>
      <c r="U3" s="3077">
        <v>14588.99</v>
      </c>
      <c r="V3" s="3076">
        <f t="shared" ref="V3:V16" ca="1" si="1">ROUND(T3*U3/10000,0)</f>
        <v>17142</v>
      </c>
      <c r="W3" s="3072"/>
      <c r="X3" s="3072"/>
      <c r="Y3" s="3072"/>
      <c r="Z3" s="3072"/>
      <c r="AA3" s="3072"/>
      <c r="AB3" s="3072"/>
      <c r="AC3" s="3073"/>
      <c r="AD3" s="3074"/>
      <c r="AE3" s="3074"/>
      <c r="AF3" s="3074"/>
      <c r="AG3" s="3074"/>
      <c r="AH3" s="3074"/>
      <c r="AI3" s="3074"/>
      <c r="AJ3" s="3075"/>
    </row>
    <row r="4" spans="1:36" ht="15">
      <c r="A4" s="3569"/>
      <c r="B4" s="3570"/>
      <c r="C4" s="3570"/>
      <c r="D4" s="3571"/>
      <c r="E4" s="3571"/>
      <c r="F4" s="3571"/>
      <c r="G4" s="3571"/>
      <c r="H4" s="3571"/>
      <c r="I4" s="3571"/>
      <c r="J4" s="3572"/>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9479</v>
      </c>
      <c r="U4" s="3077">
        <v>14713.93</v>
      </c>
      <c r="V4" s="3076">
        <f t="shared" ca="1" si="1"/>
        <v>13947</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f>ROUND(IF(E2="商业",IF(F16="增加",C6*C7+C16,C6*C7-C16),IF(E2="住宅",IF(F16="增加",C6*C12+C16,C6*C12-C16),IF(F16="增加",C6+C16,C6-C16))),0)</f>
        <v>7190</v>
      </c>
      <c r="D5" s="3346">
        <f>ROUND(IF(E2="商业",IF(F16="增加",C6+C16,C6-C16)),0)</f>
        <v>7190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7606</v>
      </c>
      <c r="U5" s="3077">
        <v>14715.7</v>
      </c>
      <c r="V5" s="3076">
        <f t="shared" ca="1" si="1"/>
        <v>11193</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7210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6477</v>
      </c>
      <c r="U6" s="3077">
        <v>14978.2</v>
      </c>
      <c r="V6" s="3076">
        <f t="shared" ca="1" si="1"/>
        <v>9701</v>
      </c>
      <c r="W6" s="3072"/>
      <c r="X6" s="3072"/>
      <c r="Y6" s="3072"/>
      <c r="Z6" s="3072"/>
      <c r="AA6" s="3072"/>
      <c r="AB6" s="3072"/>
      <c r="AC6" s="3078"/>
      <c r="AD6" s="3079"/>
      <c r="AE6" s="3079"/>
      <c r="AF6" s="3079"/>
      <c r="AG6" s="3079"/>
      <c r="AH6" s="3079"/>
      <c r="AI6" s="3079"/>
      <c r="AJ6" s="3080"/>
    </row>
    <row r="7" spans="1:36" ht="24">
      <c r="A7" s="3573" t="str">
        <f>IF(E2="商业",IF(C8="不临58条商业街","",2),"")</f>
        <v/>
      </c>
      <c r="B7" s="1644" t="s">
        <v>1804</v>
      </c>
      <c r="C7" s="1645">
        <f>IF(C8="不临58条商业街",1,ROUND(1+(1.6*E8+1.2*E9+0.8*E10+0.4*E11)*C9,4))</f>
        <v>1</v>
      </c>
      <c r="D7" s="1646" t="s">
        <v>1805</v>
      </c>
      <c r="E7" s="1785"/>
      <c r="F7" s="1647"/>
      <c r="G7" s="1648"/>
      <c r="H7" s="1648"/>
      <c r="I7" s="1648"/>
      <c r="J7" s="1649"/>
      <c r="K7" s="2387"/>
      <c r="L7" s="1884" t="s">
        <v>1541</v>
      </c>
      <c r="M7" s="2137">
        <f>SUMPRODUCT((区片价!B158:B205=I2)*(区片价!C3:F3=E2)*(区片价!C158:F205))</f>
        <v>7210</v>
      </c>
      <c r="N7" s="2139">
        <f>SUMPRODUCT((因素修正幅度!B158:B205=I2)*(因素修正幅度!C3:F3=E2)*(因素修正幅度!C158:F205))</f>
        <v>0.13</v>
      </c>
      <c r="O7" s="2381"/>
      <c r="P7" s="2381"/>
      <c r="Q7" s="2381"/>
      <c r="R7" s="3076">
        <v>6</v>
      </c>
      <c r="S7" s="3076">
        <f>ROUND(IF(G3&gt;1,IF(R7&lt;7,SUMPRODUCT((B93:B98=R7)*(C92:N92=G2)*(C93:N98)),SUMIF(C92:N92,G2,C100:N100)),IF(R7&lt;7,SUMPRODUCT((B102:B107=R7)*(C92:N92=G2)*(C102:N107)),SUMIF(C92:N92,G2,C109:N109))),4)</f>
        <v>0.6482</v>
      </c>
      <c r="T7" s="3076">
        <f t="shared" ca="1" si="0"/>
        <v>5696</v>
      </c>
      <c r="U7" s="3077">
        <v>12235</v>
      </c>
      <c r="V7" s="3076">
        <f t="shared" ca="1" si="1"/>
        <v>6969</v>
      </c>
      <c r="W7" s="3081" t="s">
        <v>2901</v>
      </c>
      <c r="X7" s="3082" t="str">
        <f>G2</f>
        <v>七级</v>
      </c>
      <c r="Y7" s="3082" t="s">
        <v>2902</v>
      </c>
      <c r="Z7" s="3083">
        <f>G3</f>
        <v>3.87</v>
      </c>
      <c r="AA7" s="3084"/>
      <c r="AB7" s="3084"/>
      <c r="AC7" s="3085"/>
      <c r="AD7" s="3086"/>
      <c r="AE7" s="3086"/>
      <c r="AF7" s="3086"/>
      <c r="AG7" s="3086"/>
      <c r="AH7" s="3086"/>
      <c r="AI7" s="3086"/>
      <c r="AJ7" s="3087"/>
    </row>
    <row r="8" spans="1:36" ht="24">
      <c r="A8" s="3574"/>
      <c r="B8" s="1630" t="s">
        <v>1806</v>
      </c>
      <c r="C8" s="1786" t="s">
        <v>3081</v>
      </c>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66" t="s">
        <v>2903</v>
      </c>
      <c r="X8" s="3567"/>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574"/>
      <c r="B9" s="1630" t="s">
        <v>1808</v>
      </c>
      <c r="C9" s="1655">
        <f>SUMIF(修正!C59:C119,C8,修正!E59:E119)</f>
        <v>0</v>
      </c>
      <c r="D9" s="532" t="s">
        <v>1144</v>
      </c>
      <c r="E9" s="532"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68" t="s">
        <v>2904</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574"/>
      <c r="B10" s="1630" t="s">
        <v>1810</v>
      </c>
      <c r="C10" s="532">
        <f>SUMIF(修正!C59:C119,C8,修正!F59:F119)</f>
        <v>0</v>
      </c>
      <c r="D10" s="532" t="s">
        <v>1145</v>
      </c>
      <c r="E10" s="532"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6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574"/>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68" t="s">
        <v>2905</v>
      </c>
      <c r="X11" s="3092" t="s">
        <v>2902</v>
      </c>
      <c r="Y11" s="3093">
        <f>$G$3</f>
        <v>3.87</v>
      </c>
      <c r="Z11" s="3093">
        <f t="shared" ref="Z11:AJ11" si="3">$G$3</f>
        <v>3.87</v>
      </c>
      <c r="AA11" s="3093">
        <f t="shared" si="3"/>
        <v>3.87</v>
      </c>
      <c r="AB11" s="3093">
        <f t="shared" si="3"/>
        <v>3.87</v>
      </c>
      <c r="AC11" s="3093">
        <f t="shared" si="3"/>
        <v>3.87</v>
      </c>
      <c r="AD11" s="3093">
        <f t="shared" si="3"/>
        <v>3.87</v>
      </c>
      <c r="AE11" s="3093">
        <f t="shared" si="3"/>
        <v>3.87</v>
      </c>
      <c r="AF11" s="3093">
        <f t="shared" si="3"/>
        <v>3.87</v>
      </c>
      <c r="AG11" s="3093">
        <f t="shared" si="3"/>
        <v>3.87</v>
      </c>
      <c r="AH11" s="3093">
        <f t="shared" si="3"/>
        <v>3.87</v>
      </c>
      <c r="AI11" s="3093">
        <f t="shared" si="3"/>
        <v>3.87</v>
      </c>
      <c r="AJ11" s="3093">
        <f t="shared" si="3"/>
        <v>3.87</v>
      </c>
    </row>
    <row r="12" spans="1:36" ht="26.25" thickBot="1">
      <c r="A12" s="3573"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68"/>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575"/>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f t="shared" ca="1" si="0"/>
        <v>0</v>
      </c>
      <c r="U13" s="3077"/>
      <c r="V13" s="3076">
        <f t="shared" ca="1" si="1"/>
        <v>0</v>
      </c>
      <c r="W13" s="3568"/>
      <c r="X13" s="3094"/>
      <c r="Y13" s="3091">
        <f>(-0.163*(Y12^2)-0.59*Y12+7617)*(10^(-4))/Y11</f>
        <v>0.1968217054263566</v>
      </c>
      <c r="Z13" s="3091">
        <f t="shared" ref="Z13:AJ13" si="5">(-0.163*(Z12^2)-0.59*Z12+7617)*(10^(-4))/Z11</f>
        <v>0.1968217054263566</v>
      </c>
      <c r="AA13" s="3091">
        <f t="shared" si="5"/>
        <v>0.1968217054263566</v>
      </c>
      <c r="AB13" s="3091">
        <f t="shared" si="5"/>
        <v>0.1968217054263566</v>
      </c>
      <c r="AC13" s="3091">
        <f t="shared" si="5"/>
        <v>0.1968217054263566</v>
      </c>
      <c r="AD13" s="3091">
        <f t="shared" si="5"/>
        <v>0.1968217054263566</v>
      </c>
      <c r="AE13" s="3091">
        <f t="shared" si="5"/>
        <v>0.1968217054263566</v>
      </c>
      <c r="AF13" s="3091">
        <f t="shared" si="5"/>
        <v>0.1968217054263566</v>
      </c>
      <c r="AG13" s="3091">
        <f t="shared" si="5"/>
        <v>0.1968217054263566</v>
      </c>
      <c r="AH13" s="3091">
        <f t="shared" si="5"/>
        <v>0.1968217054263566</v>
      </c>
      <c r="AI13" s="3091">
        <f t="shared" si="5"/>
        <v>0.1968217054263566</v>
      </c>
      <c r="AJ13" s="3091">
        <f t="shared" si="5"/>
        <v>0.1968217054263566</v>
      </c>
    </row>
    <row r="14" spans="1:36" ht="15">
      <c r="A14" s="3575"/>
      <c r="B14" s="1669"/>
      <c r="C14" s="1789"/>
      <c r="D14" s="1486"/>
      <c r="E14" s="1486"/>
      <c r="F14" s="1790"/>
      <c r="G14" s="1670" t="s">
        <v>1847</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576"/>
      <c r="B15" s="1674" t="s">
        <v>1820</v>
      </c>
      <c r="C15" s="561">
        <f>IF(C14="有",1.1,1)</f>
        <v>1</v>
      </c>
      <c r="D15" s="561">
        <f>IF(D14="有",1.1,1)</f>
        <v>1</v>
      </c>
      <c r="E15" s="561">
        <f>IF(E14="有",1.1,1)</f>
        <v>1</v>
      </c>
      <c r="F15" s="561">
        <f>IF(F14="500米范围内",1.2,IF(F14="500-1000米",1.1,1))</f>
        <v>1</v>
      </c>
      <c r="G15" s="1791">
        <v>1</v>
      </c>
      <c r="H15" s="1791">
        <v>1</v>
      </c>
      <c r="I15" s="1791">
        <v>1</v>
      </c>
      <c r="J15" s="1792">
        <v>1</v>
      </c>
      <c r="K15" s="2381"/>
      <c r="L15" s="1705" t="s">
        <v>1836</v>
      </c>
      <c r="M15" s="1706" t="s">
        <v>1837</v>
      </c>
      <c r="N15" s="1706" t="s">
        <v>1838</v>
      </c>
      <c r="O15" s="1706" t="s">
        <v>978</v>
      </c>
      <c r="P15" s="1707" t="s">
        <v>1839</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73" t="s">
        <v>1947</v>
      </c>
      <c r="B16" s="1644" t="s">
        <v>1821</v>
      </c>
      <c r="C16" s="1777">
        <f>ROUND(SUM(G17:J17)/C17,0)</f>
        <v>20</v>
      </c>
      <c r="D16" s="1675" t="s">
        <v>1822</v>
      </c>
      <c r="E16" s="1793" t="s">
        <v>3082</v>
      </c>
      <c r="F16" s="1794" t="s">
        <v>3083</v>
      </c>
      <c r="G16" s="1795" t="s">
        <v>3084</v>
      </c>
      <c r="H16" s="1795"/>
      <c r="I16" s="1795"/>
      <c r="J16" s="1796"/>
      <c r="K16" s="2381"/>
      <c r="L16" s="1711" t="s">
        <v>1841</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74"/>
      <c r="B17" s="1676" t="s">
        <v>1823</v>
      </c>
      <c r="C17" s="1677">
        <f>SUMPRODUCT((修正!A2:A5=E2)*(修正!B1:M1=G2)*(修正!B2:M5))</f>
        <v>2.5</v>
      </c>
      <c r="D17" s="1678" t="s">
        <v>1824</v>
      </c>
      <c r="E17" s="1748" t="str">
        <f>IF(OR(G2="八级",G2="九级",G2="十级",G2="十一级",G2="十二级"),"五通一平","七通一平")</f>
        <v>七通一平</v>
      </c>
      <c r="F17" s="1679" t="s">
        <v>1825</v>
      </c>
      <c r="G17" s="1677">
        <f>SUMPRODUCT((七通一平=G16)*(修正!B1:M1=G2)*(修正!B6:M14))</f>
        <v>50</v>
      </c>
      <c r="H17" s="1677">
        <f>SUMPRODUCT((七通一平=H16)*(修正!B1:M1=G2)*(修正!B6:M14))</f>
        <v>0</v>
      </c>
      <c r="I17" s="1677">
        <f>SUMPRODUCT((七通一平=I16)*(修正!B1:M1=G2)*(修正!B6:M14))</f>
        <v>0</v>
      </c>
      <c r="J17" s="1680">
        <f>SUMPRODUCT((七通一平=J16)*(修正!B1:M1=G2)*(修正!B6:M14))</f>
        <v>0</v>
      </c>
      <c r="K17" s="2381"/>
      <c r="L17" s="1718"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f>ROUND(IF(H19="按公示增长率计算",SUMPRODUCT((地价!A3:A19=YEAR(G19)&amp;"-"&amp;ROUNDUP(MONTH(G19)/3,0))*(地价!X2:AB2=E2)*(地价!X3:AB19)),IF(H19="地价指数",M20/M19,(1+I19)^O19)),4)</f>
        <v>1.2363999999999999</v>
      </c>
      <c r="D19" s="1691" t="s">
        <v>1148</v>
      </c>
      <c r="E19" s="1692">
        <v>41640</v>
      </c>
      <c r="F19" s="1691" t="s">
        <v>1149</v>
      </c>
      <c r="G19" s="1693">
        <f>'数据-取费表'!B2</f>
        <v>42962</v>
      </c>
      <c r="H19" s="3018" t="s">
        <v>2964</v>
      </c>
      <c r="I19" s="1694" t="str">
        <f>IF(H19="季度增幅（自定义）",SUMIF(N21:N24,E2,O21:O24),"")</f>
        <v/>
      </c>
      <c r="J19" s="1687"/>
      <c r="K19" s="2388"/>
      <c r="L19" s="3244" t="s">
        <v>2962</v>
      </c>
      <c r="M19" s="3246">
        <f>ROUND(SUMIF(地价!B2:F2,E2,地价!B19:F19),0)</f>
        <v>258</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f ca="1">ROUND(POWER(1+G20,J20-I20)*(POWER(1+G20,I20)-1)/(POWER(1+G20,J20)-1),4)</f>
        <v>0.95140000000000002</v>
      </c>
      <c r="D20" s="1751" t="s">
        <v>1829</v>
      </c>
      <c r="E20" s="3301">
        <f ca="1">存贷款利率!D4/100</f>
        <v>4.3499999999999997E-2</v>
      </c>
      <c r="F20" s="1751" t="s">
        <v>1830</v>
      </c>
      <c r="G20" s="1752">
        <f ca="1">SUMIF(M15:P15,E2,M17:P17)</f>
        <v>5.3999999999999999E-2</v>
      </c>
      <c r="H20" s="1751" t="s">
        <v>1831</v>
      </c>
      <c r="I20" s="1753">
        <f>SUMIF('数据-取费表'!C6:C15,E2,'数据-取费表'!F6:F15)/COUNTIF('数据-取费表'!C6:C15,E2)</f>
        <v>34.299999999999997</v>
      </c>
      <c r="J20" s="1754">
        <f>IF(E2="住宅",70,IF(E2="商业",40,50))</f>
        <v>40</v>
      </c>
      <c r="K20" s="2388"/>
      <c r="L20" s="3245" t="s">
        <v>2963</v>
      </c>
      <c r="M20" s="3247">
        <f>ROUND(SUMPRODUCT((地价!A4:A19=YEAR(G19)&amp;"-"&amp;ROUNDUP(MONTH(G19)/3,0))*(地价!B2:F2=E2)*(地价!B4:F19)),0)</f>
        <v>319</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2502</v>
      </c>
      <c r="C21" s="1755">
        <f>IF(B21="容积率修正",IF(G3&lt;=10,D22,J22),C23)</f>
        <v>0.6482</v>
      </c>
      <c r="D21" s="1756"/>
      <c r="E21" s="1756"/>
      <c r="F21" s="1756"/>
      <c r="G21" s="1756"/>
      <c r="H21" s="1756"/>
      <c r="I21" s="1756"/>
      <c r="J21" s="1757"/>
      <c r="K21" s="2388"/>
      <c r="N21" s="3021" t="s">
        <v>2792</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0.87390000000000001</v>
      </c>
      <c r="E22" s="1629">
        <f>ROUNDDOWN(G3,1)</f>
        <v>3.8</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29">
        <f>ROUNDUP(G3,1)</f>
        <v>3.9</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0.87209999999999999</v>
      </c>
      <c r="I22" s="1778" t="s">
        <v>1162</v>
      </c>
      <c r="J22" s="1758" t="str">
        <f>IF(G3&gt;10,D113,"——")</f>
        <v>——</v>
      </c>
      <c r="K22" s="2388"/>
      <c r="N22" s="3021" t="s">
        <v>2793</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0.6482</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1.0388999999999999</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8">
        <f ca="1">E29+SUM(E33:E39)</f>
        <v>61104</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8">
        <f ca="1">ROUND(C5*C18*C19*C20*C21*C24,0)</f>
        <v>5696</v>
      </c>
      <c r="D29" s="1746">
        <f>'数据-基础表'!I13</f>
        <v>85551.93</v>
      </c>
      <c r="E29" s="1780">
        <f ca="1">ROUND(C29*D29/10000,0)</f>
        <v>48730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1">
        <f ca="1">ROUND(IF(E2="工业",C29*M39,C29*M38),0)</f>
        <v>1424</v>
      </c>
      <c r="D30" s="1747"/>
      <c r="E30" s="1780">
        <f ca="1">ROUND(C30*D30/10000,0)</f>
        <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585" t="s">
        <v>3067</v>
      </c>
      <c r="B33" s="1740" t="s">
        <v>1164</v>
      </c>
      <c r="C33" s="538">
        <f ca="1">ROUND(D5*C19*C20*C24*F33,0)</f>
        <v>6151</v>
      </c>
      <c r="D33" s="1746">
        <f>15606.7-139.65</f>
        <v>15467.050000000001</v>
      </c>
      <c r="E33" s="532">
        <f ca="1">ROUND(C33*D33/10000,0)</f>
        <v>9514</v>
      </c>
      <c r="F33" s="532">
        <f>SUMIF(修正!A45:A56,G2,修正!B45:B56)</f>
        <v>0.7</v>
      </c>
      <c r="G33" s="532">
        <f t="shared" ref="G33:G39" ca="1" si="6">ROUND(IF(E2="工业",C33*$M$39,C33*$M$38),0)</f>
        <v>1538</v>
      </c>
      <c r="H33" s="532">
        <f>D33</f>
        <v>15467.050000000001</v>
      </c>
      <c r="I33" s="532">
        <f ca="1">ROUND(G33*H33/10000,0)</f>
        <v>2379</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86"/>
      <c r="B34" s="1667" t="s">
        <v>1165</v>
      </c>
      <c r="C34" s="538">
        <f ca="1">ROUND(D5*C19*C20*C24*F34,0)</f>
        <v>3515</v>
      </c>
      <c r="D34" s="1746"/>
      <c r="E34" s="532">
        <f t="shared" ref="E34:E39" ca="1" si="7">ROUND(C34*D34/10000,0)</f>
        <v>0</v>
      </c>
      <c r="F34" s="532">
        <f>SUMIF(修正!A45:A56,G2,修正!C45:C56)</f>
        <v>0.4</v>
      </c>
      <c r="G34" s="532">
        <f t="shared" ca="1" si="6"/>
        <v>879</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86"/>
      <c r="B35" s="1667" t="s">
        <v>1166</v>
      </c>
      <c r="C35" s="538">
        <f ca="1">ROUND(D5*C19*C20*C24*F35,0)</f>
        <v>2460</v>
      </c>
      <c r="D35" s="1746"/>
      <c r="E35" s="532">
        <f t="shared" ca="1" si="7"/>
        <v>0</v>
      </c>
      <c r="F35" s="532">
        <f>SUMIF(修正!A45:A56,G2,修正!D45:D56)</f>
        <v>0.28000000000000003</v>
      </c>
      <c r="G35" s="532">
        <f t="shared" ca="1" si="6"/>
        <v>615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587"/>
      <c r="B36" s="1667" t="s">
        <v>1167</v>
      </c>
      <c r="C36" s="538">
        <f ca="1">ROUND(D5*C19*C20*C24*F36,0)</f>
        <v>2197</v>
      </c>
      <c r="D36" s="1746"/>
      <c r="E36" s="532">
        <f t="shared" ca="1" si="7"/>
        <v>0</v>
      </c>
      <c r="F36" s="532">
        <f>SUMIF(修正!A45:A56,G2,修正!E45:E56)</f>
        <v>0.25</v>
      </c>
      <c r="G36" s="532">
        <f t="shared" ca="1" si="6"/>
        <v>549</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2">
        <f ca="1">ROUND(C5*C19*C20*C24*F37,0)</f>
        <v>2197</v>
      </c>
      <c r="D37" s="1746"/>
      <c r="E37" s="532">
        <f t="shared" ca="1" si="7"/>
        <v>0</v>
      </c>
      <c r="F37" s="538">
        <f>SUMIF(修正!A45:A56,G2,修正!F45:F56)</f>
        <v>0.25</v>
      </c>
      <c r="G37" s="532">
        <f t="shared" ca="1" si="6"/>
        <v>549</v>
      </c>
      <c r="H37" s="532">
        <f t="shared" si="8"/>
        <v>0</v>
      </c>
      <c r="I37" s="532">
        <f t="shared" ca="1" si="9"/>
        <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2">
        <f ca="1">ROUND(C5*C19*C20*C24*F38,0)</f>
        <v>2197</v>
      </c>
      <c r="D38" s="1746"/>
      <c r="E38" s="532">
        <f t="shared" ca="1" si="7"/>
        <v>0</v>
      </c>
      <c r="F38" s="538">
        <f>SUMIF(修正!A45:A56,G2,修正!G45:G56)</f>
        <v>0.25</v>
      </c>
      <c r="G38" s="532">
        <f t="shared" ca="1" si="6"/>
        <v>549</v>
      </c>
      <c r="H38" s="532">
        <f t="shared" si="8"/>
        <v>0</v>
      </c>
      <c r="I38" s="532">
        <f t="shared" ca="1" si="9"/>
        <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1">
        <f ca="1">ROUND(C5*C19*C20*C24*F39,0)</f>
        <v>1757</v>
      </c>
      <c r="D39" s="1747">
        <f>'数据-基础表'!K14</f>
        <v>16275.059999999998</v>
      </c>
      <c r="E39" s="561">
        <f t="shared" ca="1" si="7"/>
        <v>2860</v>
      </c>
      <c r="F39" s="1743">
        <f>SUMIF(修正!A45:A56,G2,修正!H45:H56)</f>
        <v>0.2</v>
      </c>
      <c r="G39" s="561" t="e">
        <f t="shared" si="6"/>
        <v>#DIV/0!</v>
      </c>
      <c r="H39" s="561">
        <f t="shared" si="8"/>
        <v>16275.059999999998</v>
      </c>
      <c r="I39" s="561"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1.0388999999999999</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2500</v>
      </c>
      <c r="G47" s="1499" t="s">
        <v>1851</v>
      </c>
      <c r="H47" s="2604" t="s">
        <v>2501</v>
      </c>
      <c r="I47" s="1499" t="s">
        <v>1854</v>
      </c>
      <c r="J47" s="944" t="s">
        <v>425</v>
      </c>
      <c r="K47" s="944" t="s">
        <v>426</v>
      </c>
      <c r="L47" s="944" t="s">
        <v>427</v>
      </c>
      <c r="M47" s="944" t="s">
        <v>428</v>
      </c>
      <c r="N47" s="944" t="s">
        <v>429</v>
      </c>
      <c r="AA47" s="2382"/>
      <c r="AB47" s="2382"/>
      <c r="AC47" s="2382"/>
      <c r="AD47" s="2382"/>
      <c r="AE47" s="2382"/>
      <c r="AF47" s="2382"/>
      <c r="AG47" s="2382"/>
      <c r="AH47" s="2382"/>
      <c r="AI47" s="2382"/>
      <c r="AJ47" s="2382"/>
      <c r="AK47" s="2382"/>
    </row>
    <row r="48" spans="1:37" s="2381" customFormat="1" ht="48">
      <c r="A48" s="1496" t="s">
        <v>1783</v>
      </c>
      <c r="B48" s="1501" t="str">
        <f>估价对象房地状况!C4</f>
        <v>估价对象周边有国泰百货、苏宁易购等，周边商业氛围较好，人流量较大，商业繁华度较好</v>
      </c>
      <c r="C48" s="1486" t="s">
        <v>3092</v>
      </c>
      <c r="D48" s="2602">
        <f t="shared" ref="D48:D56" si="10">SUMIF($J$47:$N$47,C48,J48:N48)</f>
        <v>2.1399999999999999E-2</v>
      </c>
      <c r="E48" s="1503">
        <f>ROUND(SUM(D48:D56),4)</f>
        <v>3.8899999999999997E-2</v>
      </c>
      <c r="F48" s="1504">
        <f>IF(E2="商业",SUMIF(L1:L12,G2,N1:N12),"——")</f>
        <v>0.13</v>
      </c>
      <c r="G48" s="2600">
        <f>H48</f>
        <v>2.1399999999999999E-2</v>
      </c>
      <c r="H48" s="2618">
        <f t="shared" ref="H48:H56" si="11">IFERROR(ROUNDDOWN($F$48*I48/2,4),"——")</f>
        <v>2.1399999999999999E-2</v>
      </c>
      <c r="I48" s="1502">
        <v>0.33</v>
      </c>
      <c r="J48" s="2601">
        <f t="shared" ref="J48:J56" si="12">K48+$G48</f>
        <v>4.2799999999999998E-2</v>
      </c>
      <c r="K48" s="2601">
        <f t="shared" ref="K48:K56" si="13">$L48+$G48</f>
        <v>2.1399999999999999E-2</v>
      </c>
      <c r="L48" s="2601">
        <v>0</v>
      </c>
      <c r="M48" s="2601">
        <f t="shared" ref="M48:N56" si="14">L48-$G48</f>
        <v>-2.1399999999999999E-2</v>
      </c>
      <c r="N48" s="2601">
        <f t="shared" si="14"/>
        <v>-4.2799999999999998E-2</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估价对象周边有房2内路、周边无地铁，路网密集程度一般，交通便捷度一般</v>
      </c>
      <c r="C49" s="1486" t="s">
        <v>3093</v>
      </c>
      <c r="D49" s="2602">
        <f t="shared" si="10"/>
        <v>0</v>
      </c>
      <c r="E49" s="1506"/>
      <c r="F49" s="1504"/>
      <c r="G49" s="2600">
        <f t="shared" ref="G49:G56" si="15">H49</f>
        <v>1.6199999999999999E-2</v>
      </c>
      <c r="H49" s="2618">
        <f t="shared" si="11"/>
        <v>1.6199999999999999E-2</v>
      </c>
      <c r="I49" s="1502">
        <v>0.25</v>
      </c>
      <c r="J49" s="2601">
        <f t="shared" si="12"/>
        <v>3.2399999999999998E-2</v>
      </c>
      <c r="K49" s="2601">
        <f t="shared" si="13"/>
        <v>1.6199999999999999E-2</v>
      </c>
      <c r="L49" s="2601">
        <v>0</v>
      </c>
      <c r="M49" s="2601">
        <f t="shared" si="14"/>
        <v>-1.6199999999999999E-2</v>
      </c>
      <c r="N49" s="2601">
        <f t="shared" si="14"/>
        <v>-3.2399999999999998E-2</v>
      </c>
      <c r="AA49" s="2382"/>
      <c r="AB49" s="2382"/>
      <c r="AC49" s="2382"/>
      <c r="AD49" s="2382"/>
      <c r="AE49" s="2382"/>
      <c r="AF49" s="2382"/>
      <c r="AG49" s="2382"/>
      <c r="AH49" s="2382"/>
      <c r="AI49" s="2382"/>
      <c r="AJ49" s="2382"/>
      <c r="AK49" s="2382"/>
    </row>
    <row r="50" spans="1:37" s="2381" customFormat="1" ht="24">
      <c r="A50" s="1496" t="s">
        <v>109</v>
      </c>
      <c r="B50" s="1505" t="str">
        <f>估价对象房地状况!C19</f>
        <v>较一致，以住宅为主</v>
      </c>
      <c r="C50" s="1486" t="s">
        <v>3093</v>
      </c>
      <c r="D50" s="2602">
        <f t="shared" si="10"/>
        <v>0</v>
      </c>
      <c r="E50" s="1506"/>
      <c r="F50" s="1504"/>
      <c r="G50" s="2600">
        <f t="shared" si="15"/>
        <v>3.2000000000000002E-3</v>
      </c>
      <c r="H50" s="2618">
        <f t="shared" si="11"/>
        <v>3.2000000000000002E-3</v>
      </c>
      <c r="I50" s="1502">
        <v>0.05</v>
      </c>
      <c r="J50" s="2601">
        <f t="shared" si="12"/>
        <v>6.4000000000000003E-3</v>
      </c>
      <c r="K50" s="2601">
        <f t="shared" si="13"/>
        <v>3.2000000000000002E-3</v>
      </c>
      <c r="L50" s="2601">
        <v>0</v>
      </c>
      <c r="M50" s="2601">
        <f t="shared" si="14"/>
        <v>-3.2000000000000002E-3</v>
      </c>
      <c r="N50" s="2601">
        <f t="shared" si="14"/>
        <v>-6.4000000000000003E-3</v>
      </c>
      <c r="AA50" s="2382"/>
      <c r="AB50" s="2382"/>
      <c r="AC50" s="2382"/>
      <c r="AD50" s="2382"/>
      <c r="AE50" s="2382"/>
      <c r="AF50" s="2382"/>
      <c r="AG50" s="2382"/>
      <c r="AH50" s="2382"/>
      <c r="AI50" s="2382"/>
      <c r="AJ50" s="2382"/>
      <c r="AK50" s="2382"/>
    </row>
    <row r="51" spans="1:37" s="2381" customFormat="1" ht="36">
      <c r="A51" s="1496" t="s">
        <v>1784</v>
      </c>
      <c r="B51" s="3304" t="s">
        <v>3119</v>
      </c>
      <c r="C51" s="1486" t="s">
        <v>3092</v>
      </c>
      <c r="D51" s="2602">
        <f t="shared" si="10"/>
        <v>3.2000000000000002E-3</v>
      </c>
      <c r="E51" s="1506"/>
      <c r="F51" s="1504"/>
      <c r="G51" s="2600">
        <f t="shared" si="15"/>
        <v>3.2000000000000002E-3</v>
      </c>
      <c r="H51" s="2618">
        <f t="shared" si="11"/>
        <v>3.2000000000000002E-3</v>
      </c>
      <c r="I51" s="1502">
        <v>0.05</v>
      </c>
      <c r="J51" s="2601">
        <f t="shared" si="12"/>
        <v>6.4000000000000003E-3</v>
      </c>
      <c r="K51" s="2601">
        <f t="shared" si="13"/>
        <v>3.2000000000000002E-3</v>
      </c>
      <c r="L51" s="2601">
        <v>0</v>
      </c>
      <c r="M51" s="2601">
        <f t="shared" si="14"/>
        <v>-3.2000000000000002E-3</v>
      </c>
      <c r="N51" s="2601">
        <f t="shared" si="14"/>
        <v>-6.4000000000000003E-3</v>
      </c>
      <c r="AA51" s="2382"/>
      <c r="AB51" s="2382"/>
      <c r="AC51" s="2382"/>
      <c r="AD51" s="2382"/>
      <c r="AE51" s="2382"/>
      <c r="AF51" s="2382"/>
      <c r="AG51" s="2382"/>
      <c r="AH51" s="2382"/>
      <c r="AI51" s="2382"/>
      <c r="AJ51" s="2382"/>
      <c r="AK51" s="2382"/>
    </row>
    <row r="52" spans="1:37" s="2381" customFormat="1" ht="24">
      <c r="A52" s="1496" t="s">
        <v>1785</v>
      </c>
      <c r="B52" s="1505" t="str">
        <f>估价对象房地状况!C24</f>
        <v>城市次干道－拱辰北大街</v>
      </c>
      <c r="C52" s="1486" t="s">
        <v>3093</v>
      </c>
      <c r="D52" s="2602">
        <f t="shared" si="10"/>
        <v>0</v>
      </c>
      <c r="E52" s="1506"/>
      <c r="F52" s="1504"/>
      <c r="G52" s="2600">
        <f t="shared" si="15"/>
        <v>5.1999999999999998E-3</v>
      </c>
      <c r="H52" s="2618">
        <f t="shared" si="11"/>
        <v>5.1999999999999998E-3</v>
      </c>
      <c r="I52" s="1502">
        <v>0.08</v>
      </c>
      <c r="J52" s="2601">
        <f t="shared" si="12"/>
        <v>1.04E-2</v>
      </c>
      <c r="K52" s="2601">
        <f t="shared" si="13"/>
        <v>5.1999999999999998E-3</v>
      </c>
      <c r="L52" s="2601">
        <v>0</v>
      </c>
      <c r="M52" s="2601">
        <f t="shared" si="14"/>
        <v>-5.1999999999999998E-3</v>
      </c>
      <c r="N52" s="2601">
        <f t="shared" si="14"/>
        <v>-1.04E-2</v>
      </c>
      <c r="AA52" s="2382"/>
      <c r="AB52" s="2382"/>
      <c r="AC52" s="2382"/>
      <c r="AD52" s="2382"/>
      <c r="AE52" s="2382"/>
      <c r="AF52" s="2382"/>
      <c r="AG52" s="2382"/>
      <c r="AH52" s="2382"/>
      <c r="AI52" s="2382"/>
      <c r="AJ52" s="2382"/>
      <c r="AK52" s="2382"/>
    </row>
    <row r="53" spans="1:37" s="2381" customFormat="1" ht="24">
      <c r="A53" s="1496" t="s">
        <v>1786</v>
      </c>
      <c r="B53" s="3303" t="s">
        <v>3120</v>
      </c>
      <c r="C53" s="1486" t="s">
        <v>3128</v>
      </c>
      <c r="D53" s="2602">
        <f t="shared" si="10"/>
        <v>-1.9E-3</v>
      </c>
      <c r="E53" s="1506"/>
      <c r="F53" s="1504"/>
      <c r="G53" s="2600">
        <f t="shared" si="15"/>
        <v>1.9E-3</v>
      </c>
      <c r="H53" s="2618">
        <f t="shared" si="11"/>
        <v>1.9E-3</v>
      </c>
      <c r="I53" s="1502">
        <v>0.03</v>
      </c>
      <c r="J53" s="2601">
        <f t="shared" si="12"/>
        <v>3.8E-3</v>
      </c>
      <c r="K53" s="2601">
        <f t="shared" si="13"/>
        <v>1.9E-3</v>
      </c>
      <c r="L53" s="2601">
        <v>0</v>
      </c>
      <c r="M53" s="2601">
        <f t="shared" si="14"/>
        <v>-1.9E-3</v>
      </c>
      <c r="N53" s="2601">
        <f t="shared" si="14"/>
        <v>-3.8E-3</v>
      </c>
      <c r="AA53" s="2382"/>
      <c r="AB53" s="2382"/>
      <c r="AC53" s="2382"/>
      <c r="AD53" s="2382"/>
      <c r="AE53" s="2382"/>
      <c r="AF53" s="2382"/>
      <c r="AG53" s="2382"/>
      <c r="AH53" s="2382"/>
      <c r="AI53" s="2382"/>
      <c r="AJ53" s="2382"/>
      <c r="AK53" s="2382"/>
    </row>
    <row r="54" spans="1:37" s="2381" customFormat="1" ht="48">
      <c r="A54" s="1507" t="s">
        <v>1787</v>
      </c>
      <c r="B54" s="2598" t="str">
        <f>估价对象房地状况!C21</f>
        <v>估价对象所在区域公共配套设施齐备情况较好：蓝色未来幼儿园、北京市房山区第一医院良乡分部</v>
      </c>
      <c r="C54" s="1486" t="s">
        <v>3092</v>
      </c>
      <c r="D54" s="2602">
        <f t="shared" si="10"/>
        <v>3.2000000000000002E-3</v>
      </c>
      <c r="E54" s="1506"/>
      <c r="F54" s="1504"/>
      <c r="G54" s="2600">
        <f t="shared" si="15"/>
        <v>3.2000000000000002E-3</v>
      </c>
      <c r="H54" s="2618">
        <f t="shared" si="11"/>
        <v>3.2000000000000002E-3</v>
      </c>
      <c r="I54" s="1502">
        <v>0.05</v>
      </c>
      <c r="J54" s="2601">
        <f t="shared" si="12"/>
        <v>6.4000000000000003E-3</v>
      </c>
      <c r="K54" s="2601">
        <f t="shared" si="13"/>
        <v>3.2000000000000002E-3</v>
      </c>
      <c r="L54" s="2601">
        <v>0</v>
      </c>
      <c r="M54" s="2601">
        <f t="shared" si="14"/>
        <v>-3.2000000000000002E-3</v>
      </c>
      <c r="N54" s="2601">
        <f t="shared" si="14"/>
        <v>-6.4000000000000003E-3</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估价对象所在区域基础设施水平：七通</v>
      </c>
      <c r="C55" s="1486" t="s">
        <v>3094</v>
      </c>
      <c r="D55" s="2602">
        <f t="shared" si="10"/>
        <v>1.2999999999999999E-2</v>
      </c>
      <c r="E55" s="1506"/>
      <c r="F55" s="1504"/>
      <c r="G55" s="2600">
        <f t="shared" si="15"/>
        <v>6.4999999999999997E-3</v>
      </c>
      <c r="H55" s="2618">
        <f t="shared" si="11"/>
        <v>6.4999999999999997E-3</v>
      </c>
      <c r="I55" s="1502">
        <v>0.1</v>
      </c>
      <c r="J55" s="2601">
        <f t="shared" si="12"/>
        <v>1.2999999999999999E-2</v>
      </c>
      <c r="K55" s="2601">
        <f t="shared" si="13"/>
        <v>6.4999999999999997E-3</v>
      </c>
      <c r="L55" s="2601">
        <v>0</v>
      </c>
      <c r="M55" s="2601">
        <f t="shared" si="14"/>
        <v>-6.4999999999999997E-3</v>
      </c>
      <c r="N55" s="2601">
        <f t="shared" si="14"/>
        <v>-1.2999999999999999E-2</v>
      </c>
      <c r="AA55" s="2382"/>
      <c r="AB55" s="2382"/>
      <c r="AC55" s="2382"/>
      <c r="AD55" s="2382"/>
      <c r="AE55" s="2382"/>
      <c r="AF55" s="2382"/>
      <c r="AG55" s="2382"/>
      <c r="AH55" s="2382"/>
      <c r="AI55" s="2382"/>
      <c r="AJ55" s="2382"/>
      <c r="AK55" s="2382"/>
    </row>
    <row r="56" spans="1:37" s="2381" customFormat="1" ht="48.75" thickBot="1">
      <c r="A56" s="1509" t="s">
        <v>1789</v>
      </c>
      <c r="B56" s="1510" t="str">
        <f>估价对象房地状况!C20</f>
        <v>区域自然环境：良乡塔；人文环境：良乡文化广场；综合评价环境状况一般</v>
      </c>
      <c r="C56" s="1486" t="s">
        <v>3093</v>
      </c>
      <c r="D56" s="2602">
        <f t="shared" si="10"/>
        <v>0</v>
      </c>
      <c r="E56" s="1512"/>
      <c r="F56" s="1504"/>
      <c r="G56" s="2600">
        <f t="shared" si="15"/>
        <v>3.8999999999999998E-3</v>
      </c>
      <c r="H56" s="2618">
        <f t="shared" si="11"/>
        <v>3.8999999999999998E-3</v>
      </c>
      <c r="I56" s="1511">
        <v>0.06</v>
      </c>
      <c r="J56" s="2601">
        <f t="shared" si="12"/>
        <v>7.7999999999999996E-3</v>
      </c>
      <c r="K56" s="2601">
        <f t="shared" si="13"/>
        <v>3.8999999999999998E-3</v>
      </c>
      <c r="L56" s="2601">
        <v>0</v>
      </c>
      <c r="M56" s="2601">
        <f t="shared" si="14"/>
        <v>-3.8999999999999998E-3</v>
      </c>
      <c r="N56" s="2601">
        <f t="shared" si="14"/>
        <v>-7.7999999999999996E-3</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2297</v>
      </c>
      <c r="G58" s="1499" t="s">
        <v>1851</v>
      </c>
      <c r="H58" s="2604" t="s">
        <v>2501</v>
      </c>
      <c r="I58" s="1499" t="s">
        <v>1854</v>
      </c>
      <c r="J58" s="944" t="s">
        <v>425</v>
      </c>
      <c r="K58" s="944" t="s">
        <v>426</v>
      </c>
      <c r="L58" s="944" t="s">
        <v>427</v>
      </c>
      <c r="M58" s="944" t="s">
        <v>428</v>
      </c>
      <c r="N58" s="944" t="s">
        <v>429</v>
      </c>
      <c r="AA58" s="2382"/>
      <c r="AB58" s="2382"/>
      <c r="AC58" s="2382"/>
      <c r="AD58" s="2382"/>
      <c r="AE58" s="2382"/>
      <c r="AF58" s="2382"/>
      <c r="AG58" s="2382"/>
      <c r="AH58" s="2382"/>
      <c r="AI58" s="2382"/>
      <c r="AJ58" s="2382"/>
      <c r="AK58" s="2382"/>
    </row>
    <row r="59" spans="1:37" s="2381" customFormat="1" ht="24">
      <c r="A59" s="1496" t="s">
        <v>1094</v>
      </c>
      <c r="B59" s="1501">
        <f>估价对象房地状况!C17</f>
        <v>0</v>
      </c>
      <c r="C59" s="1486"/>
      <c r="D59" s="2602">
        <f t="shared" ref="D59:D67" si="16">SUMIF($J$58:$N$58,C59,J59:N59)</f>
        <v>0</v>
      </c>
      <c r="E59" s="1503">
        <f>ROUND(SUM(D59:D67),4)</f>
        <v>0</v>
      </c>
      <c r="F59" s="1504" t="str">
        <f>IF(E2="办公",SUMIF(L1:L12,G2,N1:N12),"——")</f>
        <v>——</v>
      </c>
      <c r="G59" s="2600"/>
      <c r="H59" s="2618" t="str">
        <f t="shared" ref="H59:H67" si="17">IFERROR(ROUNDDOWN($F$59*I59/2,4),"——")</f>
        <v>——</v>
      </c>
      <c r="I59" s="1502">
        <v>0.24</v>
      </c>
      <c r="J59" s="2601">
        <f t="shared" ref="J59:J67" si="18">K59+$G59</f>
        <v>0</v>
      </c>
      <c r="K59" s="2601">
        <f t="shared" ref="K59:K67" si="19">$L59+$G59</f>
        <v>0</v>
      </c>
      <c r="L59" s="2601">
        <v>0</v>
      </c>
      <c r="M59" s="2601">
        <f t="shared" ref="M59:N67" si="20">L59-$G59</f>
        <v>0</v>
      </c>
      <c r="N59" s="2601">
        <f t="shared" si="20"/>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估价对象周边有房2内路、周边无地铁，路网密集程度一般，交通便捷度一般</v>
      </c>
      <c r="C60" s="1486"/>
      <c r="D60" s="2602">
        <f t="shared" si="16"/>
        <v>0</v>
      </c>
      <c r="E60" s="1506"/>
      <c r="F60" s="1504"/>
      <c r="G60" s="2600"/>
      <c r="H60" s="2618" t="str">
        <f t="shared" si="17"/>
        <v>——</v>
      </c>
      <c r="I60" s="1502">
        <v>0.3</v>
      </c>
      <c r="J60" s="2601">
        <f t="shared" si="18"/>
        <v>0</v>
      </c>
      <c r="K60" s="2601">
        <f t="shared" si="19"/>
        <v>0</v>
      </c>
      <c r="L60" s="2601">
        <v>0</v>
      </c>
      <c r="M60" s="2601">
        <f t="shared" si="20"/>
        <v>0</v>
      </c>
      <c r="N60" s="2601">
        <f t="shared" si="20"/>
        <v>0</v>
      </c>
      <c r="AA60" s="2382"/>
      <c r="AB60" s="2382"/>
      <c r="AC60" s="2382"/>
      <c r="AD60" s="2382"/>
      <c r="AE60" s="2382"/>
      <c r="AF60" s="2382"/>
      <c r="AG60" s="2382"/>
      <c r="AH60" s="2382"/>
      <c r="AI60" s="2382"/>
      <c r="AJ60" s="2382"/>
      <c r="AK60" s="2382"/>
    </row>
    <row r="61" spans="1:37" s="2381" customFormat="1" ht="24">
      <c r="A61" s="1496" t="s">
        <v>109</v>
      </c>
      <c r="B61" s="1505" t="str">
        <f>估价对象房地状况!C19</f>
        <v>较一致，以住宅为主</v>
      </c>
      <c r="C61" s="1486"/>
      <c r="D61" s="2602">
        <f t="shared" si="16"/>
        <v>0</v>
      </c>
      <c r="E61" s="1506"/>
      <c r="F61" s="1504"/>
      <c r="G61" s="2600"/>
      <c r="H61" s="2618" t="str">
        <f t="shared" si="17"/>
        <v>——</v>
      </c>
      <c r="I61" s="1502">
        <v>0.08</v>
      </c>
      <c r="J61" s="2601">
        <f t="shared" si="18"/>
        <v>0</v>
      </c>
      <c r="K61" s="2601">
        <f t="shared" si="19"/>
        <v>0</v>
      </c>
      <c r="L61" s="2601">
        <v>0</v>
      </c>
      <c r="M61" s="2601">
        <f t="shared" si="20"/>
        <v>0</v>
      </c>
      <c r="N61" s="2601">
        <f t="shared" si="20"/>
        <v>0</v>
      </c>
      <c r="AA61" s="2382"/>
      <c r="AB61" s="2382"/>
      <c r="AC61" s="2382"/>
      <c r="AD61" s="2382"/>
      <c r="AE61" s="2382"/>
      <c r="AF61" s="2382"/>
      <c r="AG61" s="2382"/>
      <c r="AH61" s="2382"/>
      <c r="AI61" s="2382"/>
      <c r="AJ61" s="2382"/>
      <c r="AK61" s="2382"/>
    </row>
    <row r="62" spans="1:37" s="2381" customFormat="1" ht="36">
      <c r="A62" s="1496" t="s">
        <v>1784</v>
      </c>
      <c r="B62" s="3304" t="s">
        <v>3029</v>
      </c>
      <c r="C62" s="1486"/>
      <c r="D62" s="2602">
        <f t="shared" si="16"/>
        <v>0</v>
      </c>
      <c r="E62" s="1506"/>
      <c r="F62" s="1504"/>
      <c r="G62" s="2600"/>
      <c r="H62" s="2618" t="str">
        <f t="shared" si="17"/>
        <v>——</v>
      </c>
      <c r="I62" s="1502">
        <v>0.04</v>
      </c>
      <c r="J62" s="2601">
        <f t="shared" si="18"/>
        <v>0</v>
      </c>
      <c r="K62" s="2601">
        <f t="shared" si="19"/>
        <v>0</v>
      </c>
      <c r="L62" s="2601">
        <v>0</v>
      </c>
      <c r="M62" s="2601">
        <f t="shared" si="20"/>
        <v>0</v>
      </c>
      <c r="N62" s="2601">
        <f t="shared" si="20"/>
        <v>0</v>
      </c>
      <c r="AA62" s="2382"/>
      <c r="AB62" s="2382"/>
      <c r="AC62" s="2382"/>
      <c r="AD62" s="2382"/>
      <c r="AE62" s="2382"/>
      <c r="AF62" s="2382"/>
      <c r="AG62" s="2382"/>
      <c r="AH62" s="2382"/>
      <c r="AI62" s="2382"/>
      <c r="AJ62" s="2382"/>
      <c r="AK62" s="2382"/>
    </row>
    <row r="63" spans="1:37" s="2381" customFormat="1" ht="24">
      <c r="A63" s="1496" t="s">
        <v>1785</v>
      </c>
      <c r="B63" s="1505" t="str">
        <f>估价对象房地状况!C24</f>
        <v>城市次干道－拱辰北大街</v>
      </c>
      <c r="C63" s="1486"/>
      <c r="D63" s="2602">
        <f t="shared" si="16"/>
        <v>0</v>
      </c>
      <c r="E63" s="1506"/>
      <c r="F63" s="1504"/>
      <c r="G63" s="2600"/>
      <c r="H63" s="2618" t="str">
        <f t="shared" si="17"/>
        <v>——</v>
      </c>
      <c r="I63" s="1502">
        <v>0.05</v>
      </c>
      <c r="J63" s="2601">
        <f t="shared" si="18"/>
        <v>0</v>
      </c>
      <c r="K63" s="2601">
        <f t="shared" si="19"/>
        <v>0</v>
      </c>
      <c r="L63" s="2601">
        <v>0</v>
      </c>
      <c r="M63" s="2601">
        <f t="shared" si="20"/>
        <v>0</v>
      </c>
      <c r="N63" s="2601">
        <f t="shared" si="20"/>
        <v>0</v>
      </c>
      <c r="AA63" s="2382"/>
      <c r="AB63" s="2382"/>
      <c r="AC63" s="2382"/>
      <c r="AD63" s="2382"/>
      <c r="AE63" s="2382"/>
      <c r="AF63" s="2382"/>
      <c r="AG63" s="2382"/>
      <c r="AH63" s="2382"/>
      <c r="AI63" s="2382"/>
      <c r="AJ63" s="2382"/>
      <c r="AK63" s="2382"/>
    </row>
    <row r="64" spans="1:37" s="2381" customFormat="1" ht="24">
      <c r="A64" s="1496" t="s">
        <v>1786</v>
      </c>
      <c r="B64" s="3303" t="s">
        <v>3028</v>
      </c>
      <c r="C64" s="1486"/>
      <c r="D64" s="2602">
        <f t="shared" si="16"/>
        <v>0</v>
      </c>
      <c r="E64" s="1506"/>
      <c r="F64" s="1504"/>
      <c r="G64" s="2600"/>
      <c r="H64" s="2618" t="str">
        <f t="shared" si="17"/>
        <v>——</v>
      </c>
      <c r="I64" s="1502">
        <v>0.05</v>
      </c>
      <c r="J64" s="2601">
        <f t="shared" si="18"/>
        <v>0</v>
      </c>
      <c r="K64" s="2601">
        <f t="shared" si="19"/>
        <v>0</v>
      </c>
      <c r="L64" s="2601">
        <v>0</v>
      </c>
      <c r="M64" s="2601">
        <f t="shared" si="20"/>
        <v>0</v>
      </c>
      <c r="N64" s="2601">
        <f t="shared" si="20"/>
        <v>0</v>
      </c>
      <c r="AA64" s="2382"/>
      <c r="AB64" s="2382"/>
      <c r="AC64" s="2382"/>
      <c r="AD64" s="2382"/>
      <c r="AE64" s="2382"/>
      <c r="AF64" s="2382"/>
      <c r="AG64" s="2382"/>
      <c r="AH64" s="2382"/>
      <c r="AI64" s="2382"/>
      <c r="AJ64" s="2382"/>
      <c r="AK64" s="2382"/>
    </row>
    <row r="65" spans="1:37" s="2381" customFormat="1" ht="48">
      <c r="A65" s="1496" t="s">
        <v>1787</v>
      </c>
      <c r="B65" s="2598" t="str">
        <f>估价对象房地状况!C21</f>
        <v>估价对象所在区域公共配套设施齐备情况较好：蓝色未来幼儿园、北京市房山区第一医院良乡分部</v>
      </c>
      <c r="C65" s="1486"/>
      <c r="D65" s="2602">
        <f t="shared" si="16"/>
        <v>0</v>
      </c>
      <c r="E65" s="1506"/>
      <c r="F65" s="1504"/>
      <c r="G65" s="2600"/>
      <c r="H65" s="2618" t="str">
        <f t="shared" si="17"/>
        <v>——</v>
      </c>
      <c r="I65" s="1502">
        <v>0.06</v>
      </c>
      <c r="J65" s="2601">
        <f t="shared" si="18"/>
        <v>0</v>
      </c>
      <c r="K65" s="2601">
        <f t="shared" si="19"/>
        <v>0</v>
      </c>
      <c r="L65" s="2601">
        <v>0</v>
      </c>
      <c r="M65" s="2601">
        <f t="shared" si="20"/>
        <v>0</v>
      </c>
      <c r="N65" s="2601">
        <f t="shared" si="20"/>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估价对象所在区域基础设施水平：七通</v>
      </c>
      <c r="C66" s="1486"/>
      <c r="D66" s="2602">
        <f t="shared" si="16"/>
        <v>0</v>
      </c>
      <c r="E66" s="1506"/>
      <c r="F66" s="1504"/>
      <c r="G66" s="2600"/>
      <c r="H66" s="2618" t="str">
        <f t="shared" si="17"/>
        <v>——</v>
      </c>
      <c r="I66" s="1502">
        <v>0.12</v>
      </c>
      <c r="J66" s="2601">
        <f t="shared" si="18"/>
        <v>0</v>
      </c>
      <c r="K66" s="2601">
        <f t="shared" si="19"/>
        <v>0</v>
      </c>
      <c r="L66" s="2601">
        <v>0</v>
      </c>
      <c r="M66" s="2601">
        <f t="shared" si="20"/>
        <v>0</v>
      </c>
      <c r="N66" s="2601">
        <f t="shared" si="20"/>
        <v>0</v>
      </c>
      <c r="AA66" s="2382"/>
      <c r="AB66" s="2382"/>
      <c r="AC66" s="2382"/>
      <c r="AD66" s="2382"/>
      <c r="AE66" s="2382"/>
      <c r="AF66" s="2382"/>
      <c r="AG66" s="2382"/>
      <c r="AH66" s="2382"/>
      <c r="AI66" s="2382"/>
      <c r="AJ66" s="2382"/>
      <c r="AK66" s="2382"/>
    </row>
    <row r="67" spans="1:37" s="2381" customFormat="1" ht="48.75" thickBot="1">
      <c r="A67" s="1509" t="s">
        <v>1789</v>
      </c>
      <c r="B67" s="1514" t="str">
        <f>估价对象房地状况!C20</f>
        <v>区域自然环境：良乡塔；人文环境：良乡文化广场；综合评价环境状况一般</v>
      </c>
      <c r="C67" s="1486"/>
      <c r="D67" s="2602">
        <f t="shared" si="16"/>
        <v>0</v>
      </c>
      <c r="E67" s="1512"/>
      <c r="F67" s="1504"/>
      <c r="G67" s="2600"/>
      <c r="H67" s="2618" t="str">
        <f t="shared" si="17"/>
        <v>——</v>
      </c>
      <c r="I67" s="1511">
        <v>0.06</v>
      </c>
      <c r="J67" s="2601">
        <f t="shared" si="18"/>
        <v>0</v>
      </c>
      <c r="K67" s="2601">
        <f t="shared" si="19"/>
        <v>0</v>
      </c>
      <c r="L67" s="2601">
        <v>0</v>
      </c>
      <c r="M67" s="2601">
        <f t="shared" si="20"/>
        <v>0</v>
      </c>
      <c r="N67" s="2601">
        <f t="shared" si="20"/>
        <v>0</v>
      </c>
      <c r="AA67" s="2382"/>
      <c r="AB67" s="2382"/>
      <c r="AC67" s="2382"/>
      <c r="AD67" s="2382"/>
      <c r="AE67" s="2382"/>
      <c r="AF67" s="2382"/>
      <c r="AG67" s="2382"/>
      <c r="AH67" s="2382"/>
      <c r="AI67" s="2382"/>
      <c r="AJ67" s="2382"/>
      <c r="AK67" s="2382"/>
    </row>
    <row r="68" spans="1:37" s="2381" customFormat="1" ht="15">
      <c r="A68" s="1490" t="s">
        <v>978</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2297</v>
      </c>
      <c r="G69" s="1499" t="s">
        <v>1851</v>
      </c>
      <c r="H69" s="2604" t="s">
        <v>2501</v>
      </c>
      <c r="I69" s="1499" t="s">
        <v>1854</v>
      </c>
      <c r="J69" s="944" t="s">
        <v>425</v>
      </c>
      <c r="K69" s="944" t="s">
        <v>426</v>
      </c>
      <c r="L69" s="944" t="s">
        <v>427</v>
      </c>
      <c r="M69" s="944" t="s">
        <v>428</v>
      </c>
      <c r="N69" s="944" t="s">
        <v>429</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1">SUMIF($J$69:$N$69,C70,J70:N70)</f>
        <v>0</v>
      </c>
      <c r="E70" s="1503">
        <f>ROUND(SUM(D70:D78),4)</f>
        <v>0</v>
      </c>
      <c r="F70" s="1504" t="str">
        <f>IF(E2="住宅",SUMIF(L1:L12,G2,N1:N12),"——")</f>
        <v>——</v>
      </c>
      <c r="G70" s="2600"/>
      <c r="H70" s="2618" t="str">
        <f t="shared" ref="H70:H78" si="22">IFERROR(ROUNDDOWN($F$70*I70/2,4),"——")</f>
        <v>——</v>
      </c>
      <c r="I70" s="1502">
        <v>0.14000000000000001</v>
      </c>
      <c r="J70" s="2601">
        <f t="shared" ref="J70:J78" si="23">K70+$G70</f>
        <v>0</v>
      </c>
      <c r="K70" s="2601">
        <f t="shared" ref="K70:K78" si="24">$L70+$G70</f>
        <v>0</v>
      </c>
      <c r="L70" s="2601">
        <v>0</v>
      </c>
      <c r="M70" s="2601">
        <f t="shared" ref="M70:N78" si="25">L70-$G70</f>
        <v>0</v>
      </c>
      <c r="N70" s="2601">
        <f t="shared" si="25"/>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估价对象周边有房2内路、周边无地铁，路网密集程度一般，交通便捷度一般</v>
      </c>
      <c r="C71" s="1486"/>
      <c r="D71" s="2602">
        <f t="shared" si="21"/>
        <v>0</v>
      </c>
      <c r="E71" s="1515"/>
      <c r="F71" s="1504"/>
      <c r="G71" s="2600"/>
      <c r="H71" s="2618" t="str">
        <f t="shared" si="22"/>
        <v>——</v>
      </c>
      <c r="I71" s="1502">
        <v>0.3</v>
      </c>
      <c r="J71" s="2601">
        <f t="shared" si="23"/>
        <v>0</v>
      </c>
      <c r="K71" s="2601">
        <f t="shared" si="24"/>
        <v>0</v>
      </c>
      <c r="L71" s="2601">
        <v>0</v>
      </c>
      <c r="M71" s="2601">
        <f t="shared" si="25"/>
        <v>0</v>
      </c>
      <c r="N71" s="2601">
        <f t="shared" si="25"/>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较一致，以住宅为主</v>
      </c>
      <c r="C72" s="1486"/>
      <c r="D72" s="2602">
        <f t="shared" si="21"/>
        <v>0</v>
      </c>
      <c r="E72" s="1515"/>
      <c r="F72" s="1504"/>
      <c r="G72" s="2600"/>
      <c r="H72" s="2618" t="str">
        <f t="shared" si="22"/>
        <v>——</v>
      </c>
      <c r="I72" s="1502">
        <v>0.08</v>
      </c>
      <c r="J72" s="2601">
        <f t="shared" si="23"/>
        <v>0</v>
      </c>
      <c r="K72" s="2601">
        <f t="shared" si="24"/>
        <v>0</v>
      </c>
      <c r="L72" s="2601">
        <v>0</v>
      </c>
      <c r="M72" s="2601">
        <f t="shared" si="25"/>
        <v>0</v>
      </c>
      <c r="N72" s="2601">
        <f t="shared" si="25"/>
        <v>0</v>
      </c>
      <c r="AA72" s="2382"/>
      <c r="AB72" s="2382"/>
      <c r="AC72" s="2382"/>
      <c r="AD72" s="2382"/>
      <c r="AE72" s="2382"/>
      <c r="AF72" s="2382"/>
      <c r="AG72" s="2382"/>
      <c r="AH72" s="2382"/>
      <c r="AI72" s="2382"/>
      <c r="AJ72" s="2382"/>
      <c r="AK72" s="2382"/>
    </row>
    <row r="73" spans="1:37" s="2381" customFormat="1" ht="14.25">
      <c r="A73" s="1496" t="s">
        <v>1790</v>
      </c>
      <c r="B73" s="1505" t="str">
        <f>估价对象房地状况!C24</f>
        <v>城市次干道－拱辰北大街</v>
      </c>
      <c r="C73" s="1486"/>
      <c r="D73" s="2602">
        <f t="shared" si="21"/>
        <v>0</v>
      </c>
      <c r="E73" s="1515"/>
      <c r="F73" s="1504"/>
      <c r="G73" s="2600"/>
      <c r="H73" s="2618" t="str">
        <f t="shared" si="22"/>
        <v>——</v>
      </c>
      <c r="I73" s="1502">
        <v>0.04</v>
      </c>
      <c r="J73" s="2601">
        <f t="shared" si="23"/>
        <v>0</v>
      </c>
      <c r="K73" s="2601">
        <f t="shared" si="24"/>
        <v>0</v>
      </c>
      <c r="L73" s="2601">
        <v>0</v>
      </c>
      <c r="M73" s="2601">
        <f t="shared" si="25"/>
        <v>0</v>
      </c>
      <c r="N73" s="2601">
        <f t="shared" si="25"/>
        <v>0</v>
      </c>
      <c r="AA73" s="2382"/>
      <c r="AB73" s="2382"/>
      <c r="AC73" s="2382"/>
      <c r="AD73" s="2382"/>
      <c r="AE73" s="2382"/>
      <c r="AF73" s="2382"/>
      <c r="AG73" s="2382"/>
      <c r="AH73" s="2382"/>
      <c r="AI73" s="2382"/>
      <c r="AJ73" s="2382"/>
      <c r="AK73" s="2382"/>
    </row>
    <row r="74" spans="1:37" s="2381" customFormat="1" ht="48">
      <c r="A74" s="1496" t="s">
        <v>1787</v>
      </c>
      <c r="B74" s="2598" t="str">
        <f>估价对象房地状况!C21</f>
        <v>估价对象所在区域公共配套设施齐备情况较好：蓝色未来幼儿园、北京市房山区第一医院良乡分部</v>
      </c>
      <c r="C74" s="1486"/>
      <c r="D74" s="2602">
        <f t="shared" si="21"/>
        <v>0</v>
      </c>
      <c r="E74" s="1515"/>
      <c r="F74" s="1504"/>
      <c r="G74" s="2600"/>
      <c r="H74" s="2618" t="str">
        <f t="shared" si="22"/>
        <v>——</v>
      </c>
      <c r="I74" s="1502">
        <v>0.08</v>
      </c>
      <c r="J74" s="2601">
        <f t="shared" si="23"/>
        <v>0</v>
      </c>
      <c r="K74" s="2601">
        <f t="shared" si="24"/>
        <v>0</v>
      </c>
      <c r="L74" s="2601">
        <v>0</v>
      </c>
      <c r="M74" s="2601">
        <f t="shared" si="25"/>
        <v>0</v>
      </c>
      <c r="N74" s="2601">
        <f t="shared" si="25"/>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估价对象所在区域基础设施水平：七通</v>
      </c>
      <c r="C75" s="1486"/>
      <c r="D75" s="2602">
        <f t="shared" si="21"/>
        <v>0</v>
      </c>
      <c r="E75" s="1515"/>
      <c r="F75" s="1504"/>
      <c r="G75" s="2600"/>
      <c r="H75" s="2618" t="str">
        <f t="shared" si="22"/>
        <v>——</v>
      </c>
      <c r="I75" s="1502">
        <v>0.12</v>
      </c>
      <c r="J75" s="2601">
        <f t="shared" si="23"/>
        <v>0</v>
      </c>
      <c r="K75" s="2601">
        <f t="shared" si="24"/>
        <v>0</v>
      </c>
      <c r="L75" s="2601">
        <v>0</v>
      </c>
      <c r="M75" s="2601">
        <f t="shared" si="25"/>
        <v>0</v>
      </c>
      <c r="N75" s="2601">
        <f t="shared" si="25"/>
        <v>0</v>
      </c>
      <c r="AA75" s="2382"/>
      <c r="AB75" s="2382"/>
      <c r="AC75" s="2382"/>
      <c r="AD75" s="2382"/>
      <c r="AE75" s="2382"/>
      <c r="AF75" s="2382"/>
      <c r="AG75" s="2382"/>
      <c r="AH75" s="2382"/>
      <c r="AI75" s="2382"/>
      <c r="AJ75" s="2382"/>
      <c r="AK75" s="2382"/>
    </row>
    <row r="76" spans="1:37" s="2385" customFormat="1" ht="24">
      <c r="A76" s="1496" t="s">
        <v>1786</v>
      </c>
      <c r="B76" s="3303" t="s">
        <v>3028</v>
      </c>
      <c r="C76" s="1486"/>
      <c r="D76" s="2602">
        <f t="shared" si="21"/>
        <v>0</v>
      </c>
      <c r="E76" s="1515"/>
      <c r="F76" s="1504"/>
      <c r="G76" s="2600"/>
      <c r="H76" s="2618" t="str">
        <f t="shared" si="22"/>
        <v>——</v>
      </c>
      <c r="I76" s="1502">
        <v>0.05</v>
      </c>
      <c r="J76" s="2601">
        <f t="shared" si="23"/>
        <v>0</v>
      </c>
      <c r="K76" s="2601">
        <f t="shared" si="24"/>
        <v>0</v>
      </c>
      <c r="L76" s="2601">
        <v>0</v>
      </c>
      <c r="M76" s="2601">
        <f t="shared" si="25"/>
        <v>0</v>
      </c>
      <c r="N76" s="2601">
        <f t="shared" si="25"/>
        <v>0</v>
      </c>
      <c r="AA76" s="2384"/>
      <c r="AB76" s="2382"/>
      <c r="AC76" s="2382"/>
      <c r="AD76" s="2382"/>
      <c r="AE76" s="2382"/>
      <c r="AF76" s="2382"/>
      <c r="AG76" s="2382"/>
      <c r="AH76" s="2384"/>
      <c r="AI76" s="2384"/>
      <c r="AJ76" s="2384"/>
      <c r="AK76" s="2384"/>
    </row>
    <row r="77" spans="1:37" ht="48">
      <c r="A77" s="1496" t="s">
        <v>1789</v>
      </c>
      <c r="B77" s="1501" t="str">
        <f>估价对象房地状况!C20</f>
        <v>区域自然环境：良乡塔；人文环境：良乡文化广场；综合评价环境状况一般</v>
      </c>
      <c r="C77" s="1486"/>
      <c r="D77" s="2602">
        <f t="shared" si="21"/>
        <v>0</v>
      </c>
      <c r="E77" s="1515"/>
      <c r="F77" s="1504"/>
      <c r="G77" s="2600"/>
      <c r="H77" s="2618" t="str">
        <f t="shared" si="22"/>
        <v>——</v>
      </c>
      <c r="I77" s="1502">
        <v>0.15</v>
      </c>
      <c r="J77" s="2601">
        <f t="shared" si="23"/>
        <v>0</v>
      </c>
      <c r="K77" s="2601">
        <f t="shared" si="24"/>
        <v>0</v>
      </c>
      <c r="L77" s="2601">
        <v>0</v>
      </c>
      <c r="M77" s="2601">
        <f t="shared" si="25"/>
        <v>0</v>
      </c>
      <c r="N77" s="2601">
        <f t="shared" si="25"/>
        <v>0</v>
      </c>
      <c r="Z77" s="1626"/>
      <c r="AA77" s="1625"/>
      <c r="AG77" s="1624"/>
      <c r="AK77" s="1625"/>
    </row>
    <row r="78" spans="1:37" ht="24.75" thickBot="1">
      <c r="A78" s="1509" t="s">
        <v>1791</v>
      </c>
      <c r="B78" s="3302"/>
      <c r="C78" s="1486"/>
      <c r="D78" s="2602">
        <f t="shared" si="21"/>
        <v>0</v>
      </c>
      <c r="E78" s="1516"/>
      <c r="F78" s="1504"/>
      <c r="G78" s="2600"/>
      <c r="H78" s="2618" t="str">
        <f t="shared" si="22"/>
        <v>——</v>
      </c>
      <c r="I78" s="1511">
        <v>0.04</v>
      </c>
      <c r="J78" s="2601">
        <f t="shared" si="23"/>
        <v>0</v>
      </c>
      <c r="K78" s="2601">
        <f t="shared" si="24"/>
        <v>0</v>
      </c>
      <c r="L78" s="2601">
        <v>0</v>
      </c>
      <c r="M78" s="2601">
        <f t="shared" si="25"/>
        <v>0</v>
      </c>
      <c r="N78" s="2601">
        <f t="shared" si="25"/>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2297</v>
      </c>
      <c r="G80" s="1499" t="s">
        <v>1851</v>
      </c>
      <c r="H80" s="2604" t="s">
        <v>2501</v>
      </c>
      <c r="I80" s="1499" t="s">
        <v>1854</v>
      </c>
      <c r="J80" s="944" t="s">
        <v>425</v>
      </c>
      <c r="K80" s="944" t="s">
        <v>426</v>
      </c>
      <c r="L80" s="944" t="s">
        <v>427</v>
      </c>
      <c r="M80" s="944" t="s">
        <v>428</v>
      </c>
      <c r="N80" s="944" t="s">
        <v>429</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6">SUMIF($J$80:$N$80,C81,J81:N81)</f>
        <v>0</v>
      </c>
      <c r="E81" s="1503">
        <f>ROUND(SUM(D81:D88),4)</f>
        <v>0</v>
      </c>
      <c r="F81" s="1504" t="str">
        <f>IF(E2="工业",SUMIF(L1:L12,G2,N1:N12),"——")</f>
        <v>——</v>
      </c>
      <c r="G81" s="2600"/>
      <c r="H81" s="2618" t="str">
        <f t="shared" ref="H81:H88" si="27">IFERROR(ROUNDDOWN($F$81*I81/2,4),"——")</f>
        <v>——</v>
      </c>
      <c r="I81" s="1502">
        <v>0.26</v>
      </c>
      <c r="J81" s="2601">
        <f t="shared" ref="J81:J88" si="28">K81+$G81</f>
        <v>0</v>
      </c>
      <c r="K81" s="2601">
        <f t="shared" ref="K81:K88" si="29">$L81+$G81</f>
        <v>0</v>
      </c>
      <c r="L81" s="2601">
        <v>0</v>
      </c>
      <c r="M81" s="2601">
        <f t="shared" ref="M81:N88" si="30">L81-$G81</f>
        <v>0</v>
      </c>
      <c r="N81" s="2601">
        <f t="shared" si="30"/>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6"/>
        <v>0</v>
      </c>
      <c r="E82" s="1515"/>
      <c r="F82" s="1504"/>
      <c r="G82" s="2600"/>
      <c r="H82" s="2618" t="str">
        <f t="shared" si="27"/>
        <v>——</v>
      </c>
      <c r="I82" s="1502">
        <v>0.33</v>
      </c>
      <c r="J82" s="2601">
        <f t="shared" si="28"/>
        <v>0</v>
      </c>
      <c r="K82" s="2601">
        <f t="shared" si="29"/>
        <v>0</v>
      </c>
      <c r="L82" s="2601">
        <v>0</v>
      </c>
      <c r="M82" s="2601">
        <f t="shared" si="30"/>
        <v>0</v>
      </c>
      <c r="N82" s="2601">
        <f t="shared" si="30"/>
        <v>0</v>
      </c>
      <c r="Z82" s="1626"/>
      <c r="AA82" s="1625"/>
      <c r="AG82" s="1624"/>
      <c r="AK82" s="1625"/>
    </row>
    <row r="83" spans="1:37" ht="24">
      <c r="A83" s="1496" t="s">
        <v>109</v>
      </c>
      <c r="B83" s="1505">
        <f>估价对象房地状况!G17</f>
        <v>0</v>
      </c>
      <c r="C83" s="1486"/>
      <c r="D83" s="2602">
        <f t="shared" si="26"/>
        <v>0</v>
      </c>
      <c r="E83" s="1515"/>
      <c r="F83" s="1504"/>
      <c r="G83" s="2600"/>
      <c r="H83" s="2618" t="str">
        <f t="shared" si="27"/>
        <v>——</v>
      </c>
      <c r="I83" s="1502">
        <v>0.05</v>
      </c>
      <c r="J83" s="2601">
        <f t="shared" si="28"/>
        <v>0</v>
      </c>
      <c r="K83" s="2601">
        <f t="shared" si="29"/>
        <v>0</v>
      </c>
      <c r="L83" s="2601">
        <v>0</v>
      </c>
      <c r="M83" s="2601">
        <f t="shared" si="30"/>
        <v>0</v>
      </c>
      <c r="N83" s="2601">
        <f t="shared" si="30"/>
        <v>0</v>
      </c>
      <c r="Z83" s="1626"/>
      <c r="AA83" s="1625"/>
      <c r="AG83" s="1624"/>
      <c r="AK83" s="1625"/>
    </row>
    <row r="84" spans="1:37" ht="14.25">
      <c r="A84" s="1496" t="s">
        <v>1790</v>
      </c>
      <c r="B84" s="1505">
        <f>估价对象房地状况!G22</f>
        <v>0</v>
      </c>
      <c r="C84" s="1486"/>
      <c r="D84" s="2602">
        <f t="shared" si="26"/>
        <v>0</v>
      </c>
      <c r="E84" s="1515"/>
      <c r="F84" s="1504"/>
      <c r="G84" s="2600"/>
      <c r="H84" s="2618" t="str">
        <f t="shared" si="27"/>
        <v>——</v>
      </c>
      <c r="I84" s="1502">
        <v>0.04</v>
      </c>
      <c r="J84" s="2601">
        <f t="shared" si="28"/>
        <v>0</v>
      </c>
      <c r="K84" s="2601">
        <f t="shared" si="29"/>
        <v>0</v>
      </c>
      <c r="L84" s="2601">
        <v>0</v>
      </c>
      <c r="M84" s="2601">
        <f t="shared" si="30"/>
        <v>0</v>
      </c>
      <c r="N84" s="2601">
        <f t="shared" si="30"/>
        <v>0</v>
      </c>
      <c r="Z84" s="1626"/>
      <c r="AA84" s="1625"/>
      <c r="AG84" s="1624"/>
      <c r="AK84" s="1625"/>
    </row>
    <row r="85" spans="1:37" ht="24">
      <c r="A85" s="1496" t="s">
        <v>1787</v>
      </c>
      <c r="B85" s="2598" t="str">
        <f>估价对象房地状况!G19</f>
        <v>估价对象所在区域公共配套设施齐备情况</v>
      </c>
      <c r="C85" s="1486"/>
      <c r="D85" s="2602">
        <f t="shared" si="26"/>
        <v>0</v>
      </c>
      <c r="E85" s="1515"/>
      <c r="F85" s="1504"/>
      <c r="G85" s="2600"/>
      <c r="H85" s="2618" t="str">
        <f t="shared" si="27"/>
        <v>——</v>
      </c>
      <c r="I85" s="1502">
        <v>0.06</v>
      </c>
      <c r="J85" s="2601">
        <f t="shared" si="28"/>
        <v>0</v>
      </c>
      <c r="K85" s="2601">
        <f t="shared" si="29"/>
        <v>0</v>
      </c>
      <c r="L85" s="2601">
        <v>0</v>
      </c>
      <c r="M85" s="2601">
        <f t="shared" si="30"/>
        <v>0</v>
      </c>
      <c r="N85" s="2601">
        <f t="shared" si="30"/>
        <v>0</v>
      </c>
      <c r="Z85" s="1626"/>
      <c r="AA85" s="1625"/>
      <c r="AG85" s="1624"/>
      <c r="AK85" s="1625"/>
    </row>
    <row r="86" spans="1:37" ht="24">
      <c r="A86" s="1496" t="s">
        <v>1788</v>
      </c>
      <c r="B86" s="2598" t="str">
        <f>估价对象房地状况!G20</f>
        <v>估价对象所在区域基础设施水平</v>
      </c>
      <c r="C86" s="1486"/>
      <c r="D86" s="2602">
        <f t="shared" si="26"/>
        <v>0</v>
      </c>
      <c r="E86" s="1515"/>
      <c r="F86" s="1504"/>
      <c r="G86" s="2600"/>
      <c r="H86" s="2618" t="str">
        <f t="shared" si="27"/>
        <v>——</v>
      </c>
      <c r="I86" s="1502">
        <v>0.15</v>
      </c>
      <c r="J86" s="2601">
        <f t="shared" si="28"/>
        <v>0</v>
      </c>
      <c r="K86" s="2601">
        <f t="shared" si="29"/>
        <v>0</v>
      </c>
      <c r="L86" s="2601">
        <v>0</v>
      </c>
      <c r="M86" s="2601">
        <f t="shared" si="30"/>
        <v>0</v>
      </c>
      <c r="N86" s="2601">
        <f t="shared" si="30"/>
        <v>0</v>
      </c>
      <c r="Z86" s="1626"/>
      <c r="AA86" s="1625"/>
      <c r="AG86" s="1624"/>
      <c r="AK86" s="1625"/>
    </row>
    <row r="87" spans="1:37" ht="24">
      <c r="A87" s="1496" t="s">
        <v>1786</v>
      </c>
      <c r="B87" s="3303" t="s">
        <v>2499</v>
      </c>
      <c r="C87" s="1486"/>
      <c r="D87" s="2602">
        <f t="shared" si="26"/>
        <v>0</v>
      </c>
      <c r="E87" s="1515"/>
      <c r="F87" s="1504"/>
      <c r="G87" s="2600"/>
      <c r="H87" s="2618" t="str">
        <f t="shared" si="27"/>
        <v>——</v>
      </c>
      <c r="I87" s="1502">
        <v>0.05</v>
      </c>
      <c r="J87" s="2601">
        <f t="shared" si="28"/>
        <v>0</v>
      </c>
      <c r="K87" s="2601">
        <f t="shared" si="29"/>
        <v>0</v>
      </c>
      <c r="L87" s="2601">
        <v>0</v>
      </c>
      <c r="M87" s="2601">
        <f t="shared" si="30"/>
        <v>0</v>
      </c>
      <c r="N87" s="2601">
        <f t="shared" si="30"/>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6"/>
        <v>0</v>
      </c>
      <c r="E88" s="1516"/>
      <c r="F88" s="1504"/>
      <c r="G88" s="2600"/>
      <c r="H88" s="2618" t="str">
        <f t="shared" si="27"/>
        <v>——</v>
      </c>
      <c r="I88" s="1511">
        <v>0.06</v>
      </c>
      <c r="J88" s="2601">
        <f t="shared" si="28"/>
        <v>0</v>
      </c>
      <c r="K88" s="2601">
        <f t="shared" si="29"/>
        <v>0</v>
      </c>
      <c r="L88" s="2601">
        <v>0</v>
      </c>
      <c r="M88" s="2601">
        <f t="shared" si="30"/>
        <v>0</v>
      </c>
      <c r="N88" s="2601">
        <f t="shared" si="30"/>
        <v>0</v>
      </c>
      <c r="Z88" s="1626"/>
      <c r="AA88" s="1625"/>
      <c r="AG88" s="1624"/>
      <c r="AK88" s="1625"/>
    </row>
    <row r="90" spans="1:37">
      <c r="A90" s="3577" t="s">
        <v>1761</v>
      </c>
      <c r="B90" s="3577"/>
      <c r="C90" s="3577"/>
      <c r="D90" s="3577"/>
      <c r="E90" s="3577"/>
      <c r="F90" s="3577"/>
      <c r="G90" s="3577"/>
      <c r="H90" s="3577"/>
      <c r="I90" s="3577"/>
      <c r="J90" s="3577"/>
      <c r="K90" s="2607"/>
      <c r="L90" s="2607"/>
      <c r="M90" s="2607"/>
      <c r="N90" s="2607"/>
    </row>
    <row r="91" spans="1:37">
      <c r="A91" s="3579" t="s">
        <v>68</v>
      </c>
      <c r="B91" s="3579" t="s">
        <v>1762</v>
      </c>
      <c r="C91" s="1585" t="s">
        <v>1763</v>
      </c>
      <c r="D91" s="1586"/>
      <c r="E91" s="1586"/>
      <c r="F91" s="1586"/>
      <c r="G91" s="1586"/>
      <c r="H91" s="1586"/>
      <c r="I91" s="1586"/>
      <c r="J91" s="1587"/>
      <c r="K91" s="1575"/>
      <c r="L91" s="1575"/>
      <c r="M91" s="1575"/>
      <c r="N91" s="1575"/>
    </row>
    <row r="92" spans="1:37">
      <c r="A92" s="3579"/>
      <c r="B92" s="3579"/>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580"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581"/>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581"/>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581"/>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581"/>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581"/>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581"/>
      <c r="B99" s="1588" t="s">
        <v>1765</v>
      </c>
      <c r="C99" s="1590">
        <f>$I$3</f>
        <v>6</v>
      </c>
      <c r="D99" s="1590">
        <f t="shared" ref="D99:M99" si="31">$I$3</f>
        <v>6</v>
      </c>
      <c r="E99" s="1590">
        <f t="shared" si="31"/>
        <v>6</v>
      </c>
      <c r="F99" s="1590">
        <f t="shared" si="31"/>
        <v>6</v>
      </c>
      <c r="G99" s="1590">
        <f t="shared" si="31"/>
        <v>6</v>
      </c>
      <c r="H99" s="1590">
        <f t="shared" si="31"/>
        <v>6</v>
      </c>
      <c r="I99" s="1590">
        <f t="shared" si="31"/>
        <v>6</v>
      </c>
      <c r="J99" s="1590">
        <f t="shared" si="31"/>
        <v>6</v>
      </c>
      <c r="K99" s="1590">
        <f t="shared" si="31"/>
        <v>6</v>
      </c>
      <c r="L99" s="1590">
        <f t="shared" si="31"/>
        <v>6</v>
      </c>
      <c r="M99" s="1590">
        <f t="shared" si="31"/>
        <v>6</v>
      </c>
      <c r="N99" s="1590">
        <f>$I$3</f>
        <v>6</v>
      </c>
    </row>
    <row r="100" spans="1:14">
      <c r="A100" s="3582"/>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580" t="s">
        <v>1766</v>
      </c>
      <c r="B101" s="1592" t="s">
        <v>93</v>
      </c>
      <c r="C101" s="1593">
        <f>$G$3</f>
        <v>3.87</v>
      </c>
      <c r="D101" s="1593">
        <f t="shared" ref="D101:N101" si="32">$G$3</f>
        <v>3.87</v>
      </c>
      <c r="E101" s="1593">
        <f t="shared" si="32"/>
        <v>3.87</v>
      </c>
      <c r="F101" s="1593">
        <f t="shared" si="32"/>
        <v>3.87</v>
      </c>
      <c r="G101" s="1593">
        <f t="shared" si="32"/>
        <v>3.87</v>
      </c>
      <c r="H101" s="1593">
        <f t="shared" si="32"/>
        <v>3.87</v>
      </c>
      <c r="I101" s="1593">
        <f t="shared" si="32"/>
        <v>3.87</v>
      </c>
      <c r="J101" s="1593">
        <f t="shared" si="32"/>
        <v>3.87</v>
      </c>
      <c r="K101" s="1593">
        <f t="shared" si="32"/>
        <v>3.87</v>
      </c>
      <c r="L101" s="1593">
        <f t="shared" si="32"/>
        <v>3.87</v>
      </c>
      <c r="M101" s="1593">
        <f t="shared" si="32"/>
        <v>3.87</v>
      </c>
      <c r="N101" s="1593">
        <f t="shared" si="32"/>
        <v>3.87</v>
      </c>
    </row>
    <row r="102" spans="1:14">
      <c r="A102" s="3581"/>
      <c r="B102" s="1588">
        <v>1</v>
      </c>
      <c r="C102" s="1589">
        <f>1.9362/C101</f>
        <v>0.50031007751937984</v>
      </c>
      <c r="D102" s="1589">
        <f>1.9362/D101</f>
        <v>0.50031007751937984</v>
      </c>
      <c r="E102" s="1589">
        <f>1.8629/E101</f>
        <v>0.48136950904392761</v>
      </c>
      <c r="F102" s="1589">
        <f>1.8629/F101</f>
        <v>0.48136950904392761</v>
      </c>
      <c r="G102" s="1589">
        <f>1.8629/G101</f>
        <v>0.48136950904392761</v>
      </c>
      <c r="H102" s="1589">
        <f>1.8629/H101</f>
        <v>0.48136950904392761</v>
      </c>
      <c r="I102" s="1589">
        <f>1.8629/I101</f>
        <v>0.48136950904392761</v>
      </c>
      <c r="J102" s="1589">
        <f>1.942/J101</f>
        <v>0.50180878552971575</v>
      </c>
      <c r="K102" s="1589">
        <f>1.942/K101</f>
        <v>0.50180878552971575</v>
      </c>
      <c r="L102" s="1589">
        <f>1.942/L101</f>
        <v>0.50180878552971575</v>
      </c>
      <c r="M102" s="1589">
        <f>1.942/M101</f>
        <v>0.50180878552971575</v>
      </c>
      <c r="N102" s="1589">
        <f>1.942/N101</f>
        <v>0.50180878552971575</v>
      </c>
    </row>
    <row r="103" spans="1:14">
      <c r="A103" s="3581"/>
      <c r="B103" s="1588">
        <v>2</v>
      </c>
      <c r="C103" s="1589">
        <f>1.4198/C101</f>
        <v>0.36687338501291988</v>
      </c>
      <c r="D103" s="1589">
        <f>1.4198/D101</f>
        <v>0.36687338501291988</v>
      </c>
      <c r="E103" s="1589">
        <f>1.3372/E101</f>
        <v>0.34552971576227387</v>
      </c>
      <c r="F103" s="1589">
        <f>1.3372/F101</f>
        <v>0.34552971576227387</v>
      </c>
      <c r="G103" s="1589">
        <f>1.3372/G101</f>
        <v>0.34552971576227387</v>
      </c>
      <c r="H103" s="1589">
        <f>1.3372/H101</f>
        <v>0.34552971576227387</v>
      </c>
      <c r="I103" s="1589">
        <f>1.3372/I101</f>
        <v>0.34552971576227387</v>
      </c>
      <c r="J103" s="1589">
        <f>1.2799/J101</f>
        <v>0.33072351421188628</v>
      </c>
      <c r="K103" s="1589">
        <f>1.2799/K101</f>
        <v>0.33072351421188628</v>
      </c>
      <c r="L103" s="1589">
        <f>1.2799/L101</f>
        <v>0.33072351421188628</v>
      </c>
      <c r="M103" s="1589">
        <f>1.2799/M101</f>
        <v>0.33072351421188628</v>
      </c>
      <c r="N103" s="1589">
        <f>1.2799/N101</f>
        <v>0.33072351421188628</v>
      </c>
    </row>
    <row r="104" spans="1:14">
      <c r="A104" s="3581"/>
      <c r="B104" s="1588">
        <v>3</v>
      </c>
      <c r="C104" s="1589">
        <f>1.1594/C101</f>
        <v>0.2995865633074935</v>
      </c>
      <c r="D104" s="1589">
        <f>1.1594/D101</f>
        <v>0.2995865633074935</v>
      </c>
      <c r="E104" s="1589">
        <f>1.0788/E101</f>
        <v>0.27875968992248062</v>
      </c>
      <c r="F104" s="1589">
        <f>1.0788/F101</f>
        <v>0.27875968992248062</v>
      </c>
      <c r="G104" s="1589">
        <f>1.0788/G101</f>
        <v>0.27875968992248062</v>
      </c>
      <c r="H104" s="1589">
        <f>1.0788/H101</f>
        <v>0.27875968992248062</v>
      </c>
      <c r="I104" s="1589">
        <f>1.0788/I101</f>
        <v>0.27875968992248062</v>
      </c>
      <c r="J104" s="1589">
        <f>1.0072/J101</f>
        <v>0.26025839793281658</v>
      </c>
      <c r="K104" s="1589">
        <f>1.0072/K101</f>
        <v>0.26025839793281658</v>
      </c>
      <c r="L104" s="1589">
        <f>1.0072/L101</f>
        <v>0.26025839793281658</v>
      </c>
      <c r="M104" s="1589">
        <f>1.0072/M101</f>
        <v>0.26025839793281658</v>
      </c>
      <c r="N104" s="1589">
        <f>1.0072/N101</f>
        <v>0.26025839793281658</v>
      </c>
    </row>
    <row r="105" spans="1:14">
      <c r="A105" s="3581"/>
      <c r="B105" s="1588">
        <v>4</v>
      </c>
      <c r="C105" s="1589">
        <f>0.9622/C101</f>
        <v>0.24863049095607237</v>
      </c>
      <c r="D105" s="1589">
        <f>0.9622/D101</f>
        <v>0.24863049095607237</v>
      </c>
      <c r="E105" s="1589">
        <f>0.8656/E101</f>
        <v>0.22366925064599483</v>
      </c>
      <c r="F105" s="1589">
        <f>0.8656/F101</f>
        <v>0.22366925064599483</v>
      </c>
      <c r="G105" s="1589">
        <f>0.8656/G101</f>
        <v>0.22366925064599483</v>
      </c>
      <c r="H105" s="1589">
        <f>0.8656/H101</f>
        <v>0.22366925064599483</v>
      </c>
      <c r="I105" s="1589">
        <f>0.8656/I101</f>
        <v>0.22366925064599483</v>
      </c>
      <c r="J105" s="1589">
        <f>0.7525/J101</f>
        <v>0.19444444444444442</v>
      </c>
      <c r="K105" s="1589">
        <f>0.7525/K101</f>
        <v>0.19444444444444442</v>
      </c>
      <c r="L105" s="1589">
        <f>0.7525/L101</f>
        <v>0.19444444444444442</v>
      </c>
      <c r="M105" s="1589">
        <f>0.7525/M101</f>
        <v>0.19444444444444442</v>
      </c>
      <c r="N105" s="1589">
        <f>0.7525/N101</f>
        <v>0.19444444444444442</v>
      </c>
    </row>
    <row r="106" spans="1:14">
      <c r="A106" s="3581"/>
      <c r="B106" s="1588">
        <v>5</v>
      </c>
      <c r="C106" s="1589">
        <f>0.8417/C101</f>
        <v>0.21749354005167959</v>
      </c>
      <c r="D106" s="1589">
        <f>0.8417/D101</f>
        <v>0.21749354005167959</v>
      </c>
      <c r="E106" s="1589">
        <f>0.7371/E101</f>
        <v>0.19046511627906976</v>
      </c>
      <c r="F106" s="1589">
        <f>0.7371/F101</f>
        <v>0.19046511627906976</v>
      </c>
      <c r="G106" s="1589">
        <f>0.7371/G101</f>
        <v>0.19046511627906976</v>
      </c>
      <c r="H106" s="1589">
        <f>0.7371/H101</f>
        <v>0.19046511627906976</v>
      </c>
      <c r="I106" s="1589">
        <f>0.7371/I101</f>
        <v>0.19046511627906976</v>
      </c>
      <c r="J106" s="1589">
        <f>0.5659/J101</f>
        <v>0.14622739018087855</v>
      </c>
      <c r="K106" s="1589">
        <f>0.5659/K101</f>
        <v>0.14622739018087855</v>
      </c>
      <c r="L106" s="1589">
        <f>0.5659/L101</f>
        <v>0.14622739018087855</v>
      </c>
      <c r="M106" s="1589">
        <f>0.5659/M101</f>
        <v>0.14622739018087855</v>
      </c>
      <c r="N106" s="1589">
        <f>0.5659/N101</f>
        <v>0.14622739018087855</v>
      </c>
    </row>
    <row r="107" spans="1:14">
      <c r="A107" s="3581"/>
      <c r="B107" s="1588">
        <v>6</v>
      </c>
      <c r="C107" s="1589">
        <f>0.7608/C101</f>
        <v>0.1965891472868217</v>
      </c>
      <c r="D107" s="1589">
        <f>0.7608/D101</f>
        <v>0.1965891472868217</v>
      </c>
      <c r="E107" s="1589">
        <f>0.6482/E101</f>
        <v>0.16749354005167957</v>
      </c>
      <c r="F107" s="1589">
        <f>0.6482/F101</f>
        <v>0.16749354005167957</v>
      </c>
      <c r="G107" s="1589">
        <f>0.6482/G101</f>
        <v>0.16749354005167957</v>
      </c>
      <c r="H107" s="1589">
        <f>0.6482/H101</f>
        <v>0.16749354005167957</v>
      </c>
      <c r="I107" s="1589">
        <f>0.6482/I101</f>
        <v>0.16749354005167957</v>
      </c>
      <c r="J107" s="1589">
        <f>0.4525/J101</f>
        <v>0.11692506459948321</v>
      </c>
      <c r="K107" s="1589">
        <f>0.4525/K101</f>
        <v>0.11692506459948321</v>
      </c>
      <c r="L107" s="1589">
        <f>0.4525/L101</f>
        <v>0.11692506459948321</v>
      </c>
      <c r="M107" s="1589">
        <f>0.4525/M101</f>
        <v>0.11692506459948321</v>
      </c>
      <c r="N107" s="1589">
        <f>0.4525/N101</f>
        <v>0.11692506459948321</v>
      </c>
    </row>
    <row r="108" spans="1:14">
      <c r="A108" s="3581"/>
      <c r="B108" s="3583" t="s">
        <v>1768</v>
      </c>
      <c r="C108" s="1590">
        <f>C99</f>
        <v>6</v>
      </c>
      <c r="D108" s="1590">
        <f t="shared" ref="D108:N108" si="33">D99</f>
        <v>6</v>
      </c>
      <c r="E108" s="1590">
        <f t="shared" si="33"/>
        <v>6</v>
      </c>
      <c r="F108" s="1590">
        <f t="shared" si="33"/>
        <v>6</v>
      </c>
      <c r="G108" s="1590">
        <f t="shared" si="33"/>
        <v>6</v>
      </c>
      <c r="H108" s="1590">
        <f t="shared" si="33"/>
        <v>6</v>
      </c>
      <c r="I108" s="1590">
        <f t="shared" si="33"/>
        <v>6</v>
      </c>
      <c r="J108" s="1590">
        <f t="shared" si="33"/>
        <v>6</v>
      </c>
      <c r="K108" s="1590">
        <f t="shared" si="33"/>
        <v>6</v>
      </c>
      <c r="L108" s="1590">
        <f t="shared" si="33"/>
        <v>6</v>
      </c>
      <c r="M108" s="1590">
        <f t="shared" si="33"/>
        <v>6</v>
      </c>
      <c r="N108" s="1590">
        <f t="shared" si="33"/>
        <v>6</v>
      </c>
    </row>
    <row r="109" spans="1:14">
      <c r="A109" s="3582"/>
      <c r="B109" s="3584"/>
      <c r="C109" s="1591">
        <f>(-0.163*(C108^2)-0.59*C108+7617)*(10^(-4))/C101</f>
        <v>0.19657860465116278</v>
      </c>
      <c r="D109" s="1591">
        <f>(-0.163*(D108^2)-0.59*D108+7617)*(10^(-4))/D101</f>
        <v>0.19657860465116278</v>
      </c>
      <c r="E109" s="1591">
        <f>(-0.161*(E108^2)-7.509*E108+6533)*(10^(-4))/E101</f>
        <v>0.16749741602067184</v>
      </c>
      <c r="F109" s="1591">
        <f>(-0.161*(F108^2)-7.509*F108+6533)*(10^(-4))/F101</f>
        <v>0.16749741602067184</v>
      </c>
      <c r="G109" s="1591">
        <f>(-0.161*(G108^2)-7.509*G108+6533)*(10^(-4))/G101</f>
        <v>0.16749741602067184</v>
      </c>
      <c r="H109" s="1591">
        <f>(-0.161*(H108^2)-7.509*H108+6533)*(10^(-4))/H101</f>
        <v>0.16749741602067184</v>
      </c>
      <c r="I109" s="1591">
        <f>(-0.161*(I108^2)-7.509*I108+6533)*(10^(-4))/I101</f>
        <v>0.16749741602067184</v>
      </c>
      <c r="J109" s="1591">
        <f>(-0.214*(J108^2)-21.991*J108+4665)*(10^(-4))/J101</f>
        <v>0.11693410852713181</v>
      </c>
      <c r="K109" s="1591">
        <f>(-0.214*(K108^2)-21.991*K108+4665)*(10^(-4))/K101</f>
        <v>0.11693410852713181</v>
      </c>
      <c r="L109" s="1591">
        <f>(-0.214*(L108^2)-21.991*L108+4665)*(10^(-4))/L101</f>
        <v>0.11693410852713181</v>
      </c>
      <c r="M109" s="1591">
        <f>(-0.214*(M108^2)-21.991*M108+4665)*(10^(-4))/M101</f>
        <v>0.11693410852713181</v>
      </c>
      <c r="N109" s="1591">
        <f>(-0.214*(N108^2)-21.991*N108+4665)*(10^(-4))/N101</f>
        <v>0.11693410852713181</v>
      </c>
    </row>
    <row r="110" spans="1:14">
      <c r="A110" s="3578" t="s">
        <v>1769</v>
      </c>
      <c r="B110" s="3578"/>
      <c r="C110" s="3578"/>
      <c r="D110" s="3578"/>
      <c r="E110" s="3578"/>
      <c r="F110" s="3578"/>
      <c r="G110" s="3578"/>
      <c r="H110" s="3578"/>
      <c r="I110" s="3578"/>
      <c r="J110" s="3578"/>
      <c r="K110" s="2605"/>
      <c r="L110" s="2605"/>
      <c r="M110" s="2605"/>
      <c r="N110" s="2605"/>
    </row>
    <row r="112" spans="1:14" ht="12.75" thickBot="1"/>
    <row r="113" spans="1:13" ht="25.5" thickBot="1">
      <c r="A113" s="1601" t="s">
        <v>1771</v>
      </c>
      <c r="B113" s="2608">
        <f>G3</f>
        <v>3.87</v>
      </c>
      <c r="C113" s="1602" t="s">
        <v>1772</v>
      </c>
      <c r="D113" s="1603">
        <f>SUMPRODUCT((A115:A118=F113)*(B114:M114=H113)*B115:M118)</f>
        <v>0.79090000000000005</v>
      </c>
      <c r="E113" s="1604" t="s">
        <v>68</v>
      </c>
      <c r="F113" s="1605" t="str">
        <f>E2</f>
        <v>商业</v>
      </c>
      <c r="G113" s="1604" t="s">
        <v>1561</v>
      </c>
      <c r="H113" s="1605" t="str">
        <f>G2</f>
        <v>七级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0.89710000000000001</v>
      </c>
      <c r="C115" s="1615">
        <f>B115</f>
        <v>0.89710000000000001</v>
      </c>
      <c r="D115" s="1615">
        <f>ROUND(0.8331-0.0109*B113,4)</f>
        <v>0.79090000000000005</v>
      </c>
      <c r="E115" s="1615">
        <f>D115</f>
        <v>0.79090000000000005</v>
      </c>
      <c r="F115" s="1615">
        <f>E115</f>
        <v>0.79090000000000005</v>
      </c>
      <c r="G115" s="1615">
        <f>F115</f>
        <v>0.79090000000000005</v>
      </c>
      <c r="H115" s="1615">
        <f>G115</f>
        <v>0.79090000000000005</v>
      </c>
      <c r="I115" s="1615">
        <f>ROUND(0.689-0.0155*B113,4)</f>
        <v>0.629</v>
      </c>
      <c r="J115" s="1615">
        <f t="shared" ref="J115:M118" si="34">I115</f>
        <v>0.629</v>
      </c>
      <c r="K115" s="1615">
        <f t="shared" si="34"/>
        <v>0.629</v>
      </c>
      <c r="L115" s="1615">
        <f t="shared" si="34"/>
        <v>0.629</v>
      </c>
      <c r="M115" s="1616">
        <f t="shared" si="34"/>
        <v>0.629</v>
      </c>
    </row>
    <row r="116" spans="1:13" ht="12.75">
      <c r="A116" s="1614" t="s">
        <v>1774</v>
      </c>
      <c r="B116" s="1615">
        <f>ROUND(0.949-0.012*B113,4)</f>
        <v>0.90259999999999996</v>
      </c>
      <c r="C116" s="1615">
        <f>B116</f>
        <v>0.90259999999999996</v>
      </c>
      <c r="D116" s="1615">
        <f>ROUND(0.8567-0.013*B113,4)</f>
        <v>0.80640000000000001</v>
      </c>
      <c r="E116" s="1615">
        <f t="shared" ref="E116:H117" si="35">D116</f>
        <v>0.80640000000000001</v>
      </c>
      <c r="F116" s="1615">
        <f t="shared" si="35"/>
        <v>0.80640000000000001</v>
      </c>
      <c r="G116" s="1615">
        <f t="shared" si="35"/>
        <v>0.80640000000000001</v>
      </c>
      <c r="H116" s="1615">
        <f t="shared" si="35"/>
        <v>0.80640000000000001</v>
      </c>
      <c r="I116" s="1615">
        <f>ROUND(0.7694-0.014*B113,4)</f>
        <v>0.71519999999999995</v>
      </c>
      <c r="J116" s="1615">
        <f t="shared" si="34"/>
        <v>0.71519999999999995</v>
      </c>
      <c r="K116" s="1615">
        <f t="shared" si="34"/>
        <v>0.71519999999999995</v>
      </c>
      <c r="L116" s="1615">
        <f t="shared" si="34"/>
        <v>0.71519999999999995</v>
      </c>
      <c r="M116" s="1616">
        <f t="shared" si="34"/>
        <v>0.71519999999999995</v>
      </c>
    </row>
    <row r="117" spans="1:13" ht="12.75">
      <c r="A117" s="1617" t="s">
        <v>978</v>
      </c>
      <c r="B117" s="1615">
        <f>ROUND(0.8808-0.006*B113,4)</f>
        <v>0.85760000000000003</v>
      </c>
      <c r="C117" s="1615">
        <f>B117</f>
        <v>0.85760000000000003</v>
      </c>
      <c r="D117" s="1615">
        <f>ROUND(0.8748-0.008*B113,4)</f>
        <v>0.84379999999999999</v>
      </c>
      <c r="E117" s="1615">
        <f t="shared" si="35"/>
        <v>0.84379999999999999</v>
      </c>
      <c r="F117" s="1615">
        <f t="shared" si="35"/>
        <v>0.84379999999999999</v>
      </c>
      <c r="G117" s="1615">
        <f t="shared" si="35"/>
        <v>0.84379999999999999</v>
      </c>
      <c r="H117" s="1615">
        <f t="shared" si="35"/>
        <v>0.84379999999999999</v>
      </c>
      <c r="I117" s="1615">
        <f>ROUND(0.7412-0.0095*B113,4)</f>
        <v>0.70440000000000003</v>
      </c>
      <c r="J117" s="1615">
        <f t="shared" si="34"/>
        <v>0.70440000000000003</v>
      </c>
      <c r="K117" s="1615">
        <f t="shared" si="34"/>
        <v>0.70440000000000003</v>
      </c>
      <c r="L117" s="1615">
        <f t="shared" si="34"/>
        <v>0.70440000000000003</v>
      </c>
      <c r="M117" s="1616">
        <f t="shared" si="34"/>
        <v>0.70440000000000003</v>
      </c>
    </row>
    <row r="118" spans="1:13" ht="13.5" thickBot="1">
      <c r="A118" s="1121" t="s">
        <v>1775</v>
      </c>
      <c r="B118" s="1618">
        <f>ROUND(0.7275-0.01*B113,4)</f>
        <v>0.68879999999999997</v>
      </c>
      <c r="C118" s="1618">
        <f>B118</f>
        <v>0.68879999999999997</v>
      </c>
      <c r="D118" s="1618">
        <f>ROUND(0.7043-0.012*B113,4)</f>
        <v>0.65790000000000004</v>
      </c>
      <c r="E118" s="1618">
        <f>D118</f>
        <v>0.65790000000000004</v>
      </c>
      <c r="F118" s="1618">
        <f>E118</f>
        <v>0.65790000000000004</v>
      </c>
      <c r="G118" s="1618">
        <f>ROUND(0.6299-0.0122*B113,4)</f>
        <v>0.5827</v>
      </c>
      <c r="H118" s="1618">
        <f>G118</f>
        <v>0.5827</v>
      </c>
      <c r="I118" s="1618">
        <f>ROUND(0.5667-0.0136*B113,4)</f>
        <v>0.5141</v>
      </c>
      <c r="J118" s="1618">
        <f t="shared" si="34"/>
        <v>0.5141</v>
      </c>
      <c r="K118" s="1618">
        <f t="shared" si="34"/>
        <v>0.5141</v>
      </c>
      <c r="L118" s="1618">
        <f t="shared" si="34"/>
        <v>0.5141</v>
      </c>
      <c r="M118" s="1619">
        <f t="shared" si="34"/>
        <v>0.5141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H28:K43"/>
  <sheetViews>
    <sheetView topLeftCell="A19" workbookViewId="0">
      <selection activeCell="J42" sqref="J42"/>
    </sheetView>
  </sheetViews>
  <sheetFormatPr defaultRowHeight="13.5"/>
  <cols>
    <col min="9" max="9" width="12.25" customWidth="1"/>
    <col min="10" max="10" width="14.75" customWidth="1"/>
    <col min="11" max="11" width="11.875" customWidth="1"/>
  </cols>
  <sheetData>
    <row r="28" spans="8:11">
      <c r="H28">
        <v>3</v>
      </c>
      <c r="I28">
        <f>17244.13-12518.16</f>
        <v>4725.9700000000012</v>
      </c>
    </row>
    <row r="29" spans="8:11">
      <c r="H29">
        <v>2</v>
      </c>
      <c r="I29">
        <f>17106.86-118.42</f>
        <v>16988.440000000002</v>
      </c>
    </row>
    <row r="30" spans="8:11">
      <c r="H30">
        <v>1</v>
      </c>
      <c r="I30">
        <f>15606.7-139.65</f>
        <v>15467.050000000001</v>
      </c>
      <c r="J30">
        <f>SUM(I28:I30)-I40-I41</f>
        <v>18136.540000000008</v>
      </c>
      <c r="K30">
        <f>SUM(I31:I36)</f>
        <v>85551.93</v>
      </c>
    </row>
    <row r="31" spans="8:11">
      <c r="H31">
        <v>1</v>
      </c>
      <c r="I31">
        <f>14406.6-86.49</f>
        <v>14320.11</v>
      </c>
      <c r="K31">
        <v>103688.47</v>
      </c>
    </row>
    <row r="32" spans="8:11">
      <c r="H32">
        <v>2</v>
      </c>
      <c r="I32">
        <v>14588.99</v>
      </c>
      <c r="J32" s="3367" t="s">
        <v>3131</v>
      </c>
      <c r="K32">
        <f>K31-K30</f>
        <v>18136.540000000008</v>
      </c>
    </row>
    <row r="33" spans="8:11">
      <c r="H33">
        <v>3</v>
      </c>
      <c r="I33">
        <v>14713.93</v>
      </c>
      <c r="K33">
        <f>K32-I30+I41</f>
        <v>5439.3500000000067</v>
      </c>
    </row>
    <row r="34" spans="8:11">
      <c r="H34">
        <v>4</v>
      </c>
      <c r="I34">
        <v>14715.7</v>
      </c>
    </row>
    <row r="35" spans="8:11">
      <c r="H35">
        <v>5</v>
      </c>
      <c r="I35">
        <v>14978.2</v>
      </c>
    </row>
    <row r="36" spans="8:11">
      <c r="H36">
        <v>6</v>
      </c>
      <c r="I36">
        <v>12235</v>
      </c>
    </row>
    <row r="37" spans="8:11">
      <c r="I37">
        <v>378.24</v>
      </c>
    </row>
    <row r="38" spans="8:11">
      <c r="I38" s="3366">
        <f>SUM(I28:I37)</f>
        <v>123111.63000000002</v>
      </c>
      <c r="J38">
        <f>135974.35-12862.72</f>
        <v>123111.63</v>
      </c>
    </row>
    <row r="40" spans="8:11">
      <c r="H40" s="3367" t="s">
        <v>3130</v>
      </c>
      <c r="I40" s="3367">
        <v>16275.06</v>
      </c>
    </row>
    <row r="41" spans="8:11">
      <c r="H41" s="3367" t="s">
        <v>3132</v>
      </c>
      <c r="I41">
        <f>'数据-基础表'!AN15</f>
        <v>2769.8599999999997</v>
      </c>
    </row>
    <row r="42" spans="8:11">
      <c r="I42">
        <f>I41+I40+K32</f>
        <v>37181.460000000006</v>
      </c>
      <c r="J42">
        <f>I30+I29+I28</f>
        <v>37181.460000000006</v>
      </c>
    </row>
    <row r="43" spans="8:11">
      <c r="J43">
        <f>J42-I42</f>
        <v>0</v>
      </c>
    </row>
  </sheetData>
  <phoneticPr fontId="205"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309709</v>
      </c>
      <c r="C2" s="2780" t="s">
        <v>2676</v>
      </c>
      <c r="D2" s="2781" t="s">
        <v>2681</v>
      </c>
      <c r="E2" s="2789">
        <f>SUM(E6:E13)</f>
        <v>123111.62999999999</v>
      </c>
    </row>
    <row r="3" spans="1:6" ht="14.25">
      <c r="A3" s="2785" t="s">
        <v>2680</v>
      </c>
      <c r="B3" s="2779">
        <f ca="1">ROUND(B2*10000/E2,0)</f>
        <v>25157</v>
      </c>
      <c r="C3" s="2780" t="s">
        <v>2677</v>
      </c>
      <c r="D3" s="2786"/>
      <c r="E3" s="2790"/>
    </row>
    <row r="4" spans="1:6" ht="14.25">
      <c r="A4" s="2791"/>
      <c r="B4" s="2786"/>
      <c r="C4" s="2786"/>
      <c r="D4" s="2786"/>
      <c r="E4" s="2790"/>
    </row>
    <row r="5" spans="1:6">
      <c r="A5" s="2795" t="s">
        <v>2683</v>
      </c>
      <c r="B5" s="3588" t="s">
        <v>2685</v>
      </c>
      <c r="C5" s="3588"/>
      <c r="D5" s="2794"/>
      <c r="E5" s="3336" t="s">
        <v>2684</v>
      </c>
      <c r="F5" s="3337" t="s">
        <v>3057</v>
      </c>
    </row>
    <row r="6" spans="1:6">
      <c r="A6" s="2792" t="str">
        <f>'数据-取费表'!AN6</f>
        <v>收益法</v>
      </c>
      <c r="B6" s="2788">
        <f ca="1">IF(F6="是",'数据-取费表'!AO6,0)</f>
        <v>306660</v>
      </c>
      <c r="C6" s="2780" t="s">
        <v>2676</v>
      </c>
      <c r="D6" s="2786"/>
      <c r="E6" s="1541">
        <f>IF(OR(A6=0,F6="否"),0,'数据-取费表'!K6+'数据-取费表'!S6)</f>
        <v>106409.48</v>
      </c>
      <c r="F6" s="3338" t="s">
        <v>3058</v>
      </c>
    </row>
    <row r="7" spans="1:6">
      <c r="A7" s="2792" t="str">
        <f>'数据-取费表'!AN7</f>
        <v>收益法车库</v>
      </c>
      <c r="B7" s="2788">
        <f ca="1">IF(F7="是",'数据-取费表'!AO7,0)</f>
        <v>3049</v>
      </c>
      <c r="C7" s="2780" t="s">
        <v>2676</v>
      </c>
      <c r="D7" s="2786"/>
      <c r="E7" s="1541">
        <f>IF(OR(A7=0,F7="否"),0,'数据-取费表'!K7+'数据-取费表'!S7)</f>
        <v>16702.149999999998</v>
      </c>
      <c r="F7" s="3338" t="s">
        <v>3058</v>
      </c>
    </row>
    <row r="8" spans="1:6">
      <c r="A8" s="2792">
        <f>'数据-取费表'!AN8</f>
        <v>0</v>
      </c>
      <c r="B8" s="2788" t="e">
        <f ca="1">IF(F8="是",'数据-取费表'!AO8,0)</f>
        <v>#REF!</v>
      </c>
      <c r="C8" s="2780" t="s">
        <v>2676</v>
      </c>
      <c r="D8" s="2786"/>
      <c r="E8" s="1541">
        <f>IF(OR(A8=0,F8="否"),0,'数据-取费表'!K8+'数据-取费表'!S8)</f>
        <v>0</v>
      </c>
      <c r="F8" s="3338" t="s">
        <v>3058</v>
      </c>
    </row>
    <row r="9" spans="1:6">
      <c r="A9" s="2792">
        <f>'数据-取费表'!AN9</f>
        <v>0</v>
      </c>
      <c r="B9" s="2788" t="e">
        <f ca="1">IF(F9="是",'数据-取费表'!AO9,0)</f>
        <v>#REF!</v>
      </c>
      <c r="C9" s="2780" t="s">
        <v>2676</v>
      </c>
      <c r="D9" s="2786"/>
      <c r="E9" s="1541">
        <f>IF(OR(A9=0,F9="否"),0,'数据-取费表'!K9+'数据-取费表'!S9)</f>
        <v>0</v>
      </c>
      <c r="F9" s="3338" t="s">
        <v>3058</v>
      </c>
    </row>
    <row r="10" spans="1:6">
      <c r="A10" s="2792">
        <f>'数据-取费表'!AN10</f>
        <v>0</v>
      </c>
      <c r="B10" s="2788" t="e">
        <f ca="1">IF(F10="是",'数据-取费表'!AO10,0)</f>
        <v>#REF!</v>
      </c>
      <c r="C10" s="2780" t="s">
        <v>2676</v>
      </c>
      <c r="D10" s="2786"/>
      <c r="E10" s="1541">
        <f>IF(OR(A10=0,F10="否"),0,'数据-取费表'!K10+'数据-取费表'!S10)</f>
        <v>0</v>
      </c>
      <c r="F10" s="3338" t="s">
        <v>3058</v>
      </c>
    </row>
    <row r="11" spans="1:6">
      <c r="A11" s="2792">
        <f>'数据-取费表'!AN11</f>
        <v>0</v>
      </c>
      <c r="B11" s="2788" t="e">
        <f ca="1">IF(F11="是",'数据-取费表'!AO11,0)</f>
        <v>#REF!</v>
      </c>
      <c r="C11" s="2780" t="s">
        <v>2676</v>
      </c>
      <c r="D11" s="2786"/>
      <c r="E11" s="1541">
        <f>IF(OR(A11=0,F11="否"),0,'数据-取费表'!K11+'数据-取费表'!S11)</f>
        <v>0</v>
      </c>
      <c r="F11" s="3338" t="s">
        <v>3058</v>
      </c>
    </row>
    <row r="12" spans="1:6">
      <c r="A12" s="2792">
        <f>'数据-取费表'!AN12</f>
        <v>0</v>
      </c>
      <c r="B12" s="2788" t="e">
        <f ca="1">IF(F12="是",'数据-取费表'!AO12,0)</f>
        <v>#REF!</v>
      </c>
      <c r="C12" s="2780" t="s">
        <v>2676</v>
      </c>
      <c r="D12" s="2786"/>
      <c r="E12" s="1541">
        <f>IF(OR(A12=0,F12="否"),0,'数据-取费表'!K12+'数据-取费表'!S12)</f>
        <v>0</v>
      </c>
      <c r="F12" s="3338" t="s">
        <v>3058</v>
      </c>
    </row>
    <row r="13" spans="1:6" ht="14.25" thickBot="1">
      <c r="A13" s="2793">
        <f>'数据-取费表'!AN13</f>
        <v>0</v>
      </c>
      <c r="B13" s="2788" t="e">
        <f ca="1">IF(F13="是",'数据-取费表'!AO13,0)</f>
        <v>#REF!</v>
      </c>
      <c r="C13" s="2796" t="s">
        <v>2676</v>
      </c>
      <c r="D13" s="2787"/>
      <c r="E13" s="1541">
        <f>IF(OR(A13=0,F13="否"),0,'数据-取费表'!K13+'数据-取费表'!S13)</f>
        <v>0</v>
      </c>
      <c r="F13" s="3338" t="s">
        <v>3058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topLeftCell="A7" zoomScale="90" zoomScaleNormal="90" zoomScaleSheetLayoutView="90" workbookViewId="0">
      <selection activeCell="D15" sqref="D1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3096</v>
      </c>
      <c r="D1" s="1272"/>
      <c r="E1" s="2584" t="s">
        <v>2449</v>
      </c>
      <c r="F1" s="2585">
        <f ca="1">J53</f>
        <v>34.299999999999997</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817</v>
      </c>
      <c r="B2" s="1405">
        <f ca="1">C40+J29+L46</f>
        <v>306660</v>
      </c>
      <c r="C2" s="1298" t="s">
        <v>1101</v>
      </c>
      <c r="D2" s="1274"/>
      <c r="E2" s="2574"/>
      <c r="F2" s="1275"/>
      <c r="G2" s="2286"/>
      <c r="H2" s="1273"/>
      <c r="I2" s="1273"/>
      <c r="J2" s="1273"/>
      <c r="K2" s="1297"/>
      <c r="L2" s="1273"/>
      <c r="M2" s="1273"/>
    </row>
    <row r="3" spans="1:37" ht="18" customHeight="1" thickBot="1">
      <c r="A3" s="675" t="s">
        <v>818</v>
      </c>
      <c r="B3" s="1406">
        <f ca="1">IF(ISERROR(B2*10000/F43),0,ROUND(B2*10000/F43,0))</f>
        <v>29575</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2539</v>
      </c>
      <c r="C5" s="2625">
        <f ca="1">C6+C10+C12</f>
        <v>16373</v>
      </c>
      <c r="D5" s="2635" t="s">
        <v>2541</v>
      </c>
      <c r="E5" s="2626"/>
      <c r="F5" s="2627"/>
      <c r="G5" s="2287"/>
      <c r="H5" s="681">
        <v>1</v>
      </c>
      <c r="I5" s="682" t="s">
        <v>2539</v>
      </c>
      <c r="J5" s="2625">
        <f ca="1">J6+J10+J12</f>
        <v>0</v>
      </c>
      <c r="K5" s="2628" t="s">
        <v>2541</v>
      </c>
      <c r="L5" s="2626"/>
      <c r="M5" s="2627"/>
    </row>
    <row r="6" spans="1:37" ht="18" customHeight="1">
      <c r="A6" s="2621" t="s">
        <v>2546</v>
      </c>
      <c r="B6" s="3591" t="s">
        <v>2540</v>
      </c>
      <c r="C6" s="2630">
        <f ca="1">ROUND(F6*F8*F7*(1-F9)/10000,0)</f>
        <v>16350</v>
      </c>
      <c r="D6" s="2624" t="s">
        <v>2542</v>
      </c>
      <c r="E6" s="684" t="s">
        <v>914</v>
      </c>
      <c r="F6" s="685">
        <f ca="1">INDIRECT("'数据-取费表'!u"&amp;$G$1)</f>
        <v>4.8</v>
      </c>
      <c r="G6" s="2287"/>
      <c r="H6" s="2621" t="s">
        <v>2549</v>
      </c>
      <c r="I6" s="3591" t="s">
        <v>2540</v>
      </c>
      <c r="J6" s="683">
        <f ca="1">ROUND(M6*M8*M7*(1-M9)/10000,0)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103688.47</v>
      </c>
      <c r="G7" s="2287"/>
      <c r="H7" s="686"/>
      <c r="I7" s="3592"/>
      <c r="J7" s="688"/>
      <c r="K7" s="689"/>
      <c r="L7" s="684" t="s">
        <v>915</v>
      </c>
      <c r="M7" s="685">
        <f ca="1">F7</f>
        <v>103688.47</v>
      </c>
    </row>
    <row r="8" spans="1:37" ht="18" customHeight="1">
      <c r="A8" s="686"/>
      <c r="B8" s="3592"/>
      <c r="C8" s="688"/>
      <c r="D8" s="689"/>
      <c r="E8" s="684" t="s">
        <v>916</v>
      </c>
      <c r="F8" s="685">
        <f ca="1">INDIRECT("'数据-取费表'!ai"&amp;$G$1)</f>
        <v>365</v>
      </c>
      <c r="G8" s="2287"/>
      <c r="H8" s="686"/>
      <c r="I8" s="3592"/>
      <c r="J8" s="688"/>
      <c r="K8" s="689"/>
      <c r="L8" s="684" t="s">
        <v>916</v>
      </c>
      <c r="M8" s="685">
        <f ca="1">INDIRECT("'数据-取费表'!ai"&amp;$G$1)</f>
        <v>365</v>
      </c>
    </row>
    <row r="9" spans="1:37" ht="18" customHeight="1">
      <c r="A9" s="686"/>
      <c r="B9" s="3593"/>
      <c r="C9" s="688"/>
      <c r="D9" s="689"/>
      <c r="E9" s="684" t="s">
        <v>917</v>
      </c>
      <c r="F9" s="694">
        <f ca="1">INDIRECT("'数据-取费表'!w"&amp;$G$1)</f>
        <v>0.1</v>
      </c>
      <c r="G9" s="2287"/>
      <c r="H9" s="686"/>
      <c r="I9" s="3593"/>
      <c r="J9" s="688"/>
      <c r="K9" s="689"/>
      <c r="L9" s="695" t="s">
        <v>917</v>
      </c>
      <c r="M9" s="696">
        <f ca="1">INDIRECT("'数据-取费表'!ab"&amp;$G$1)</f>
        <v>0</v>
      </c>
    </row>
    <row r="10" spans="1:37" ht="18" customHeight="1">
      <c r="A10" s="2621" t="s">
        <v>2547</v>
      </c>
      <c r="B10" s="2622" t="s">
        <v>2535</v>
      </c>
      <c r="C10" s="698">
        <f ca="1">ROUND(IF(F10="押一",F6*F8*F7/12*F11,IF(F10="押二",F6*F8*F7/12*2*F11,IF(F10="押三",F6*F8*F7/12*3*F11,C11*F11)))/10000,0)</f>
        <v>23</v>
      </c>
      <c r="D10" s="2633" t="s">
        <v>2543</v>
      </c>
      <c r="E10" s="2096" t="s">
        <v>2537</v>
      </c>
      <c r="F10" s="2827" t="s">
        <v>3121</v>
      </c>
      <c r="G10" s="2287"/>
      <c r="H10" s="2621" t="s">
        <v>2550</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2551</v>
      </c>
      <c r="I12" s="2670" t="s">
        <v>2536</v>
      </c>
      <c r="J12" s="2671"/>
      <c r="K12" s="2688"/>
      <c r="L12" s="2673"/>
      <c r="M12" s="2689"/>
    </row>
    <row r="13" spans="1:37" ht="18" customHeight="1" thickTop="1">
      <c r="A13" s="2665">
        <v>2</v>
      </c>
      <c r="B13" s="2666" t="s">
        <v>918</v>
      </c>
      <c r="C13" s="692">
        <f ca="1">ROUND(C29*F13,0)</f>
        <v>53584</v>
      </c>
      <c r="D13" s="2667" t="s">
        <v>919</v>
      </c>
      <c r="E13" s="2667" t="s">
        <v>920</v>
      </c>
      <c r="F13" s="2668">
        <f ca="1">INDIRECT("'数据-取费表'!y"&amp;$G$1)</f>
        <v>0.98299999999999998</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33942</v>
      </c>
      <c r="D14" s="2214" t="s">
        <v>921</v>
      </c>
      <c r="E14" s="2213"/>
      <c r="F14" s="703"/>
      <c r="G14" s="2287"/>
      <c r="H14" s="2437" t="s">
        <v>2379</v>
      </c>
      <c r="I14" s="684" t="s">
        <v>922</v>
      </c>
      <c r="J14" s="313">
        <f ca="1">C29</f>
        <v>54511</v>
      </c>
      <c r="K14" s="303"/>
      <c r="L14" s="700"/>
      <c r="M14" s="701"/>
    </row>
    <row r="15" spans="1:37" s="706" customFormat="1" ht="18" customHeight="1" thickBot="1">
      <c r="A15" s="2437" t="s">
        <v>2612</v>
      </c>
      <c r="B15" s="684" t="s">
        <v>360</v>
      </c>
      <c r="C15" s="313">
        <f ca="1">ROUND(C14*F15,0)</f>
        <v>1018</v>
      </c>
      <c r="D15" s="704" t="s">
        <v>923</v>
      </c>
      <c r="E15" s="704" t="s">
        <v>924</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924</v>
      </c>
      <c r="F16" s="707">
        <f ca="1">IF(INDIRECT("'数据-取费表'!c"&amp;$G$1)="住宅",'数据-取费表'!B34,0)</f>
        <v>0</v>
      </c>
      <c r="G16" s="2287"/>
      <c r="H16" s="2665" t="s">
        <v>2344</v>
      </c>
      <c r="I16" s="2666" t="s">
        <v>925</v>
      </c>
      <c r="J16" s="692">
        <f ca="1">ROUND(J17+J22+J23+J24,0)</f>
        <v>1551</v>
      </c>
      <c r="K16" s="2675" t="s">
        <v>926</v>
      </c>
      <c r="L16" s="2676"/>
      <c r="M16" s="2627"/>
    </row>
    <row r="17" spans="1:37" s="706" customFormat="1" ht="18" customHeight="1">
      <c r="A17" s="2437" t="s">
        <v>2614</v>
      </c>
      <c r="B17" s="684" t="s">
        <v>362</v>
      </c>
      <c r="C17" s="313">
        <f ca="1">ROUND(F17*(F43+INDIRECT("'数据-取费表'!S"&amp;$G$1))/10000,0)</f>
        <v>2128</v>
      </c>
      <c r="D17" s="684" t="s">
        <v>927</v>
      </c>
      <c r="E17" s="684" t="s">
        <v>928</v>
      </c>
      <c r="F17" s="315">
        <f>'数据-取费表'!B35</f>
        <v>200</v>
      </c>
      <c r="G17" s="2288"/>
      <c r="H17" s="2437" t="s">
        <v>2379</v>
      </c>
      <c r="I17" s="684" t="s">
        <v>363</v>
      </c>
      <c r="J17" s="313">
        <f ca="1">ROUND(IF(项目基本情况!B11="自然人",J5*M17,J18+J19+J20),1)</f>
        <v>460.8</v>
      </c>
      <c r="K17" s="2214" t="s">
        <v>929</v>
      </c>
      <c r="L17" s="2212"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509</v>
      </c>
      <c r="D18" s="684" t="s">
        <v>923</v>
      </c>
      <c r="E18" s="684" t="s">
        <v>924</v>
      </c>
      <c r="F18" s="707">
        <f>'数据-取费表'!B36</f>
        <v>1.4999999999999999E-2</v>
      </c>
      <c r="G18" s="2288"/>
      <c r="H18" s="2437" t="s">
        <v>2376</v>
      </c>
      <c r="I18" s="684" t="s">
        <v>931</v>
      </c>
      <c r="J18" s="313">
        <f ca="1">ROUND(J5*M18/(1+'数据-取费表'!C42),2)</f>
        <v>0</v>
      </c>
      <c r="K18" s="2212" t="s">
        <v>932</v>
      </c>
      <c r="L18" s="684" t="s">
        <v>924</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2546</v>
      </c>
      <c r="B19" s="684" t="s">
        <v>366</v>
      </c>
      <c r="C19" s="313">
        <f ca="1">SUM(C14:C18)</f>
        <v>37597</v>
      </c>
      <c r="D19" s="471" t="s">
        <v>933</v>
      </c>
      <c r="E19" s="2222"/>
      <c r="F19" s="315"/>
      <c r="G19" s="2287"/>
      <c r="H19" s="2437" t="s">
        <v>2612</v>
      </c>
      <c r="I19" s="684" t="s">
        <v>934</v>
      </c>
      <c r="J19" s="313">
        <f ca="1">IF(K19="按租金收入计税",ROUND(J5*M19,2),ROUND(C29*M19*0.7,2))</f>
        <v>457.89</v>
      </c>
      <c r="K19" s="1299" t="s">
        <v>2419</v>
      </c>
      <c r="L19" s="684" t="s">
        <v>924</v>
      </c>
      <c r="M19" s="707">
        <f>IF(K19="按租金收入计税",'数据-取费表'!B51,'数据-取费表'!B50)</f>
        <v>1.2E-2</v>
      </c>
    </row>
    <row r="20" spans="1:37" s="706" customFormat="1" ht="18" customHeight="1">
      <c r="A20" s="2437" t="s">
        <v>2616</v>
      </c>
      <c r="B20" s="684" t="s">
        <v>367</v>
      </c>
      <c r="C20" s="313">
        <f ca="1">ROUND(C19*F20,0)</f>
        <v>752</v>
      </c>
      <c r="D20" s="709" t="s">
        <v>935</v>
      </c>
      <c r="E20" s="684" t="s">
        <v>924</v>
      </c>
      <c r="F20" s="707">
        <f>'数据-取费表'!B37</f>
        <v>0.02</v>
      </c>
      <c r="G20" s="2288"/>
      <c r="H20" s="2437" t="s">
        <v>2613</v>
      </c>
      <c r="I20" s="496" t="s">
        <v>936</v>
      </c>
      <c r="J20" s="314">
        <f ca="1">ROUND(M20*M21/10000,2)</f>
        <v>2.88</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19197.97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222"/>
      <c r="F22" s="315"/>
      <c r="G22" s="2287"/>
      <c r="H22" s="2437" t="s">
        <v>2386</v>
      </c>
      <c r="I22" s="684" t="s">
        <v>944</v>
      </c>
      <c r="J22" s="313">
        <f ca="1">ROUND(J14*M22,1)</f>
        <v>1090.2</v>
      </c>
      <c r="K22" s="2212" t="s">
        <v>945</v>
      </c>
      <c r="L22" s="684" t="s">
        <v>924</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2290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2212" t="s">
        <v>947</v>
      </c>
      <c r="L23" s="684" t="s">
        <v>924</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950</v>
      </c>
      <c r="L24" s="2678" t="s">
        <v>924</v>
      </c>
      <c r="M24" s="2674">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222"/>
      <c r="F25" s="315"/>
      <c r="G25" s="2287"/>
      <c r="H25" s="2665" t="s">
        <v>2359</v>
      </c>
      <c r="I25" s="2682" t="s">
        <v>952</v>
      </c>
      <c r="J25" s="692">
        <f ca="1">J5-J16</f>
        <v>-1551</v>
      </c>
      <c r="K25" s="2683" t="s">
        <v>953</v>
      </c>
      <c r="L25" s="2684"/>
      <c r="M25" s="2685"/>
    </row>
    <row r="26" spans="1:37" ht="18" customHeight="1">
      <c r="A26" s="2437" t="s">
        <v>2376</v>
      </c>
      <c r="B26" s="684" t="s">
        <v>2533</v>
      </c>
      <c r="C26" s="313">
        <f ca="1">ROUND((C19+C20)*F26,0)</f>
        <v>9587</v>
      </c>
      <c r="D26" s="709" t="s">
        <v>954</v>
      </c>
      <c r="E26" s="695" t="s">
        <v>955</v>
      </c>
      <c r="F26" s="694">
        <f ca="1">INDIRECT("'数据-取费表'!q"&amp;$G$1)</f>
        <v>0.25</v>
      </c>
      <c r="G26" s="2287"/>
      <c r="H26" s="681" t="s">
        <v>2362</v>
      </c>
      <c r="I26" s="682" t="s">
        <v>956</v>
      </c>
      <c r="J26" s="683">
        <f ca="1">IF(J5&lt;&gt;0,ROUND(J25*(1-((1+M28)/(1+M26))^M27)/(M26-M28),0),0)</f>
        <v>0</v>
      </c>
      <c r="K26" s="710" t="s">
        <v>957</v>
      </c>
      <c r="L26" s="684" t="s">
        <v>963</v>
      </c>
      <c r="M26" s="694">
        <f ca="1">INDIRECT("'数据-取费表'!I"&amp;$G$1)</f>
        <v>5.5E-2</v>
      </c>
    </row>
    <row r="27" spans="1:37" ht="18" customHeight="1">
      <c r="A27" s="2437" t="s">
        <v>2382</v>
      </c>
      <c r="B27" s="684" t="s">
        <v>375</v>
      </c>
      <c r="C27" s="313">
        <f ca="1">ROUND(F21*F26,4)</f>
        <v>5.0000000000000001E-3</v>
      </c>
      <c r="D27" s="709" t="s">
        <v>958</v>
      </c>
      <c r="E27" s="704"/>
      <c r="F27" s="705"/>
      <c r="G27" s="2287"/>
      <c r="H27" s="686"/>
      <c r="I27" s="687"/>
      <c r="J27" s="688"/>
      <c r="K27" s="718" t="s">
        <v>959</v>
      </c>
      <c r="L27" s="684" t="s">
        <v>964</v>
      </c>
      <c r="M27" s="719">
        <f ca="1">INDIRECT("'数据-取费表'!ag"&amp;$G$1)</f>
        <v>0</v>
      </c>
    </row>
    <row r="28" spans="1:37" s="706" customFormat="1" ht="18" customHeight="1">
      <c r="A28" s="2437" t="s">
        <v>2384</v>
      </c>
      <c r="B28" s="684" t="s">
        <v>376</v>
      </c>
      <c r="C28" s="313">
        <f>ROUND(F28/(1+'数据-取费表'!C42),4)</f>
        <v>5.2400000000000002E-2</v>
      </c>
      <c r="D28" s="709" t="s">
        <v>965</v>
      </c>
      <c r="E28" s="684" t="s">
        <v>924</v>
      </c>
      <c r="F28" s="707">
        <f>'数据-取费表'!B41</f>
        <v>5.5000000000000007E-2</v>
      </c>
      <c r="G28" s="2288"/>
      <c r="H28" s="690"/>
      <c r="I28" s="691"/>
      <c r="J28" s="692"/>
      <c r="K28" s="713"/>
      <c r="L28" s="684" t="s">
        <v>966</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54511</v>
      </c>
      <c r="D29" s="2680"/>
      <c r="E29" s="2678"/>
      <c r="F29" s="2681"/>
      <c r="G29" s="2288"/>
      <c r="H29" s="720" t="s">
        <v>2369</v>
      </c>
      <c r="I29" s="721" t="s">
        <v>960</v>
      </c>
      <c r="J29" s="722">
        <f ca="1">ROUND(J26/(1+F40)^F41,0)</f>
        <v>0</v>
      </c>
      <c r="K29" s="723" t="s">
        <v>961</v>
      </c>
      <c r="L29" s="724"/>
      <c r="M29" s="725">
        <f ca="1">INDIRECT("'数据-取费表'!k"&amp;$G$1)</f>
        <v>103688.47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2761</v>
      </c>
      <c r="D30" s="2675" t="s">
        <v>926</v>
      </c>
      <c r="E30" s="2676"/>
      <c r="F30" s="2627"/>
      <c r="G30" s="2287"/>
      <c r="H30" s="1276"/>
      <c r="I30" s="1277"/>
      <c r="J30" s="1278"/>
      <c r="K30" s="1279"/>
      <c r="L30" s="1280"/>
      <c r="M30" s="1281"/>
    </row>
    <row r="31" spans="1:37" ht="18" customHeight="1">
      <c r="A31" s="2437" t="s">
        <v>2546</v>
      </c>
      <c r="B31" s="684" t="s">
        <v>363</v>
      </c>
      <c r="C31" s="313">
        <f ca="1">ROUND(IF(项目基本情况!B11="自然人",C5*F31,C32+C33+C34),1)</f>
        <v>1318.4</v>
      </c>
      <c r="D31" s="2214" t="s">
        <v>929</v>
      </c>
      <c r="E31" s="2212"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2611</v>
      </c>
      <c r="B32" s="684" t="s">
        <v>931</v>
      </c>
      <c r="C32" s="313">
        <f ca="1">IF(项目基本情况!B11="自然人","——",ROUND(C5*F32/(1+'数据-取费表'!C42),2))</f>
        <v>857.63</v>
      </c>
      <c r="D32" s="2212" t="s">
        <v>932</v>
      </c>
      <c r="E32" s="684" t="s">
        <v>924</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457.89</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969</v>
      </c>
      <c r="C34" s="314">
        <f ca="1">IF(项目基本情况!B11="自然人","——",ROUND(F34*F35/10000,2))</f>
        <v>2.88</v>
      </c>
      <c r="D34" s="710" t="s">
        <v>970</v>
      </c>
      <c r="E34" s="684" t="s">
        <v>971</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19197.97</v>
      </c>
      <c r="G35" s="2287"/>
      <c r="H35" s="1276"/>
      <c r="I35" s="2880"/>
      <c r="J35" s="2881"/>
      <c r="K35" s="1289"/>
      <c r="L35" s="1288"/>
      <c r="M35" s="1288"/>
    </row>
    <row r="36" spans="1:18" ht="18" customHeight="1">
      <c r="A36" s="2694" t="s">
        <v>2386</v>
      </c>
      <c r="B36" s="684" t="s">
        <v>944</v>
      </c>
      <c r="C36" s="313">
        <f ca="1">ROUND(C29*F36,1)</f>
        <v>1090.2</v>
      </c>
      <c r="D36" s="2212" t="s">
        <v>974</v>
      </c>
      <c r="E36" s="684" t="s">
        <v>975</v>
      </c>
      <c r="F36" s="714">
        <f ca="1">INDIRECT("'数据-取费表'!Ak"&amp;$G$1)</f>
        <v>0.02</v>
      </c>
      <c r="G36" s="2287"/>
      <c r="H36" s="1288"/>
      <c r="I36" s="2880"/>
      <c r="J36" s="2881"/>
      <c r="K36" s="1292"/>
      <c r="L36" s="1288"/>
      <c r="M36" s="1288"/>
    </row>
    <row r="37" spans="1:18" ht="18" customHeight="1">
      <c r="A37" s="2437" t="s">
        <v>2617</v>
      </c>
      <c r="B37" s="684" t="s">
        <v>368</v>
      </c>
      <c r="C37" s="313">
        <f ca="1">ROUND(C13*F37,1)</f>
        <v>107.2</v>
      </c>
      <c r="D37" s="2212"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245.6</v>
      </c>
      <c r="D38" s="2680" t="s">
        <v>371</v>
      </c>
      <c r="E38" s="2678" t="s">
        <v>370</v>
      </c>
      <c r="F38" s="2674">
        <f ca="1">INDIRECT("'数据-取费表'!Am"&amp;$G$1)</f>
        <v>1.4999999999999999E-2</v>
      </c>
      <c r="G38" s="2287"/>
      <c r="H38" s="1288"/>
      <c r="I38" s="2880"/>
      <c r="J38" s="2881"/>
      <c r="K38" s="1293"/>
      <c r="L38" s="1288"/>
      <c r="M38" s="1288"/>
    </row>
    <row r="39" spans="1:18" ht="24.6" customHeight="1" thickTop="1">
      <c r="A39" s="2665" t="s">
        <v>2359</v>
      </c>
      <c r="B39" s="2682" t="s">
        <v>377</v>
      </c>
      <c r="C39" s="692">
        <f ca="1">C5-C30</f>
        <v>13612</v>
      </c>
      <c r="D39" s="2683" t="s">
        <v>378</v>
      </c>
      <c r="E39" s="2684"/>
      <c r="F39" s="2685"/>
      <c r="G39" s="2287"/>
      <c r="H39" s="1288"/>
      <c r="I39" s="2880"/>
      <c r="J39" s="2881"/>
      <c r="K39" s="1293"/>
      <c r="L39" s="1288"/>
      <c r="M39" s="1288"/>
    </row>
    <row r="40" spans="1:18" ht="18" customHeight="1">
      <c r="A40" s="681" t="s">
        <v>2362</v>
      </c>
      <c r="B40" s="682" t="s">
        <v>379</v>
      </c>
      <c r="C40" s="683">
        <f ca="1">ROUND(C39*(1-((1+F42)/(1+F40))^F41)/(F40-F42),0)</f>
        <v>305292</v>
      </c>
      <c r="D40" s="710" t="s">
        <v>373</v>
      </c>
      <c r="E40" s="684" t="s">
        <v>374</v>
      </c>
      <c r="F40" s="694">
        <f ca="1">INDIRECT("'数据-取费表'!I"&amp;$G$1)</f>
        <v>5.5E-2</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34.299999999999997</v>
      </c>
      <c r="G41" s="2287"/>
      <c r="H41" s="1190"/>
      <c r="I41" s="2880"/>
      <c r="J41" s="2881"/>
      <c r="K41" s="1292"/>
      <c r="L41" s="1190"/>
      <c r="M41" s="1190"/>
    </row>
    <row r="42" spans="1:18" ht="18" customHeight="1">
      <c r="A42" s="690"/>
      <c r="B42" s="691"/>
      <c r="C42" s="692"/>
      <c r="D42" s="713"/>
      <c r="E42" s="684" t="s">
        <v>382</v>
      </c>
      <c r="F42" s="694">
        <f ca="1">INDIRECT("'数据-取费表'!v"&amp;$G$1)</f>
        <v>0.03</v>
      </c>
      <c r="G42" s="2287"/>
      <c r="H42" s="1190"/>
      <c r="I42" s="2880"/>
      <c r="J42" s="2881"/>
      <c r="K42" s="1292"/>
      <c r="L42" s="1190"/>
      <c r="M42" s="1190"/>
    </row>
    <row r="43" spans="1:18" ht="18" customHeight="1" thickBot="1">
      <c r="A43" s="720" t="s">
        <v>2369</v>
      </c>
      <c r="B43" s="721" t="s">
        <v>383</v>
      </c>
      <c r="C43" s="722">
        <f ca="1">ROUND(C40*10000/F43,0)</f>
        <v>29443</v>
      </c>
      <c r="D43" s="723" t="s">
        <v>384</v>
      </c>
      <c r="E43" s="724" t="s">
        <v>385</v>
      </c>
      <c r="F43" s="725">
        <f ca="1">INDIRECT("'数据-取费表'!k"&amp;$G$1)</f>
        <v>103688.47</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-330633</v>
      </c>
      <c r="D46" s="2725" t="str">
        <f>C2</f>
        <v>万元</v>
      </c>
      <c r="E46" s="1431"/>
      <c r="F46" s="1431"/>
      <c r="I46" s="2577" t="s">
        <v>2427</v>
      </c>
      <c r="J46" s="2578"/>
      <c r="K46" s="2579"/>
      <c r="L46" s="2581">
        <f ca="1">IF(M47="住宅",0,IF(L48&gt;J51,L60,J60))</f>
        <v>1368</v>
      </c>
      <c r="O46" s="2593" t="s">
        <v>2470</v>
      </c>
      <c r="P46" s="2594" t="s">
        <v>2471</v>
      </c>
      <c r="Q46" s="2595" t="s">
        <v>2469</v>
      </c>
      <c r="R46" s="2595" t="s">
        <v>2472</v>
      </c>
    </row>
    <row r="47" spans="1:18" s="1453" customFormat="1" ht="15.75" thickBot="1">
      <c r="A47" s="2397" t="s">
        <v>2333</v>
      </c>
      <c r="B47" s="2433" t="s">
        <v>2334</v>
      </c>
      <c r="C47" s="2729" t="s">
        <v>2335</v>
      </c>
      <c r="D47" s="2433" t="s">
        <v>2336</v>
      </c>
      <c r="E47" s="2536" t="s">
        <v>2337</v>
      </c>
      <c r="F47" s="2537"/>
      <c r="G47" s="1455"/>
      <c r="I47" s="2552" t="s">
        <v>2420</v>
      </c>
      <c r="J47" s="2553" t="s">
        <v>3114</v>
      </c>
      <c r="K47" s="2562" t="s">
        <v>2443</v>
      </c>
      <c r="L47" s="2563">
        <f ca="1">INDIRECT("'数据-取费表'!d"&amp;$G$1)</f>
        <v>40</v>
      </c>
      <c r="M47" s="2583" t="str">
        <f>IF(ISNUMBER(FIND("住宅",C1)),"住宅","非住宅")</f>
        <v>非住宅</v>
      </c>
      <c r="O47" s="2586" t="s">
        <v>2455</v>
      </c>
      <c r="P47" s="2596" t="s">
        <v>2473</v>
      </c>
      <c r="Q47" s="2587">
        <f ca="1">C40+J29</f>
        <v>305292</v>
      </c>
      <c r="R47" s="2587" t="s">
        <v>2474</v>
      </c>
    </row>
    <row r="48" spans="1:18" s="1453" customFormat="1" ht="47.25" thickBot="1">
      <c r="A48" s="2710" t="s">
        <v>2623</v>
      </c>
      <c r="B48" s="682" t="s">
        <v>2338</v>
      </c>
      <c r="C48" s="2720">
        <f ca="1">C49+C53+C55</f>
        <v>0</v>
      </c>
      <c r="D48" s="2714"/>
      <c r="E48" s="2715"/>
      <c r="F48" s="2417"/>
      <c r="G48" s="1455"/>
      <c r="H48" s="1456"/>
      <c r="I48" s="2543" t="s">
        <v>2421</v>
      </c>
      <c r="J48" s="2554" t="s">
        <v>2422</v>
      </c>
      <c r="K48" s="2564" t="s">
        <v>2444</v>
      </c>
      <c r="L48" s="2167">
        <f ca="1">INDIRECT("'数据-取费表'!f"&amp;$G$1)</f>
        <v>34.299999999999997</v>
      </c>
      <c r="O48" s="2586" t="s">
        <v>2456</v>
      </c>
      <c r="P48" s="2596" t="s">
        <v>2475</v>
      </c>
      <c r="Q48" s="2587">
        <f ca="1">J60</f>
        <v>1368</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2016</v>
      </c>
      <c r="K49" s="2565" t="s">
        <v>2446</v>
      </c>
      <c r="L49" s="2566"/>
      <c r="O49" s="2588" t="s">
        <v>2457</v>
      </c>
      <c r="P49" s="2596" t="s">
        <v>2476</v>
      </c>
      <c r="Q49" s="2587">
        <f ca="1">C29</f>
        <v>54511</v>
      </c>
      <c r="R49" s="2587" t="s">
        <v>2474</v>
      </c>
    </row>
    <row r="50" spans="1:18" s="1453" customFormat="1" ht="15.75" thickBot="1">
      <c r="A50" s="2431"/>
      <c r="B50" s="2434"/>
      <c r="C50" s="2730"/>
      <c r="D50" s="2404"/>
      <c r="E50" s="2533" t="s">
        <v>2340</v>
      </c>
      <c r="F50" s="2534">
        <f ca="1">F7</f>
        <v>103688.47</v>
      </c>
      <c r="H50" s="1456"/>
      <c r="I50" s="2543" t="s">
        <v>2423</v>
      </c>
      <c r="J50" s="2556">
        <f>SUMPRODUCT((I63:I65=J47)*(J62:L62=J48)*(J63:L65))</f>
        <v>60</v>
      </c>
      <c r="K50" s="2565" t="s">
        <v>2447</v>
      </c>
      <c r="L50" s="2566"/>
      <c r="M50" s="2560"/>
      <c r="O50" s="2588" t="s">
        <v>2458</v>
      </c>
      <c r="P50" s="2596" t="s">
        <v>2484</v>
      </c>
      <c r="Q50" s="2589">
        <f ca="1">J58</f>
        <v>0.41199999999999998</v>
      </c>
      <c r="R50" s="2587"/>
    </row>
    <row r="51" spans="1:18" s="1453" customFormat="1" ht="15.75" thickBot="1">
      <c r="A51" s="2432"/>
      <c r="B51" s="2434"/>
      <c r="C51" s="2435"/>
      <c r="D51" s="2404"/>
      <c r="E51" s="2436" t="s">
        <v>2341</v>
      </c>
      <c r="F51" s="685">
        <f ca="1">F8</f>
        <v>365</v>
      </c>
      <c r="I51" s="2557" t="s">
        <v>2428</v>
      </c>
      <c r="J51" s="2558">
        <f>IF(J49="",J50,J49+J50-YEAR('数据-取费表'!B2))</f>
        <v>59</v>
      </c>
      <c r="K51" s="2567" t="s">
        <v>2448</v>
      </c>
      <c r="L51" s="2580">
        <f ca="1">ROUND(-PV(INDIRECT("'数据-取费表'!h"&amp;$G$1),L48,(C39-C13*C76),0),0)</f>
        <v>142527</v>
      </c>
      <c r="M51" s="2561"/>
      <c r="O51" s="2588" t="s">
        <v>2459</v>
      </c>
      <c r="P51" s="2596" t="s">
        <v>2485</v>
      </c>
      <c r="Q51" s="2589">
        <f>J52</f>
        <v>8.5000000000000006E-2</v>
      </c>
      <c r="R51" s="2587"/>
    </row>
    <row r="52" spans="1:18" s="1453" customFormat="1" ht="15.75" thickBot="1">
      <c r="A52" s="2432"/>
      <c r="B52" s="2434"/>
      <c r="C52" s="2435"/>
      <c r="D52" s="2404"/>
      <c r="E52" s="2436" t="s">
        <v>2342</v>
      </c>
      <c r="F52" s="2531"/>
      <c r="I52" s="2559" t="s">
        <v>2451</v>
      </c>
      <c r="J52" s="2573">
        <v>8.5000000000000006E-2</v>
      </c>
      <c r="K52" s="2559" t="s">
        <v>2436</v>
      </c>
      <c r="L52" s="2573"/>
      <c r="M52" s="2396"/>
      <c r="O52" s="2588" t="s">
        <v>2460</v>
      </c>
      <c r="P52" s="2596" t="s">
        <v>2477</v>
      </c>
      <c r="Q52" s="2587">
        <f ca="1">J53</f>
        <v>34.299999999999997</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34.299999999999997</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0"/>
      <c r="O53" s="2586" t="s">
        <v>2461</v>
      </c>
      <c r="P53" s="2596" t="s">
        <v>2479</v>
      </c>
      <c r="Q53" s="2587">
        <f ca="1">Q47+Q48</f>
        <v>306660</v>
      </c>
      <c r="R53" s="2587" t="s">
        <v>2462</v>
      </c>
    </row>
    <row r="54" spans="1:18" s="1453" customFormat="1" ht="16.5" thickBot="1">
      <c r="A54" s="2826"/>
      <c r="B54" s="2623" t="s">
        <v>2702</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09"/>
      <c r="F55" s="2539"/>
      <c r="I55" s="3317" t="s">
        <v>2429</v>
      </c>
      <c r="J55" s="3316">
        <f ca="1">ROUND(IF(J47="钢混",J57/J50,1-(1-2%)*(J50-J57)/J50),3)</f>
        <v>0.41199999999999998</v>
      </c>
      <c r="K55" s="2550" t="s">
        <v>2430</v>
      </c>
      <c r="L55" s="2572"/>
      <c r="O55" s="2593" t="s">
        <v>2470</v>
      </c>
      <c r="P55" s="2594" t="s">
        <v>2471</v>
      </c>
      <c r="Q55" s="2595" t="s">
        <v>2469</v>
      </c>
      <c r="R55" s="2595" t="s">
        <v>2472</v>
      </c>
    </row>
    <row r="56" spans="1:18" s="1453" customFormat="1" ht="44.25" thickTop="1" thickBot="1">
      <c r="A56" s="2408">
        <v>2</v>
      </c>
      <c r="B56" s="2409" t="s">
        <v>2343</v>
      </c>
      <c r="C56" s="608">
        <f ca="1">C13</f>
        <v>53584</v>
      </c>
      <c r="D56" s="2697"/>
      <c r="E56" s="2410"/>
      <c r="F56" s="2539"/>
      <c r="I56" s="2542" t="s">
        <v>2431</v>
      </c>
      <c r="J56" s="2571" t="s">
        <v>41</v>
      </c>
      <c r="K56" s="2543" t="s">
        <v>2435</v>
      </c>
      <c r="L56" s="2167" t="str">
        <f ca="1">IF(L48&lt;J51,"——",L48-J51)</f>
        <v>——</v>
      </c>
      <c r="O56" s="2586" t="s">
        <v>2455</v>
      </c>
      <c r="P56" s="2596" t="s">
        <v>2473</v>
      </c>
      <c r="Q56" s="2587">
        <f ca="1">C40+J29</f>
        <v>305292</v>
      </c>
      <c r="R56" s="2587" t="s">
        <v>2474</v>
      </c>
    </row>
    <row r="57" spans="1:18" s="1453" customFormat="1" ht="29.25" thickBot="1">
      <c r="A57" s="2540"/>
      <c r="B57" s="2401" t="s">
        <v>2373</v>
      </c>
      <c r="C57" s="614">
        <f ca="1">C29</f>
        <v>54511</v>
      </c>
      <c r="D57" s="2412"/>
      <c r="E57" s="2413"/>
      <c r="F57" s="2541"/>
      <c r="I57" s="2544" t="s">
        <v>2452</v>
      </c>
      <c r="J57" s="2548">
        <f ca="1">IF(OR(M47="住宅",J51&lt;L48,J56="是"),"——",J51-L48)</f>
        <v>24.700000000000003</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2374</v>
      </c>
      <c r="C58" s="698">
        <f ca="1">ROUND(C59+C64+C65+C66,0)</f>
        <v>1658</v>
      </c>
      <c r="D58" s="2415" t="s">
        <v>2375</v>
      </c>
      <c r="E58" s="2416"/>
      <c r="F58" s="2417"/>
      <c r="I58" s="2544" t="s">
        <v>2432</v>
      </c>
      <c r="J58" s="3318">
        <f ca="1">IF(J55&lt;0.4,0.4,J55)</f>
        <v>0.41199999999999998</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460.8</v>
      </c>
      <c r="D59" s="2418" t="s">
        <v>2345</v>
      </c>
      <c r="E59" s="2419" t="s">
        <v>2346</v>
      </c>
      <c r="F59" s="708">
        <f ca="1">IF(项目基本情况!B11="企业","",IF(INDIRECT("'数据-取费表'!c"&amp;$G$1)="住宅",5%,IF(F49*F50*F51/12/(1+'数据-取费表'!C42)&gt;20000,12%,7%)))</f>
        <v>7.0000000000000007E-2</v>
      </c>
      <c r="I59" s="2544" t="s">
        <v>2433</v>
      </c>
      <c r="J59" s="2548">
        <f ca="1">IF(OR(M47="住宅",J51&lt;L48,J56="是"),"——",ROUND(C29*J58,0))</f>
        <v>22459</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f ca="1">IF(OR(M47="住宅",J51&lt;L48,J56="是"),"0",ROUND(J59/(1+J52)^J53,0))</f>
        <v>1368</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2350</v>
      </c>
      <c r="C61" s="313">
        <f ca="1">IF(项目基本情况!B11="自然人","——",IF(D61="按租金收入计税",ROUND(C48*F61,2),IF(D61="按房产原值计税",ROUND(C57*F61*0.7,2),INDIRECT("'数据-取费表'!Aj"&amp;$G$1))))</f>
        <v>457.89</v>
      </c>
      <c r="D61" s="1299" t="s">
        <v>2419</v>
      </c>
      <c r="E61" s="2401" t="s">
        <v>2349</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2351</v>
      </c>
      <c r="C62" s="314">
        <f ca="1">IF(项目基本情况!B11="自然人","——",ROUND(F62*F63/10000,2))</f>
        <v>2.88</v>
      </c>
      <c r="D62" s="2420" t="s">
        <v>2352</v>
      </c>
      <c r="E62" s="2401" t="s">
        <v>2353</v>
      </c>
      <c r="F62" s="711">
        <f t="shared" si="0"/>
        <v>1.5</v>
      </c>
      <c r="I62" s="2546" t="s">
        <v>2424</v>
      </c>
      <c r="J62" s="2547" t="s">
        <v>2425</v>
      </c>
      <c r="K62" s="2547" t="s">
        <v>2426</v>
      </c>
      <c r="L62" s="2547" t="s">
        <v>2422</v>
      </c>
      <c r="M62" s="3319" t="s">
        <v>3041</v>
      </c>
      <c r="O62" s="2586" t="s">
        <v>2461</v>
      </c>
      <c r="P62" s="2596" t="s">
        <v>2479</v>
      </c>
      <c r="Q62" s="2587">
        <f ca="1">Q56+Q57</f>
        <v>305292</v>
      </c>
      <c r="R62" s="2587" t="s">
        <v>2462</v>
      </c>
    </row>
    <row r="63" spans="1:18" s="1453" customFormat="1" ht="16.5" thickBot="1">
      <c r="A63" s="712"/>
      <c r="B63" s="2407"/>
      <c r="C63" s="318"/>
      <c r="D63" s="2421"/>
      <c r="E63" s="2401" t="s">
        <v>2354</v>
      </c>
      <c r="F63" s="685">
        <f t="shared" ca="1" si="0"/>
        <v>19197.97</v>
      </c>
      <c r="I63" s="2546" t="s">
        <v>2438</v>
      </c>
      <c r="J63" s="3322">
        <v>70</v>
      </c>
      <c r="K63" s="3322">
        <v>50</v>
      </c>
      <c r="L63" s="3322">
        <v>80</v>
      </c>
      <c r="M63" s="3320">
        <v>0.02</v>
      </c>
      <c r="O63" s="2590" t="s">
        <v>2493</v>
      </c>
      <c r="P63" s="1294"/>
      <c r="Q63" s="1294"/>
      <c r="R63" s="1294"/>
    </row>
    <row r="64" spans="1:18" s="1453" customFormat="1" ht="15.75" thickBot="1">
      <c r="A64" s="2437" t="s">
        <v>2386</v>
      </c>
      <c r="B64" s="2401" t="s">
        <v>2355</v>
      </c>
      <c r="C64" s="313">
        <f ca="1">ROUND(C57*F64,1)</f>
        <v>1090.2</v>
      </c>
      <c r="D64" s="2419" t="s">
        <v>2356</v>
      </c>
      <c r="E64" s="2401" t="s">
        <v>2349</v>
      </c>
      <c r="F64" s="714">
        <f t="shared" ca="1" si="0"/>
        <v>0.02</v>
      </c>
      <c r="I64" s="2546" t="s">
        <v>2439</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107.2</v>
      </c>
      <c r="D65" s="2419" t="s">
        <v>2357</v>
      </c>
      <c r="E65" s="2401" t="s">
        <v>2349</v>
      </c>
      <c r="F65" s="716">
        <f t="shared" ca="1" si="0"/>
        <v>2E-3</v>
      </c>
      <c r="I65" s="2546" t="s">
        <v>2440</v>
      </c>
      <c r="J65" s="3322">
        <v>40</v>
      </c>
      <c r="K65" s="3322">
        <v>30</v>
      </c>
      <c r="L65" s="3322">
        <v>50</v>
      </c>
      <c r="M65" s="3320">
        <v>0.02</v>
      </c>
      <c r="O65" s="2586" t="s">
        <v>2455</v>
      </c>
      <c r="P65" s="2596" t="s">
        <v>2473</v>
      </c>
      <c r="Q65" s="2587">
        <f ca="1">C40+J29</f>
        <v>305292</v>
      </c>
      <c r="R65" s="2587" t="s">
        <v>2474</v>
      </c>
    </row>
    <row r="66" spans="1:18" s="1453" customFormat="1" ht="20.25" thickBot="1">
      <c r="A66" s="2437" t="s">
        <v>2381</v>
      </c>
      <c r="B66" s="2401" t="s">
        <v>367</v>
      </c>
      <c r="C66" s="313">
        <f ca="1">ROUND(C48*F66,1)</f>
        <v>0</v>
      </c>
      <c r="D66" s="2419" t="s">
        <v>2358</v>
      </c>
      <c r="E66" s="2401" t="s">
        <v>2349</v>
      </c>
      <c r="F66" s="694">
        <f t="shared" ca="1" si="0"/>
        <v>1.4999999999999999E-2</v>
      </c>
      <c r="O66" s="2586" t="s">
        <v>2456</v>
      </c>
      <c r="P66" s="2596" t="s">
        <v>2480</v>
      </c>
      <c r="Q66" s="2587">
        <f ca="1">L60</f>
        <v>0</v>
      </c>
      <c r="R66" s="2587" t="s">
        <v>2463</v>
      </c>
    </row>
    <row r="67" spans="1:18" s="1453" customFormat="1" ht="24.75" thickBot="1">
      <c r="A67" s="2408" t="s">
        <v>2359</v>
      </c>
      <c r="B67" s="2422" t="s">
        <v>2360</v>
      </c>
      <c r="C67" s="698">
        <f ca="1">C48-C58</f>
        <v>-1658</v>
      </c>
      <c r="D67" s="2418" t="s">
        <v>2361</v>
      </c>
      <c r="E67" s="2423"/>
      <c r="F67" s="2424"/>
      <c r="O67" s="2588" t="s">
        <v>2457</v>
      </c>
      <c r="P67" s="2596" t="s">
        <v>2487</v>
      </c>
      <c r="Q67" s="2591">
        <f ca="1">L51</f>
        <v>142527</v>
      </c>
      <c r="R67" s="2592" t="s">
        <v>2497</v>
      </c>
    </row>
    <row r="68" spans="1:18" s="1453" customFormat="1" ht="20.25" thickBot="1">
      <c r="A68" s="2398" t="s">
        <v>2362</v>
      </c>
      <c r="B68" s="2399" t="s">
        <v>2363</v>
      </c>
      <c r="C68" s="683">
        <f ca="1">ROUND(C67*(1-((1+F70)/(1+F68))^F69)/(F68-F70),0)</f>
        <v>-25341</v>
      </c>
      <c r="D68" s="2420" t="s">
        <v>2364</v>
      </c>
      <c r="E68" s="2401" t="s">
        <v>2365</v>
      </c>
      <c r="F68" s="694">
        <f ca="1">F40</f>
        <v>5.5E-2</v>
      </c>
      <c r="O68" s="2588" t="s">
        <v>2458</v>
      </c>
      <c r="P68" s="2597" t="s">
        <v>2491</v>
      </c>
      <c r="Q68" s="2587">
        <f ca="1">ROUND(Q69-Q70*Q71,0)</f>
        <v>9325</v>
      </c>
      <c r="R68" s="2587" t="s">
        <v>2496</v>
      </c>
    </row>
    <row r="69" spans="1:18" s="1453" customFormat="1" ht="15.75" thickBot="1">
      <c r="A69" s="2402"/>
      <c r="B69" s="2403"/>
      <c r="C69" s="688"/>
      <c r="D69" s="2425" t="s">
        <v>2366</v>
      </c>
      <c r="E69" s="2401" t="s">
        <v>2367</v>
      </c>
      <c r="F69" s="719">
        <f ca="1">F41</f>
        <v>34.299999999999997</v>
      </c>
      <c r="O69" s="2588" t="s">
        <v>2466</v>
      </c>
      <c r="P69" s="2597" t="s">
        <v>2481</v>
      </c>
      <c r="Q69" s="2587">
        <f ca="1">C39</f>
        <v>13612</v>
      </c>
      <c r="R69" s="2587" t="s">
        <v>2474</v>
      </c>
    </row>
    <row r="70" spans="1:18" s="1453" customFormat="1" ht="15.75" thickBot="1">
      <c r="A70" s="2405"/>
      <c r="B70" s="2406"/>
      <c r="C70" s="692"/>
      <c r="D70" s="2421"/>
      <c r="E70" s="2401" t="s">
        <v>2368</v>
      </c>
      <c r="F70" s="2531"/>
      <c r="O70" s="2588" t="s">
        <v>2467</v>
      </c>
      <c r="P70" s="2597" t="s">
        <v>2482</v>
      </c>
      <c r="Q70" s="2587">
        <f ca="1">C13</f>
        <v>53584</v>
      </c>
      <c r="R70" s="2587" t="s">
        <v>2474</v>
      </c>
    </row>
    <row r="71" spans="1:18" s="1453" customFormat="1" ht="15.75" thickBot="1">
      <c r="A71" s="2426" t="s">
        <v>2369</v>
      </c>
      <c r="B71" s="2427" t="s">
        <v>2370</v>
      </c>
      <c r="C71" s="722">
        <f ca="1">ROUND(C68*10000/F71,0)</f>
        <v>-2444</v>
      </c>
      <c r="D71" s="2428" t="s">
        <v>2371</v>
      </c>
      <c r="E71" s="2429" t="s">
        <v>2372</v>
      </c>
      <c r="F71" s="725">
        <f ca="1">F43</f>
        <v>103688.47</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4287</v>
      </c>
      <c r="D75" s="1453"/>
      <c r="E75" s="1453"/>
      <c r="F75" s="1453"/>
      <c r="K75" s="1454"/>
      <c r="L75" s="1453"/>
      <c r="O75" s="2586" t="s">
        <v>2461</v>
      </c>
      <c r="P75" s="2596" t="s">
        <v>2479</v>
      </c>
      <c r="Q75" s="2587">
        <f ca="1">Q65+Q66</f>
        <v>305292</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2703</v>
      </c>
      <c r="C78" s="735"/>
    </row>
    <row r="79" spans="1:18">
      <c r="B79" s="2872" t="s">
        <v>2707</v>
      </c>
      <c r="C79" s="650">
        <f ca="1">1-C80</f>
        <v>0.68500000000000005</v>
      </c>
    </row>
    <row r="80" spans="1:18">
      <c r="B80" s="2872" t="s">
        <v>2706</v>
      </c>
      <c r="C80" s="650">
        <f ca="1">ROUND(C75/C39,3)</f>
        <v>0.315</v>
      </c>
    </row>
    <row r="81" spans="2:3">
      <c r="B81" s="646" t="s">
        <v>387</v>
      </c>
      <c r="C81" s="647"/>
    </row>
    <row r="82" spans="2:3">
      <c r="B82" s="2871" t="s">
        <v>2705</v>
      </c>
      <c r="C82" s="651">
        <f ca="1">1-C83</f>
        <v>0.82400000000000007</v>
      </c>
    </row>
    <row r="83" spans="2:3">
      <c r="B83" s="2871" t="s">
        <v>2704</v>
      </c>
      <c r="C83" s="650">
        <f ca="1">ROUND(C13/C40,3)</f>
        <v>0.17599999999999999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c r="D1" s="1272"/>
      <c r="E1" s="2584" t="s">
        <v>539</v>
      </c>
      <c r="F1" s="2585">
        <f ca="1">J53</f>
        <v>0</v>
      </c>
      <c r="G1" s="672">
        <f>MATCH(C1,'数据-取费表'!A6:A16,0)+5</f>
        <v>8</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t="e">
        <f ca="1">ROUND(D2/10000,0)</f>
        <v>#DIV/0!</v>
      </c>
      <c r="C2" s="1298" t="s">
        <v>1101</v>
      </c>
      <c r="D2" s="2723" t="e">
        <f ca="1">C40+J29+L46</f>
        <v>#DIV/0!</v>
      </c>
      <c r="E2" s="2574" t="s">
        <v>2627</v>
      </c>
      <c r="F2" s="1275"/>
      <c r="G2" s="2286"/>
      <c r="H2" s="1273"/>
      <c r="I2" s="1273"/>
      <c r="J2" s="1273"/>
      <c r="K2" s="1297"/>
      <c r="L2" s="1273"/>
      <c r="M2" s="1273"/>
    </row>
    <row r="3" spans="1:37" ht="18" customHeight="1" thickBot="1">
      <c r="A3" s="675" t="s">
        <v>346</v>
      </c>
      <c r="B3" s="1406">
        <f ca="1">IF(ISERROR(D2/F43),0,ROUND(D2/F43,0))</f>
        <v>0</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0</v>
      </c>
      <c r="D5" s="2635" t="s">
        <v>2541</v>
      </c>
      <c r="E5" s="2626"/>
      <c r="F5" s="2627"/>
      <c r="G5" s="2287"/>
      <c r="H5" s="681">
        <v>1</v>
      </c>
      <c r="I5" s="682" t="s">
        <v>2338</v>
      </c>
      <c r="J5" s="2625">
        <f ca="1">J6+J10+J12</f>
        <v>0</v>
      </c>
      <c r="K5" s="2628" t="s">
        <v>2541</v>
      </c>
      <c r="L5" s="2626"/>
      <c r="M5" s="2627"/>
    </row>
    <row r="6" spans="1:37" ht="18" customHeight="1">
      <c r="A6" s="2621" t="s">
        <v>2379</v>
      </c>
      <c r="B6" s="3591" t="s">
        <v>2540</v>
      </c>
      <c r="C6" s="2630">
        <f ca="1">ROUND(F6*F8*F7*(1-F9),0)</f>
        <v>0</v>
      </c>
      <c r="D6" s="2624" t="s">
        <v>2542</v>
      </c>
      <c r="E6" s="684" t="s">
        <v>914</v>
      </c>
      <c r="F6" s="685">
        <f ca="1">INDIRECT("'数据-取费表'!u"&amp;$G$1)</f>
        <v>0</v>
      </c>
      <c r="G6" s="2287"/>
      <c r="H6" s="2621" t="s">
        <v>2379</v>
      </c>
      <c r="I6" s="3591" t="s">
        <v>2540</v>
      </c>
      <c r="J6" s="683">
        <f ca="1">ROUND(M6*M8*M7*(1-M9),0)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0</v>
      </c>
      <c r="G7" s="2287"/>
      <c r="H7" s="686"/>
      <c r="I7" s="3592"/>
      <c r="J7" s="688"/>
      <c r="K7" s="689"/>
      <c r="L7" s="684" t="s">
        <v>915</v>
      </c>
      <c r="M7" s="685">
        <f ca="1">F7</f>
        <v>0</v>
      </c>
    </row>
    <row r="8" spans="1:37" ht="18" customHeight="1">
      <c r="A8" s="686"/>
      <c r="B8" s="3592"/>
      <c r="C8" s="688"/>
      <c r="D8" s="689"/>
      <c r="E8" s="684" t="s">
        <v>916</v>
      </c>
      <c r="F8" s="685">
        <f ca="1">INDIRECT("'数据-取费表'!ai"&amp;$G$1)</f>
        <v>0</v>
      </c>
      <c r="G8" s="2287"/>
      <c r="H8" s="686"/>
      <c r="I8" s="3592"/>
      <c r="J8" s="688"/>
      <c r="K8" s="689"/>
      <c r="L8" s="684" t="s">
        <v>916</v>
      </c>
      <c r="M8" s="685">
        <f ca="1">INDIRECT("'数据-取费表'!ai"&amp;$G$1)</f>
        <v>0</v>
      </c>
    </row>
    <row r="9" spans="1:37" ht="18" customHeight="1">
      <c r="A9" s="686"/>
      <c r="B9" s="3593"/>
      <c r="C9" s="688"/>
      <c r="D9" s="689"/>
      <c r="E9" s="684" t="s">
        <v>917</v>
      </c>
      <c r="F9" s="694">
        <f ca="1">INDIRECT("'数据-取费表'!w"&amp;$G$1)</f>
        <v>0</v>
      </c>
      <c r="G9" s="2287"/>
      <c r="H9" s="686"/>
      <c r="I9" s="3593"/>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ROUND(IF(F10="押一",F6*F8*F7/12*F11,IF(F10="押二",F6*F8*F7/12*2*F11,IF(F10="押三",F6*F8*F7/12*3*F11,C11*F11))),0)</f>
        <v>0</v>
      </c>
      <c r="D10" s="2633" t="s">
        <v>2543</v>
      </c>
      <c r="E10" s="2096" t="s">
        <v>2537</v>
      </c>
      <c r="F10" s="2827"/>
      <c r="G10" s="2287"/>
      <c r="H10" s="2621" t="s">
        <v>2386</v>
      </c>
      <c r="I10" s="2622" t="s">
        <v>2535</v>
      </c>
      <c r="J10" s="683">
        <f ca="1">ROUND(IF(M10="押一",M6*M8*M7/12*M11,IF(M10="押二",M6*M8*M7/12*2*M11,IF(M10="押三",M6*M8*M7/12*3*M11,J11*M11))),0)</f>
        <v>0</v>
      </c>
      <c r="K10" s="2633" t="s">
        <v>2543</v>
      </c>
      <c r="L10" s="2096" t="s">
        <v>2537</v>
      </c>
      <c r="M10" s="2827" t="s">
        <v>2699</v>
      </c>
    </row>
    <row r="11" spans="1:37" ht="18" customHeight="1">
      <c r="A11" s="690"/>
      <c r="B11" s="2623" t="s">
        <v>2545</v>
      </c>
      <c r="C11" s="2414"/>
      <c r="D11" s="689"/>
      <c r="E11" s="2096" t="s">
        <v>2538</v>
      </c>
      <c r="F11" s="696">
        <f ca="1">'数据-取费表'!B39</f>
        <v>1.4999999999999999E-2</v>
      </c>
      <c r="G11" s="2287"/>
      <c r="H11" s="2634"/>
      <c r="I11" s="2623" t="s">
        <v>2700</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2376</v>
      </c>
      <c r="B14" s="684" t="s">
        <v>359</v>
      </c>
      <c r="C14" s="702">
        <f ca="1">ROUND(INDIRECT("'数据-取费表'!l"&amp;$G$1)*F43+'数据-取费表'!L14*INDIRECT("'数据-取费表'!S"&amp;$G$1),0)</f>
        <v>0</v>
      </c>
      <c r="D14" s="2718" t="s">
        <v>921</v>
      </c>
      <c r="E14" s="2717"/>
      <c r="F14" s="703"/>
      <c r="G14" s="2287"/>
      <c r="H14" s="2437" t="s">
        <v>2379</v>
      </c>
      <c r="I14" s="684" t="s">
        <v>922</v>
      </c>
      <c r="J14" s="313">
        <f ca="1">C29</f>
        <v>0</v>
      </c>
      <c r="K14" s="303"/>
      <c r="L14" s="700"/>
      <c r="M14" s="701"/>
    </row>
    <row r="15" spans="1:37" s="706" customFormat="1" ht="18" customHeight="1" thickBot="1">
      <c r="A15" s="2437" t="s">
        <v>2612</v>
      </c>
      <c r="B15" s="684" t="s">
        <v>360</v>
      </c>
      <c r="C15" s="313">
        <f ca="1">ROUND(C14*F15,0)</f>
        <v>0</v>
      </c>
      <c r="D15" s="704" t="s">
        <v>923</v>
      </c>
      <c r="E15" s="704" t="s">
        <v>365</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ROUND(INDIRECT("'数据-取费表'!l"&amp;$G$1)*F43*F16,0)</f>
        <v>0</v>
      </c>
      <c r="D16" s="684" t="s">
        <v>923</v>
      </c>
      <c r="E16" s="684" t="s">
        <v>365</v>
      </c>
      <c r="F16" s="707">
        <f ca="1">IF(INDIRECT("'数据-取费表'!c"&amp;$G$1)="住宅",'数据-取费表'!B34,0)</f>
        <v>0</v>
      </c>
      <c r="G16" s="2287"/>
      <c r="H16" s="2665" t="s">
        <v>2344</v>
      </c>
      <c r="I16" s="2666" t="s">
        <v>925</v>
      </c>
      <c r="J16" s="692">
        <f ca="1">ROUND(J17+J22+J23+J24,0)</f>
        <v>0</v>
      </c>
      <c r="K16" s="2675" t="s">
        <v>926</v>
      </c>
      <c r="L16" s="2676"/>
      <c r="M16" s="2627"/>
    </row>
    <row r="17" spans="1:37" s="706" customFormat="1" ht="18" customHeight="1">
      <c r="A17" s="2437" t="s">
        <v>2614</v>
      </c>
      <c r="B17" s="684" t="s">
        <v>362</v>
      </c>
      <c r="C17" s="313">
        <f ca="1">ROUND(F17*(F43+INDIRECT("'数据-取费表'!S"&amp;$G$1)),0)</f>
        <v>0</v>
      </c>
      <c r="D17" s="684" t="s">
        <v>927</v>
      </c>
      <c r="E17" s="684" t="s">
        <v>928</v>
      </c>
      <c r="F17" s="315">
        <f>'数据-取费表'!B35</f>
        <v>200</v>
      </c>
      <c r="G17" s="2288"/>
      <c r="H17" s="2437" t="s">
        <v>2379</v>
      </c>
      <c r="I17" s="684" t="s">
        <v>363</v>
      </c>
      <c r="J17" s="313">
        <f ca="1">ROUND(IF(项目基本情况!B11="自然人",J5*M17,J18+J19+J20),0)</f>
        <v>0</v>
      </c>
      <c r="K17" s="2718" t="s">
        <v>929</v>
      </c>
      <c r="L17" s="2719"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0</v>
      </c>
      <c r="D18" s="684" t="s">
        <v>923</v>
      </c>
      <c r="E18" s="684" t="s">
        <v>365</v>
      </c>
      <c r="F18" s="707">
        <f>'数据-取费表'!B36</f>
        <v>1.4999999999999999E-2</v>
      </c>
      <c r="G18" s="2288"/>
      <c r="H18" s="2437" t="s">
        <v>2376</v>
      </c>
      <c r="I18" s="684" t="s">
        <v>931</v>
      </c>
      <c r="J18" s="313">
        <f ca="1">ROUND(J5*M18/(1+'数据-取费表'!C42),0)</f>
        <v>0</v>
      </c>
      <c r="K18" s="2719" t="s">
        <v>932</v>
      </c>
      <c r="L18" s="684" t="s">
        <v>365</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0</v>
      </c>
      <c r="D19" s="471" t="s">
        <v>933</v>
      </c>
      <c r="E19" s="2721"/>
      <c r="F19" s="315"/>
      <c r="G19" s="2287"/>
      <c r="H19" s="2437" t="s">
        <v>2612</v>
      </c>
      <c r="I19" s="684" t="s">
        <v>934</v>
      </c>
      <c r="J19" s="313">
        <f ca="1">IF(K19="按租金收入计税",ROUND(J5*M19,0),ROUND(C29*M19*0.7,0))</f>
        <v>0</v>
      </c>
      <c r="K19" s="1299" t="s">
        <v>2419</v>
      </c>
      <c r="L19" s="684" t="s">
        <v>365</v>
      </c>
      <c r="M19" s="707">
        <f>IF(K19="按租金收入计税",'数据-取费表'!B51,'数据-取费表'!B50)</f>
        <v>1.2E-2</v>
      </c>
    </row>
    <row r="20" spans="1:37" s="706" customFormat="1" ht="18" customHeight="1">
      <c r="A20" s="2437" t="s">
        <v>2616</v>
      </c>
      <c r="B20" s="684" t="s">
        <v>367</v>
      </c>
      <c r="C20" s="313">
        <f ca="1">ROUND(C19*F20,0)</f>
        <v>0</v>
      </c>
      <c r="D20" s="709" t="s">
        <v>935</v>
      </c>
      <c r="E20" s="684" t="s">
        <v>365</v>
      </c>
      <c r="F20" s="707">
        <f>'数据-取费表'!B37</f>
        <v>0.02</v>
      </c>
      <c r="G20" s="2288"/>
      <c r="H20" s="2437" t="s">
        <v>2613</v>
      </c>
      <c r="I20" s="496" t="s">
        <v>936</v>
      </c>
      <c r="J20" s="314">
        <f ca="1">ROUND(M20*M21,0)</f>
        <v>0</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23</v>
      </c>
      <c r="D21" s="709" t="s">
        <v>940</v>
      </c>
      <c r="E21" s="684" t="s">
        <v>941</v>
      </c>
      <c r="F21" s="707">
        <f>'数据-取费表'!B38</f>
        <v>0.02</v>
      </c>
      <c r="G21" s="2288"/>
      <c r="H21" s="712"/>
      <c r="I21" s="693"/>
      <c r="J21" s="318"/>
      <c r="K21" s="713"/>
      <c r="L21" s="684" t="s">
        <v>942</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721"/>
      <c r="F22" s="315"/>
      <c r="G22" s="2287"/>
      <c r="H22" s="2437" t="s">
        <v>2386</v>
      </c>
      <c r="I22" s="684" t="s">
        <v>944</v>
      </c>
      <c r="J22" s="313">
        <f ca="1">ROUND(J14*M22,0)</f>
        <v>0</v>
      </c>
      <c r="K22" s="2719" t="s">
        <v>945</v>
      </c>
      <c r="L22" s="684" t="s">
        <v>365</v>
      </c>
      <c r="M22" s="714">
        <f ca="1">INDIRECT("'数据-取费表'!Ak"&amp;$G$1)</f>
        <v>0</v>
      </c>
    </row>
    <row r="23" spans="1:37" s="706" customFormat="1" ht="18" customHeight="1">
      <c r="A23" s="2437" t="s">
        <v>2376</v>
      </c>
      <c r="B23" s="684" t="s">
        <v>2532</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ROUND(J13*M23,0)</f>
        <v>0</v>
      </c>
      <c r="K23" s="2719" t="s">
        <v>369</v>
      </c>
      <c r="L23" s="684" t="s">
        <v>365</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ROUND(J5*M24,0)</f>
        <v>0</v>
      </c>
      <c r="K24" s="2680" t="s">
        <v>371</v>
      </c>
      <c r="L24" s="2678" t="s">
        <v>365</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721"/>
      <c r="F25" s="315"/>
      <c r="G25" s="2287"/>
      <c r="H25" s="2665" t="s">
        <v>2359</v>
      </c>
      <c r="I25" s="2682" t="s">
        <v>377</v>
      </c>
      <c r="J25" s="692">
        <f ca="1">J5-J16</f>
        <v>0</v>
      </c>
      <c r="K25" s="2683" t="s">
        <v>378</v>
      </c>
      <c r="L25" s="2684"/>
      <c r="M25" s="2685"/>
    </row>
    <row r="26" spans="1:37" ht="18" customHeight="1">
      <c r="A26" s="2437" t="s">
        <v>2376</v>
      </c>
      <c r="B26" s="684" t="s">
        <v>2533</v>
      </c>
      <c r="C26" s="313">
        <f ca="1">ROUND((C19+C20)*F26,0)</f>
        <v>0</v>
      </c>
      <c r="D26" s="709" t="s">
        <v>954</v>
      </c>
      <c r="E26" s="695" t="s">
        <v>955</v>
      </c>
      <c r="F26" s="694">
        <f ca="1">INDIRECT("'数据-取费表'!q"&amp;$G$1)</f>
        <v>0</v>
      </c>
      <c r="G26" s="2287"/>
      <c r="H26" s="681" t="s">
        <v>2362</v>
      </c>
      <c r="I26" s="682" t="s">
        <v>956</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365</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0</v>
      </c>
      <c r="D29" s="2680"/>
      <c r="E29" s="2678"/>
      <c r="F29" s="2681"/>
      <c r="G29" s="2288"/>
      <c r="H29" s="720" t="s">
        <v>2369</v>
      </c>
      <c r="I29" s="721" t="s">
        <v>960</v>
      </c>
      <c r="J29" s="722">
        <f ca="1">ROUND(J26/(1+F40)^F41,0)</f>
        <v>0</v>
      </c>
      <c r="K29" s="723" t="s">
        <v>961</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0</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ROUND(IF(项目基本情况!B11="自然人",C5*F31,C32+C33+C34),0)</f>
        <v>0</v>
      </c>
      <c r="D31" s="2718" t="s">
        <v>929</v>
      </c>
      <c r="E31" s="2719" t="s">
        <v>968</v>
      </c>
      <c r="F31" s="708">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2376</v>
      </c>
      <c r="B32" s="684" t="s">
        <v>931</v>
      </c>
      <c r="C32" s="313">
        <f ca="1">IF(项目基本情况!B11="自然人","——",ROUND(C5*F32/(1+'数据-取费表'!C42),0))</f>
        <v>0</v>
      </c>
      <c r="D32" s="2719" t="s">
        <v>932</v>
      </c>
      <c r="E32" s="684" t="s">
        <v>365</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IF(项目基本情况!B11="自然人","——",IF(D33="按租金收入计税",ROUND(C5*F33,0),IF(D33="按房产原值计税",ROUND(C29*F33*0.7,0),INDIRECT("'数据-取费表'!Aj"&amp;$G$1))))</f>
        <v>0</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f>
        <v>0</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0</v>
      </c>
      <c r="G35" s="2287"/>
      <c r="H35" s="1276"/>
      <c r="I35" s="2880"/>
      <c r="J35" s="2881"/>
      <c r="K35" s="1289"/>
      <c r="L35" s="1288"/>
      <c r="M35" s="1288"/>
    </row>
    <row r="36" spans="1:18" ht="18" customHeight="1">
      <c r="A36" s="2694" t="s">
        <v>2386</v>
      </c>
      <c r="B36" s="684" t="s">
        <v>944</v>
      </c>
      <c r="C36" s="313">
        <f ca="1">ROUND(C29*F36,0)</f>
        <v>0</v>
      </c>
      <c r="D36" s="2719" t="s">
        <v>974</v>
      </c>
      <c r="E36" s="684" t="s">
        <v>365</v>
      </c>
      <c r="F36" s="714">
        <f ca="1">INDIRECT("'数据-取费表'!Ak"&amp;$G$1)</f>
        <v>0</v>
      </c>
      <c r="G36" s="2287"/>
      <c r="H36" s="1288"/>
      <c r="I36" s="2880"/>
      <c r="J36" s="2881"/>
      <c r="K36" s="1292"/>
      <c r="L36" s="1288"/>
      <c r="M36" s="1288"/>
    </row>
    <row r="37" spans="1:18" ht="18" customHeight="1">
      <c r="A37" s="2437" t="s">
        <v>2617</v>
      </c>
      <c r="B37" s="684" t="s">
        <v>368</v>
      </c>
      <c r="C37" s="313">
        <f ca="1">ROUND(C13*F37,0)</f>
        <v>0</v>
      </c>
      <c r="D37" s="2719" t="s">
        <v>369</v>
      </c>
      <c r="E37" s="684" t="s">
        <v>365</v>
      </c>
      <c r="F37" s="716">
        <f ca="1">INDIRECT("'数据-取费表'!Al"&amp;$G$1)</f>
        <v>0</v>
      </c>
      <c r="G37" s="2287"/>
      <c r="H37" s="1288"/>
      <c r="I37" s="2880"/>
      <c r="J37" s="2881"/>
      <c r="K37" s="1292"/>
      <c r="L37" s="1288"/>
      <c r="M37" s="1288"/>
    </row>
    <row r="38" spans="1:18" ht="18" customHeight="1" thickBot="1">
      <c r="A38" s="2677" t="s">
        <v>2618</v>
      </c>
      <c r="B38" s="2678" t="s">
        <v>367</v>
      </c>
      <c r="C38" s="2679">
        <f ca="1">ROUND(C5*F38,1)</f>
        <v>0</v>
      </c>
      <c r="D38" s="2680" t="s">
        <v>371</v>
      </c>
      <c r="E38" s="2678" t="s">
        <v>365</v>
      </c>
      <c r="F38" s="2674">
        <f ca="1">INDIRECT("'数据-取费表'!Am"&amp;$G$1)</f>
        <v>0</v>
      </c>
      <c r="G38" s="2287"/>
      <c r="H38" s="1288"/>
      <c r="I38" s="2880"/>
      <c r="J38" s="2881"/>
      <c r="K38" s="1293"/>
      <c r="L38" s="1288"/>
      <c r="M38" s="1288"/>
    </row>
    <row r="39" spans="1:18" ht="24.6" customHeight="1" thickTop="1">
      <c r="A39" s="2665" t="s">
        <v>2359</v>
      </c>
      <c r="B39" s="2682" t="s">
        <v>377</v>
      </c>
      <c r="C39" s="692">
        <f ca="1">C5-C30</f>
        <v>0</v>
      </c>
      <c r="D39" s="2683" t="s">
        <v>378</v>
      </c>
      <c r="E39" s="2684"/>
      <c r="F39" s="2685"/>
      <c r="G39" s="2287"/>
      <c r="H39" s="1288"/>
      <c r="I39" s="2880"/>
      <c r="J39" s="2881"/>
      <c r="K39" s="1293"/>
      <c r="L39" s="1288"/>
      <c r="M39" s="1288"/>
    </row>
    <row r="40" spans="1:18" ht="18" customHeight="1">
      <c r="A40" s="681" t="s">
        <v>2362</v>
      </c>
      <c r="B40" s="682" t="s">
        <v>379</v>
      </c>
      <c r="C40" s="683" t="e">
        <f ca="1">ROUND(C39*(1-((1+F42)/(1+F40))^F41)/(F40-F42),0)</f>
        <v>#DIV/0!</v>
      </c>
      <c r="D40" s="710" t="s">
        <v>373</v>
      </c>
      <c r="E40" s="684" t="s">
        <v>374</v>
      </c>
      <c r="F40" s="694">
        <f ca="1">INDIRECT("'数据-取费表'!I"&amp;$G$1)</f>
        <v>0</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0</v>
      </c>
      <c r="G41" s="2287"/>
      <c r="H41" s="1190"/>
      <c r="I41" s="2880"/>
      <c r="J41" s="2881"/>
      <c r="K41" s="1292"/>
      <c r="L41" s="1190"/>
      <c r="M41" s="1190"/>
    </row>
    <row r="42" spans="1:18" ht="18" customHeight="1">
      <c r="A42" s="690"/>
      <c r="B42" s="691"/>
      <c r="C42" s="692"/>
      <c r="D42" s="713"/>
      <c r="E42" s="684" t="s">
        <v>382</v>
      </c>
      <c r="F42" s="694">
        <f ca="1">INDIRECT("'数据-取费表'!v"&amp;$G$1)</f>
        <v>0</v>
      </c>
      <c r="G42" s="2287"/>
      <c r="H42" s="1190"/>
      <c r="I42" s="2880"/>
      <c r="J42" s="2881"/>
      <c r="K42" s="1292"/>
      <c r="L42" s="1190"/>
      <c r="M42" s="1190"/>
    </row>
    <row r="43" spans="1:18" ht="18" customHeight="1" thickBot="1">
      <c r="A43" s="720" t="s">
        <v>2369</v>
      </c>
      <c r="B43" s="721" t="s">
        <v>383</v>
      </c>
      <c r="C43" s="722" t="e">
        <f ca="1">ROUND(C40/F43,0)</f>
        <v>#DIV/0!</v>
      </c>
      <c r="D43" s="723" t="s">
        <v>384</v>
      </c>
      <c r="E43" s="724" t="s">
        <v>385</v>
      </c>
      <c r="F43" s="725">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2628</v>
      </c>
      <c r="E45" s="1431"/>
      <c r="F45" s="1431"/>
      <c r="O45" s="2590" t="s">
        <v>2492</v>
      </c>
      <c r="P45" s="1294"/>
      <c r="Q45" s="1294"/>
      <c r="R45" s="1294"/>
    </row>
    <row r="46" spans="1:18" s="1453"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3" customFormat="1" ht="15.75" thickBot="1">
      <c r="A47" s="2397" t="s">
        <v>909</v>
      </c>
      <c r="B47" s="2433" t="s">
        <v>910</v>
      </c>
      <c r="C47" s="2433" t="s">
        <v>911</v>
      </c>
      <c r="D47" s="2433" t="s">
        <v>912</v>
      </c>
      <c r="E47" s="2536" t="s">
        <v>913</v>
      </c>
      <c r="F47" s="2537"/>
      <c r="G47" s="1455"/>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3" customFormat="1" ht="47.25" thickBot="1">
      <c r="A48" s="2710" t="s">
        <v>2623</v>
      </c>
      <c r="B48" s="682" t="s">
        <v>2338</v>
      </c>
      <c r="C48" s="2720">
        <f ca="1">C49+C53+C55</f>
        <v>0</v>
      </c>
      <c r="D48" s="2714"/>
      <c r="E48" s="2715"/>
      <c r="F48" s="2417"/>
      <c r="G48" s="1455"/>
      <c r="H48" s="1456"/>
      <c r="I48" s="2543" t="s">
        <v>2421</v>
      </c>
      <c r="J48" s="2554"/>
      <c r="K48" s="2564" t="s">
        <v>683</v>
      </c>
      <c r="L48" s="2167">
        <f ca="1">INDIRECT("'数据-取费表'!f"&amp;$G$1)</f>
        <v>0</v>
      </c>
      <c r="O48" s="2586" t="s">
        <v>2456</v>
      </c>
      <c r="P48" s="2596" t="s">
        <v>2475</v>
      </c>
      <c r="Q48" s="2587" t="e">
        <f ca="1">J60</f>
        <v>#DIV/0!</v>
      </c>
      <c r="R48" s="2587" t="s">
        <v>2483</v>
      </c>
    </row>
    <row r="49" spans="1:18" s="1453" customFormat="1" ht="15.75" thickBot="1">
      <c r="A49" s="2430" t="s">
        <v>2624</v>
      </c>
      <c r="B49" s="2713" t="s">
        <v>2626</v>
      </c>
      <c r="C49" s="2722">
        <f ca="1">ROUND(F49*F51*F50*(1-F52),0)</f>
        <v>0</v>
      </c>
      <c r="D49" s="2532" t="s">
        <v>2339</v>
      </c>
      <c r="E49" s="2535" t="s">
        <v>2332</v>
      </c>
      <c r="F49" s="2538"/>
      <c r="G49" s="1457"/>
      <c r="H49" s="1456"/>
      <c r="I49" s="2543" t="s">
        <v>2441</v>
      </c>
      <c r="J49" s="2555"/>
      <c r="K49" s="2565" t="s">
        <v>2446</v>
      </c>
      <c r="L49" s="2566"/>
      <c r="O49" s="2588" t="s">
        <v>2457</v>
      </c>
      <c r="P49" s="2596" t="s">
        <v>2476</v>
      </c>
      <c r="Q49" s="2587">
        <f ca="1">C29</f>
        <v>0</v>
      </c>
      <c r="R49" s="2587" t="s">
        <v>2474</v>
      </c>
    </row>
    <row r="50" spans="1:18" s="1453" customFormat="1" ht="15.75" thickBot="1">
      <c r="A50" s="2431"/>
      <c r="B50" s="2434"/>
      <c r="C50" s="2435"/>
      <c r="D50" s="2404"/>
      <c r="E50" s="2533" t="s">
        <v>915</v>
      </c>
      <c r="F50" s="2534">
        <f ca="1">F7</f>
        <v>0</v>
      </c>
      <c r="H50" s="1456"/>
      <c r="I50" s="2543" t="s">
        <v>2423</v>
      </c>
      <c r="J50" s="2556">
        <f>SUMPRODUCT((I63:I65=J47)*(J62:L62=J48)*(J63:L65))</f>
        <v>0</v>
      </c>
      <c r="K50" s="2565" t="s">
        <v>2447</v>
      </c>
      <c r="L50" s="2566"/>
      <c r="M50" s="2560"/>
      <c r="O50" s="2588" t="s">
        <v>2458</v>
      </c>
      <c r="P50" s="2596" t="s">
        <v>2484</v>
      </c>
      <c r="Q50" s="2589" t="e">
        <f ca="1">J58</f>
        <v>#DIV/0!</v>
      </c>
      <c r="R50" s="2587"/>
    </row>
    <row r="51" spans="1:18" s="1453" customFormat="1" ht="15.75" thickBot="1">
      <c r="A51" s="2432"/>
      <c r="B51" s="2434"/>
      <c r="C51" s="2435"/>
      <c r="D51" s="2404"/>
      <c r="E51" s="2436" t="s">
        <v>916</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3" customFormat="1" ht="15.75" thickBot="1">
      <c r="A52" s="2432"/>
      <c r="B52" s="2434"/>
      <c r="C52" s="2435"/>
      <c r="D52" s="2404"/>
      <c r="E52" s="2436" t="s">
        <v>917</v>
      </c>
      <c r="F52" s="2531"/>
      <c r="I52" s="2559" t="s">
        <v>2451</v>
      </c>
      <c r="J52" s="2573"/>
      <c r="K52" s="2559" t="s">
        <v>2436</v>
      </c>
      <c r="L52" s="2573"/>
      <c r="M52" s="2396"/>
      <c r="O52" s="2588" t="s">
        <v>2460</v>
      </c>
      <c r="P52" s="2596" t="s">
        <v>2477</v>
      </c>
      <c r="Q52" s="2587">
        <f ca="1">J53</f>
        <v>0</v>
      </c>
      <c r="R52" s="2587" t="s">
        <v>2478</v>
      </c>
    </row>
    <row r="53" spans="1:18" s="1453" customFormat="1" ht="43.5" thickBot="1">
      <c r="A53" s="2711" t="s">
        <v>2625</v>
      </c>
      <c r="B53" s="2712" t="s">
        <v>2535</v>
      </c>
      <c r="C53" s="698">
        <f ca="1">ROUND(IF(F53="押一",F49*F51*F50/12*F11,IF(F53="押二",F49*F51*F50/12*2*F11,IF(F53="押三",F49*F51*F50/12*3*F11,C54*F11))),0)</f>
        <v>0</v>
      </c>
      <c r="D53" s="2633" t="s">
        <v>2543</v>
      </c>
      <c r="E53" s="2096" t="s">
        <v>2537</v>
      </c>
      <c r="F53" s="2827"/>
      <c r="I53" s="2569" t="s">
        <v>2453</v>
      </c>
      <c r="J53" s="2570">
        <f ca="1">IF(M47="住宅",J51,MIN(J51,L48))</f>
        <v>0</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0"/>
      <c r="O53" s="2586" t="s">
        <v>2461</v>
      </c>
      <c r="P53" s="2596" t="s">
        <v>2479</v>
      </c>
      <c r="Q53" s="2587" t="e">
        <f ca="1">Q47+Q48</f>
        <v>#DIV/0!</v>
      </c>
      <c r="R53" s="2587" t="s">
        <v>2462</v>
      </c>
    </row>
    <row r="54" spans="1:18" s="1453" customFormat="1" ht="16.5" thickBot="1">
      <c r="A54" s="2430"/>
      <c r="B54" s="2824" t="s">
        <v>2700</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3" customFormat="1" ht="44.25" thickTop="1" thickBot="1">
      <c r="A56" s="2408">
        <v>2</v>
      </c>
      <c r="B56" s="2409" t="s">
        <v>918</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3" customFormat="1" ht="29.25" thickBot="1">
      <c r="A57" s="2540"/>
      <c r="B57" s="2401" t="s">
        <v>967</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3" customFormat="1" ht="29.25" thickBot="1">
      <c r="A58" s="697" t="s">
        <v>2344</v>
      </c>
      <c r="B58" s="2409" t="s">
        <v>925</v>
      </c>
      <c r="C58" s="698">
        <f ca="1">ROUND(C59+C64+C65+C66,0)</f>
        <v>0</v>
      </c>
      <c r="D58" s="2415" t="s">
        <v>926</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ROUND(IF(项目基本情况!B11="自然人",C48*F59,C60+C61+C62),0)</f>
        <v>0</v>
      </c>
      <c r="D59" s="2418" t="s">
        <v>929</v>
      </c>
      <c r="E59" s="2419" t="s">
        <v>930</v>
      </c>
      <c r="F59" s="708">
        <f ca="1">IF(项目基本情况!B11="企业","",IF(INDIRECT("'数据-取费表'!c"&amp;$G$1)="住宅",5%,IF(F49*F50*F51/12/(1+'数据-取费表'!C42)&gt;20000,12%,7%)))</f>
        <v>7.0000000000000007E-2</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IF(项目基本情况!B11="自然人","——",ROUND(C48*F60/(1+'数据-取费表'!C42),0))</f>
        <v>0</v>
      </c>
      <c r="D60" s="2419" t="s">
        <v>932</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IF(项目基本情况!B11="自然人","——",IF(D61="按租金收入计税",ROUND(C48*F61,0),IF(D61="按房产原值计税",ROUND(C57*F61*0.7,0),INDIRECT("'数据-取费表'!Aj"&amp;$G$1))))</f>
        <v>0</v>
      </c>
      <c r="D61" s="1299" t="s">
        <v>2419</v>
      </c>
      <c r="E61" s="2401" t="s">
        <v>365</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IF(项目基本情况!B11="自然人","——",ROUND(F62*F63,0))</f>
        <v>0</v>
      </c>
      <c r="D62" s="2420" t="s">
        <v>937</v>
      </c>
      <c r="E62" s="2401" t="s">
        <v>938</v>
      </c>
      <c r="F62" s="711">
        <f t="shared" si="0"/>
        <v>1.5</v>
      </c>
      <c r="I62" s="2546" t="s">
        <v>2424</v>
      </c>
      <c r="J62" s="2547" t="s">
        <v>2425</v>
      </c>
      <c r="K62" s="2547" t="s">
        <v>2426</v>
      </c>
      <c r="L62" s="2547" t="s">
        <v>2422</v>
      </c>
      <c r="M62" s="3319" t="s">
        <v>3041</v>
      </c>
      <c r="O62" s="2586" t="s">
        <v>2461</v>
      </c>
      <c r="P62" s="2596" t="s">
        <v>2479</v>
      </c>
      <c r="Q62" s="2587" t="e">
        <f ca="1">Q56+Q57</f>
        <v>#DIV/0!</v>
      </c>
      <c r="R62" s="2587" t="s">
        <v>2462</v>
      </c>
    </row>
    <row r="63" spans="1:18" s="1453" customFormat="1" ht="16.5" thickBot="1">
      <c r="A63" s="712"/>
      <c r="B63" s="2407"/>
      <c r="C63" s="318"/>
      <c r="D63" s="2421"/>
      <c r="E63" s="2401" t="s">
        <v>942</v>
      </c>
      <c r="F63" s="685">
        <f t="shared" ca="1" si="0"/>
        <v>0</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ROUND(C57*F64,0)</f>
        <v>0</v>
      </c>
      <c r="D64" s="2419" t="s">
        <v>974</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3"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3"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3"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3" customFormat="1" ht="15.75" thickBot="1">
      <c r="A69" s="2402"/>
      <c r="B69" s="2403"/>
      <c r="C69" s="688"/>
      <c r="D69" s="2425" t="s">
        <v>959</v>
      </c>
      <c r="E69" s="2401" t="s">
        <v>381</v>
      </c>
      <c r="F69" s="719">
        <f ca="1">F41</f>
        <v>0</v>
      </c>
      <c r="O69" s="2588" t="s">
        <v>2466</v>
      </c>
      <c r="P69" s="2597" t="s">
        <v>2481</v>
      </c>
      <c r="Q69" s="2587">
        <f ca="1">C39</f>
        <v>0</v>
      </c>
      <c r="R69" s="2587" t="s">
        <v>2474</v>
      </c>
    </row>
    <row r="70" spans="1:18" s="1453" customFormat="1" ht="15.75" thickBot="1">
      <c r="A70" s="2405"/>
      <c r="B70" s="2406"/>
      <c r="C70" s="692"/>
      <c r="D70" s="2421"/>
      <c r="E70" s="2401" t="s">
        <v>382</v>
      </c>
      <c r="F70" s="2531">
        <f ca="1">F42</f>
        <v>0</v>
      </c>
      <c r="O70" s="2588" t="s">
        <v>2467</v>
      </c>
      <c r="P70" s="2597" t="s">
        <v>2482</v>
      </c>
      <c r="Q70" s="2587">
        <f ca="1">C13</f>
        <v>0</v>
      </c>
      <c r="R70" s="2587" t="s">
        <v>2474</v>
      </c>
    </row>
    <row r="71" spans="1:18" s="1453"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0</v>
      </c>
      <c r="D75" s="1453"/>
      <c r="E75" s="1453"/>
      <c r="F75" s="1453"/>
      <c r="K75" s="1454"/>
      <c r="L75" s="1453"/>
      <c r="O75" s="2586" t="s">
        <v>2461</v>
      </c>
      <c r="P75" s="2596" t="s">
        <v>2479</v>
      </c>
      <c r="Q75" s="2587" t="e">
        <f ca="1">Q65+Q66</f>
        <v>#DIV/0!</v>
      </c>
      <c r="R75" s="2587" t="s">
        <v>2462</v>
      </c>
    </row>
    <row r="76" spans="1:18">
      <c r="B76" s="731" t="s">
        <v>973</v>
      </c>
      <c r="C76" s="732">
        <f ca="1">INDIRECT("'数据-取费表'!j"&amp;$G$1)</f>
        <v>0</v>
      </c>
      <c r="I76" s="1453"/>
      <c r="J76" s="1453"/>
      <c r="K76" s="1454"/>
      <c r="L76" s="1453"/>
    </row>
    <row r="77" spans="1:18">
      <c r="B77" s="733" t="s">
        <v>976</v>
      </c>
      <c r="C77" s="734"/>
      <c r="I77" s="1453"/>
      <c r="J77" s="1453"/>
      <c r="K77" s="1454"/>
      <c r="L77" s="1453"/>
    </row>
    <row r="78" spans="1:18">
      <c r="B78" s="646" t="s">
        <v>962</v>
      </c>
      <c r="C78" s="735"/>
    </row>
    <row r="79" spans="1:18">
      <c r="B79" s="2872" t="s">
        <v>2707</v>
      </c>
      <c r="C79" s="650" t="e">
        <f ca="1">1-C80</f>
        <v>#DIV/0!</v>
      </c>
    </row>
    <row r="80" spans="1:18">
      <c r="B80" s="2872" t="s">
        <v>2708</v>
      </c>
      <c r="C80" s="650" t="e">
        <f ca="1">ROUND(C75/C39,3)</f>
        <v>#DIV/0!</v>
      </c>
    </row>
    <row r="81" spans="2:3">
      <c r="B81" s="646" t="s">
        <v>387</v>
      </c>
      <c r="C81" s="647"/>
    </row>
    <row r="82" spans="2:3">
      <c r="B82" s="2871" t="s">
        <v>2705</v>
      </c>
      <c r="C82" s="651" t="e">
        <f ca="1">1-C83</f>
        <v>#DIV/0!</v>
      </c>
    </row>
    <row r="83" spans="2:3">
      <c r="B83" s="2871"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0" t="s">
        <v>2552</v>
      </c>
      <c r="B1" s="3611"/>
      <c r="C1" s="3612"/>
      <c r="D1" s="3613">
        <f>SUM(I10,I15,I20,I21,I23)</f>
        <v>0</v>
      </c>
      <c r="E1" s="3613"/>
      <c r="F1" s="3613"/>
      <c r="G1" s="3613"/>
      <c r="H1" s="3613"/>
      <c r="I1" s="3614"/>
    </row>
    <row r="2" spans="1:9">
      <c r="A2" s="3600" t="s">
        <v>2553</v>
      </c>
      <c r="B2" s="3601" t="s">
        <v>2554</v>
      </c>
      <c r="C2" s="3601"/>
      <c r="D2" s="2637" t="s">
        <v>2555</v>
      </c>
      <c r="E2" s="2637" t="s">
        <v>2556</v>
      </c>
      <c r="F2" s="2637" t="s">
        <v>2557</v>
      </c>
      <c r="G2" s="2637" t="s">
        <v>2558</v>
      </c>
      <c r="H2" s="2637" t="s">
        <v>2559</v>
      </c>
      <c r="I2" s="2638" t="s">
        <v>2560</v>
      </c>
    </row>
    <row r="3" spans="1:9">
      <c r="A3" s="3600"/>
      <c r="B3" s="3601" t="s">
        <v>2561</v>
      </c>
      <c r="C3" s="3601"/>
      <c r="D3" s="2639"/>
      <c r="E3" s="2637"/>
      <c r="F3" s="2640"/>
      <c r="G3" s="2640"/>
      <c r="H3" s="2641"/>
      <c r="I3" s="2642">
        <f>ROUND(D3*E3*F3*G3*H3/10000,0)</f>
        <v>0</v>
      </c>
    </row>
    <row r="4" spans="1:9">
      <c r="A4" s="3600"/>
      <c r="B4" s="3601" t="s">
        <v>2562</v>
      </c>
      <c r="C4" s="3601"/>
      <c r="D4" s="2639"/>
      <c r="E4" s="2637"/>
      <c r="F4" s="2640"/>
      <c r="G4" s="2640"/>
      <c r="H4" s="2641"/>
      <c r="I4" s="2642">
        <f t="shared" ref="I4:I9" si="0">ROUND(D4*E4*F4*G4*H4/10000,0)</f>
        <v>0</v>
      </c>
    </row>
    <row r="5" spans="1:9">
      <c r="A5" s="3600"/>
      <c r="B5" s="3601" t="s">
        <v>2563</v>
      </c>
      <c r="C5" s="3601"/>
      <c r="D5" s="2639"/>
      <c r="E5" s="2637"/>
      <c r="F5" s="2640"/>
      <c r="G5" s="2640"/>
      <c r="H5" s="2641"/>
      <c r="I5" s="2642">
        <f t="shared" si="0"/>
        <v>0</v>
      </c>
    </row>
    <row r="6" spans="1:9">
      <c r="A6" s="3600"/>
      <c r="B6" s="3601" t="s">
        <v>2564</v>
      </c>
      <c r="C6" s="3601"/>
      <c r="D6" s="2639"/>
      <c r="E6" s="2637"/>
      <c r="F6" s="2640"/>
      <c r="G6" s="2640"/>
      <c r="H6" s="2641"/>
      <c r="I6" s="2642">
        <f t="shared" si="0"/>
        <v>0</v>
      </c>
    </row>
    <row r="7" spans="1:9">
      <c r="A7" s="3600"/>
      <c r="B7" s="3601" t="s">
        <v>2565</v>
      </c>
      <c r="C7" s="3601"/>
      <c r="D7" s="2639"/>
      <c r="E7" s="2637"/>
      <c r="F7" s="2640"/>
      <c r="G7" s="2640"/>
      <c r="H7" s="2641"/>
      <c r="I7" s="2642">
        <f t="shared" si="0"/>
        <v>0</v>
      </c>
    </row>
    <row r="8" spans="1:9">
      <c r="A8" s="3600"/>
      <c r="B8" s="3601" t="s">
        <v>2566</v>
      </c>
      <c r="C8" s="3601"/>
      <c r="D8" s="2639"/>
      <c r="E8" s="2637"/>
      <c r="F8" s="2640"/>
      <c r="G8" s="2640"/>
      <c r="H8" s="2641"/>
      <c r="I8" s="2642">
        <f t="shared" si="0"/>
        <v>0</v>
      </c>
    </row>
    <row r="9" spans="1:9">
      <c r="A9" s="3600"/>
      <c r="B9" s="3601" t="s">
        <v>2567</v>
      </c>
      <c r="C9" s="3601"/>
      <c r="D9" s="2639"/>
      <c r="E9" s="2637"/>
      <c r="F9" s="2640"/>
      <c r="G9" s="2640"/>
      <c r="H9" s="2641"/>
      <c r="I9" s="2642">
        <f t="shared" si="0"/>
        <v>0</v>
      </c>
    </row>
    <row r="10" spans="1:9">
      <c r="A10" s="3600"/>
      <c r="B10" s="3602" t="s">
        <v>2568</v>
      </c>
      <c r="C10" s="3602"/>
      <c r="D10" s="2643"/>
      <c r="E10" s="2643" t="e">
        <f>ROUND(D1*10000/D10/H9,0)</f>
        <v>#DIV/0!</v>
      </c>
      <c r="F10" s="2644"/>
      <c r="G10" s="2644"/>
      <c r="H10" s="2645"/>
      <c r="I10" s="2646">
        <f>SUM(I3:I9)</f>
        <v>0</v>
      </c>
    </row>
    <row r="11" spans="1:9" ht="14.25">
      <c r="A11" s="3600" t="s">
        <v>2569</v>
      </c>
      <c r="B11" s="3601" t="s">
        <v>2570</v>
      </c>
      <c r="C11" s="3601"/>
      <c r="D11" s="2639" t="s">
        <v>2571</v>
      </c>
      <c r="E11" s="2639" t="s">
        <v>2572</v>
      </c>
      <c r="F11" s="2640" t="s">
        <v>2573</v>
      </c>
      <c r="G11" s="2640" t="s">
        <v>2559</v>
      </c>
      <c r="H11" s="2647" t="s">
        <v>2574</v>
      </c>
      <c r="I11" s="2638" t="s">
        <v>2560</v>
      </c>
    </row>
    <row r="12" spans="1:9">
      <c r="A12" s="3600"/>
      <c r="B12" s="3601" t="s">
        <v>2575</v>
      </c>
      <c r="C12" s="3601"/>
      <c r="D12" s="2639"/>
      <c r="E12" s="2639"/>
      <c r="F12" s="2640"/>
      <c r="G12" s="2641"/>
      <c r="H12" s="2648"/>
      <c r="I12" s="2638">
        <f>ROUND(D12*E12*F12*G12/10000,0)</f>
        <v>0</v>
      </c>
    </row>
    <row r="13" spans="1:9">
      <c r="A13" s="3600"/>
      <c r="B13" s="3601" t="s">
        <v>2576</v>
      </c>
      <c r="C13" s="3601"/>
      <c r="D13" s="2639"/>
      <c r="E13" s="2639"/>
      <c r="F13" s="2640"/>
      <c r="G13" s="2641"/>
      <c r="H13" s="2648"/>
      <c r="I13" s="2638">
        <f>ROUND(D13*E13*F13*G13/10000,0)</f>
        <v>0</v>
      </c>
    </row>
    <row r="14" spans="1:9">
      <c r="A14" s="3600"/>
      <c r="B14" s="3601" t="s">
        <v>2577</v>
      </c>
      <c r="C14" s="3601"/>
      <c r="D14" s="2639"/>
      <c r="E14" s="2639"/>
      <c r="F14" s="2640"/>
      <c r="G14" s="2641"/>
      <c r="H14" s="2648"/>
      <c r="I14" s="2638">
        <f>ROUND(D14*E14*F14*G14/10000,0)</f>
        <v>0</v>
      </c>
    </row>
    <row r="15" spans="1:9">
      <c r="A15" s="3600"/>
      <c r="B15" s="3602" t="s">
        <v>2568</v>
      </c>
      <c r="C15" s="3602"/>
      <c r="D15" s="2643"/>
      <c r="E15" s="2643">
        <f>SUM(E12:E14)</f>
        <v>0</v>
      </c>
      <c r="F15" s="2644"/>
      <c r="G15" s="2641"/>
      <c r="H15" s="2648"/>
      <c r="I15" s="2649">
        <f>SUM(I12:I14)</f>
        <v>0</v>
      </c>
    </row>
    <row r="16" spans="1:9" ht="24">
      <c r="A16" s="3600" t="s">
        <v>2578</v>
      </c>
      <c r="B16" s="3601" t="s">
        <v>2579</v>
      </c>
      <c r="C16" s="3601"/>
      <c r="D16" s="2639" t="s">
        <v>2555</v>
      </c>
      <c r="E16" s="2650" t="s">
        <v>2580</v>
      </c>
      <c r="F16" s="2640" t="s">
        <v>2581</v>
      </c>
      <c r="G16" s="2641" t="s">
        <v>2559</v>
      </c>
      <c r="H16" s="2647" t="s">
        <v>2574</v>
      </c>
      <c r="I16" s="2638" t="s">
        <v>2560</v>
      </c>
    </row>
    <row r="17" spans="1:9" ht="14.25">
      <c r="A17" s="3600"/>
      <c r="B17" s="3601" t="s">
        <v>2582</v>
      </c>
      <c r="C17" s="3601"/>
      <c r="D17" s="2639"/>
      <c r="E17" s="2639"/>
      <c r="F17" s="2640"/>
      <c r="G17" s="2641"/>
      <c r="H17" s="2651"/>
      <c r="I17" s="2652">
        <f>ROUND(D17*E17*F17*G17/10000,0)</f>
        <v>0</v>
      </c>
    </row>
    <row r="18" spans="1:9" ht="14.25">
      <c r="A18" s="3600"/>
      <c r="B18" s="3601" t="s">
        <v>2583</v>
      </c>
      <c r="C18" s="3601"/>
      <c r="D18" s="2639"/>
      <c r="E18" s="2639"/>
      <c r="F18" s="2640"/>
      <c r="G18" s="2641"/>
      <c r="H18" s="2651"/>
      <c r="I18" s="2652">
        <f>ROUND(D18*E18*F18*G18/10000,0)</f>
        <v>0</v>
      </c>
    </row>
    <row r="19" spans="1:9" ht="14.25">
      <c r="A19" s="3600"/>
      <c r="B19" s="3601" t="s">
        <v>2584</v>
      </c>
      <c r="C19" s="3601"/>
      <c r="D19" s="2639"/>
      <c r="E19" s="2639"/>
      <c r="F19" s="2640"/>
      <c r="G19" s="2641"/>
      <c r="H19" s="2651"/>
      <c r="I19" s="2652">
        <f>ROUND(D19*E19*F19*G19/10000,0)</f>
        <v>0</v>
      </c>
    </row>
    <row r="20" spans="1:9">
      <c r="A20" s="3600"/>
      <c r="B20" s="3602" t="s">
        <v>2568</v>
      </c>
      <c r="C20" s="3602"/>
      <c r="D20" s="2643">
        <f>SUM(D17:D19)</f>
        <v>0</v>
      </c>
      <c r="E20" s="2643"/>
      <c r="F20" s="2644"/>
      <c r="G20" s="2641"/>
      <c r="H20" s="2648"/>
      <c r="I20" s="2649">
        <f>SUM(I17:I19)</f>
        <v>0</v>
      </c>
    </row>
    <row r="21" spans="1:9">
      <c r="A21" s="3600" t="s">
        <v>2585</v>
      </c>
      <c r="B21" s="3603"/>
      <c r="C21" s="3603"/>
      <c r="D21" s="3603"/>
      <c r="E21" s="3603"/>
      <c r="F21" s="3603"/>
      <c r="G21" s="3603"/>
      <c r="H21" s="3297">
        <v>0.1</v>
      </c>
      <c r="I21" s="2646">
        <f>ROUND(I10*H21,0)</f>
        <v>0</v>
      </c>
    </row>
    <row r="22" spans="1:9" ht="14.25">
      <c r="A22" s="3604" t="s">
        <v>2586</v>
      </c>
      <c r="B22" s="3605"/>
      <c r="C22" s="3606"/>
      <c r="D22" s="2653" t="s">
        <v>2587</v>
      </c>
      <c r="E22" s="2653" t="s">
        <v>2588</v>
      </c>
      <c r="F22" s="2654" t="s">
        <v>2589</v>
      </c>
      <c r="G22" s="2654" t="s">
        <v>2590</v>
      </c>
      <c r="H22" s="2647" t="s">
        <v>2591</v>
      </c>
      <c r="I22" s="2638" t="s">
        <v>2592</v>
      </c>
    </row>
    <row r="23" spans="1:9" ht="14.25" thickBot="1">
      <c r="A23" s="3607"/>
      <c r="B23" s="3608"/>
      <c r="C23" s="3609"/>
      <c r="D23" s="2655"/>
      <c r="E23" s="2655"/>
      <c r="F23" s="2655"/>
      <c r="G23" s="2656"/>
      <c r="H23" s="2657"/>
      <c r="I23" s="2658">
        <f>ROUND(E23*D23*F23*(1-G23)/10000,0)</f>
        <v>0</v>
      </c>
    </row>
    <row r="26" spans="1:9">
      <c r="A26" s="2659" t="s">
        <v>2593</v>
      </c>
      <c r="B26" s="2659"/>
      <c r="C26" s="2659"/>
      <c r="D26" s="2659"/>
      <c r="E26" s="3597">
        <f>C27-C30-C31-C32</f>
        <v>0</v>
      </c>
      <c r="F26" s="3597"/>
      <c r="G26" s="3597"/>
      <c r="H26" s="3249" t="s">
        <v>2965</v>
      </c>
    </row>
    <row r="27" spans="1:9">
      <c r="A27" s="2660">
        <v>1</v>
      </c>
      <c r="B27" s="2661" t="s">
        <v>2594</v>
      </c>
      <c r="C27" s="2661">
        <f>C28+C29</f>
        <v>0</v>
      </c>
      <c r="D27" s="2661"/>
      <c r="E27" s="3598"/>
      <c r="F27" s="3598"/>
      <c r="G27" s="3598"/>
    </row>
    <row r="28" spans="1:9">
      <c r="A28" s="2662" t="s">
        <v>2595</v>
      </c>
      <c r="B28" s="2661" t="s">
        <v>2596</v>
      </c>
      <c r="C28" s="2661"/>
      <c r="D28" s="2661"/>
      <c r="E28" s="3598"/>
      <c r="F28" s="3598"/>
      <c r="G28" s="3598"/>
    </row>
    <row r="29" spans="1:9">
      <c r="A29" s="2662" t="s">
        <v>2597</v>
      </c>
      <c r="B29" s="2661" t="s">
        <v>2598</v>
      </c>
      <c r="C29" s="2661"/>
      <c r="D29" s="2661"/>
      <c r="E29" s="2661" t="s">
        <v>2599</v>
      </c>
      <c r="F29" s="2661"/>
      <c r="G29" s="2661"/>
    </row>
    <row r="30" spans="1:9">
      <c r="A30" s="2660">
        <v>2</v>
      </c>
      <c r="B30" s="2661" t="s">
        <v>2600</v>
      </c>
      <c r="C30" s="2661">
        <f>C27*D30</f>
        <v>0</v>
      </c>
      <c r="D30" s="2663">
        <v>0.2</v>
      </c>
      <c r="E30" s="2661" t="s">
        <v>2601</v>
      </c>
      <c r="F30" s="2661"/>
      <c r="G30" s="2661"/>
    </row>
    <row r="31" spans="1:9">
      <c r="A31" s="2660">
        <v>3</v>
      </c>
      <c r="B31" s="2661" t="s">
        <v>2602</v>
      </c>
      <c r="C31" s="2661">
        <f>C25*D31</f>
        <v>0</v>
      </c>
      <c r="D31" s="2663">
        <v>0.15</v>
      </c>
      <c r="E31" s="2661" t="s">
        <v>2603</v>
      </c>
      <c r="F31" s="2661"/>
      <c r="G31" s="2661"/>
    </row>
    <row r="32" spans="1:9">
      <c r="A32" s="2660">
        <v>4</v>
      </c>
      <c r="B32" s="2661" t="s">
        <v>2604</v>
      </c>
      <c r="C32" s="2661">
        <f>C27*D32</f>
        <v>0</v>
      </c>
      <c r="D32" s="2663">
        <v>0.05</v>
      </c>
      <c r="E32" s="3599"/>
      <c r="F32" s="3599"/>
      <c r="G32" s="3599"/>
    </row>
    <row r="33" spans="1:7" hidden="1">
      <c r="A33" s="3594" t="s">
        <v>2605</v>
      </c>
      <c r="B33" s="3595"/>
      <c r="C33" s="3595"/>
      <c r="D33" s="3596"/>
      <c r="E33" s="3597"/>
      <c r="F33" s="3597"/>
      <c r="G33" s="3597"/>
    </row>
    <row r="34" spans="1:7" hidden="1">
      <c r="A34" s="2664">
        <v>1</v>
      </c>
      <c r="B34" s="2661" t="s">
        <v>2606</v>
      </c>
      <c r="C34" s="2661"/>
      <c r="D34" s="2661"/>
      <c r="E34" s="3598"/>
      <c r="F34" s="3598"/>
      <c r="G34" s="3598"/>
    </row>
    <row r="35" spans="1:7" hidden="1">
      <c r="A35" s="2664">
        <v>2</v>
      </c>
      <c r="B35" s="2661" t="s">
        <v>2607</v>
      </c>
      <c r="C35" s="2661"/>
      <c r="D35" s="2661"/>
      <c r="E35" s="3598"/>
      <c r="F35" s="3598"/>
      <c r="G35" s="3598"/>
    </row>
    <row r="36" spans="1:7" hidden="1">
      <c r="A36" s="2664">
        <v>3</v>
      </c>
      <c r="B36" s="2661" t="s">
        <v>2608</v>
      </c>
      <c r="C36" s="2661"/>
      <c r="D36" s="2661"/>
      <c r="E36" s="3598"/>
      <c r="F36" s="3598"/>
      <c r="G36" s="3598"/>
    </row>
    <row r="37" spans="1:7" hidden="1">
      <c r="A37" s="2664">
        <v>4</v>
      </c>
      <c r="B37" s="2661" t="s">
        <v>2609</v>
      </c>
      <c r="C37" s="2661"/>
      <c r="D37" s="2661"/>
      <c r="E37" s="3598"/>
      <c r="F37" s="3598"/>
      <c r="G37" s="3598"/>
    </row>
    <row r="38" spans="1:7" hidden="1">
      <c r="A38" s="3594" t="s">
        <v>2610</v>
      </c>
      <c r="B38" s="3595"/>
      <c r="C38" s="3595"/>
      <c r="D38" s="3596"/>
      <c r="E38" s="3597"/>
      <c r="F38" s="3597"/>
      <c r="G38" s="35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977</v>
      </c>
      <c r="B1" s="3100" t="s">
        <v>978</v>
      </c>
      <c r="C1" s="3101" t="s">
        <v>979</v>
      </c>
      <c r="D1" s="3102"/>
      <c r="E1" s="3103"/>
      <c r="F1" s="3104" t="s">
        <v>2701</v>
      </c>
      <c r="G1" s="3106" t="s">
        <v>980</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981</v>
      </c>
      <c r="B2" s="2843" t="e">
        <f ca="1">IF(C2="——",ROUND(C49*D3/10000,0),ROUND(C49*D3/10000,0)-D2)</f>
        <v>#DIV/0!</v>
      </c>
      <c r="C2" s="3096"/>
      <c r="D2" s="2723" t="e">
        <f ca="1">SUMIF(INDIRECT("'"&amp;F2&amp;"'"&amp;"!A:A"),"承租人权益价值",INDIRECT("'"&amp;F2&amp;"'"&amp;"!c:c"))</f>
        <v>#REF!</v>
      </c>
      <c r="E2" s="3097" t="s">
        <v>866</v>
      </c>
      <c r="F2" s="3098"/>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982</v>
      </c>
      <c r="B3" s="742" t="e">
        <f ca="1">IF(C2="——",C49,ROUND(B2*10000/D3,0))</f>
        <v>#DIV/0!</v>
      </c>
      <c r="C3" s="142" t="s">
        <v>983</v>
      </c>
      <c r="D3" s="742">
        <f>IF(D1="",'数据-汇总表'!E3,SUMIF('数据-汇总表'!$C19:$C33,D1,'数据-汇总表'!$E19:$E33))</f>
        <v>123111.63</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984</v>
      </c>
      <c r="B4" s="144"/>
      <c r="C4" s="3633" t="s">
        <v>985</v>
      </c>
      <c r="D4" s="3634"/>
      <c r="E4" s="3635" t="s">
        <v>986</v>
      </c>
      <c r="F4" s="3636"/>
      <c r="G4" s="3633" t="s">
        <v>987</v>
      </c>
      <c r="H4" s="3634"/>
      <c r="I4" s="3633" t="s">
        <v>988</v>
      </c>
      <c r="J4" s="3634"/>
      <c r="K4" s="145" t="s">
        <v>989</v>
      </c>
      <c r="L4" s="2294"/>
      <c r="M4" s="2295"/>
      <c r="N4" s="2295"/>
      <c r="O4" s="2295"/>
      <c r="P4" s="3637" t="s">
        <v>984</v>
      </c>
      <c r="Q4" s="3638"/>
      <c r="R4" s="3643" t="s">
        <v>986</v>
      </c>
      <c r="S4" s="3644"/>
      <c r="T4" s="3643" t="s">
        <v>987</v>
      </c>
      <c r="U4" s="3644"/>
      <c r="V4" s="3649" t="s">
        <v>988</v>
      </c>
      <c r="W4" s="3649"/>
      <c r="X4" s="1338"/>
      <c r="Y4" s="3643" t="s">
        <v>984</v>
      </c>
      <c r="Z4" s="3644"/>
      <c r="AA4" s="3630" t="s">
        <v>986</v>
      </c>
      <c r="AB4" s="3630" t="s">
        <v>987</v>
      </c>
      <c r="AC4" s="3630" t="s">
        <v>988</v>
      </c>
    </row>
    <row r="5" spans="1:29">
      <c r="A5" s="146"/>
      <c r="B5" s="147"/>
      <c r="C5" s="3652" t="s">
        <v>990</v>
      </c>
      <c r="D5" s="3653"/>
      <c r="E5" s="3659" t="s">
        <v>991</v>
      </c>
      <c r="F5" s="3660"/>
      <c r="G5" s="3652" t="s">
        <v>992</v>
      </c>
      <c r="H5" s="3653"/>
      <c r="I5" s="3652" t="s">
        <v>993</v>
      </c>
      <c r="J5" s="3653"/>
      <c r="K5" s="152"/>
      <c r="L5" s="2294"/>
      <c r="M5" s="2295"/>
      <c r="N5" s="2295"/>
      <c r="O5" s="2295"/>
      <c r="P5" s="3639"/>
      <c r="Q5" s="3640"/>
      <c r="R5" s="3645"/>
      <c r="S5" s="3646"/>
      <c r="T5" s="3645"/>
      <c r="U5" s="3646"/>
      <c r="V5" s="3649"/>
      <c r="W5" s="3649"/>
      <c r="X5" s="1338"/>
      <c r="Y5" s="3645"/>
      <c r="Z5" s="3646"/>
      <c r="AA5" s="3631"/>
      <c r="AB5" s="3631"/>
      <c r="AC5" s="3631"/>
    </row>
    <row r="6" spans="1:29" ht="14.25" thickBot="1">
      <c r="A6" s="148"/>
      <c r="B6" s="149"/>
      <c r="C6" s="3650" t="s">
        <v>994</v>
      </c>
      <c r="D6" s="3651"/>
      <c r="E6" s="3657" t="s">
        <v>994</v>
      </c>
      <c r="F6" s="3658"/>
      <c r="G6" s="3650" t="s">
        <v>994</v>
      </c>
      <c r="H6" s="3651"/>
      <c r="I6" s="3650" t="s">
        <v>994</v>
      </c>
      <c r="J6" s="3651"/>
      <c r="K6" s="152" t="s">
        <v>995</v>
      </c>
      <c r="L6" s="2294"/>
      <c r="M6" s="2295"/>
      <c r="N6" s="2295"/>
      <c r="O6" s="2295"/>
      <c r="P6" s="3641"/>
      <c r="Q6" s="3642"/>
      <c r="R6" s="3645"/>
      <c r="S6" s="3646"/>
      <c r="T6" s="3647"/>
      <c r="U6" s="3648"/>
      <c r="V6" s="3649"/>
      <c r="W6" s="3649"/>
      <c r="X6" s="1338"/>
      <c r="Y6" s="3647"/>
      <c r="Z6" s="3648"/>
      <c r="AA6" s="3632"/>
      <c r="AB6" s="3632"/>
      <c r="AC6" s="3632"/>
    </row>
    <row r="7" spans="1:29" s="40" customFormat="1" ht="15" thickBot="1">
      <c r="A7" s="1012" t="s">
        <v>996</v>
      </c>
      <c r="B7" s="1013"/>
      <c r="C7" s="1014">
        <f>'数据-取费表'!B2</f>
        <v>42962</v>
      </c>
      <c r="D7" s="754">
        <v>100</v>
      </c>
      <c r="E7" s="1015"/>
      <c r="F7" s="756">
        <f>SUMIF(58:58,YEAR(E7)&amp;"-"&amp;MONTH(E7),59:59)</f>
        <v>0</v>
      </c>
      <c r="G7" s="1015"/>
      <c r="H7" s="754">
        <f>SUMIF(58:58,YEAR(G7)&amp;"-"&amp;MONTH(G7),59:59)</f>
        <v>0</v>
      </c>
      <c r="I7" s="1015"/>
      <c r="J7" s="754">
        <f>SUMIF(58:58,YEAR(I7)&amp;"-"&amp;MONTH(I7),59:59)</f>
        <v>0</v>
      </c>
      <c r="K7" s="1339"/>
      <c r="L7" s="2296"/>
      <c r="M7" s="2258"/>
      <c r="N7" s="2258"/>
      <c r="O7" s="2258"/>
      <c r="P7" s="3654" t="s">
        <v>996</v>
      </c>
      <c r="Q7" s="3656"/>
      <c r="R7" s="1340" t="s">
        <v>115</v>
      </c>
      <c r="S7" s="1341">
        <f t="shared" ref="S7:S15" si="0">F7</f>
        <v>0</v>
      </c>
      <c r="T7" s="1340" t="s">
        <v>115</v>
      </c>
      <c r="U7" s="1341">
        <f t="shared" ref="U7:U15" si="1">H7</f>
        <v>0</v>
      </c>
      <c r="V7" s="1340" t="s">
        <v>115</v>
      </c>
      <c r="W7" s="1341">
        <f t="shared" ref="W7:W15" si="2">J7</f>
        <v>0</v>
      </c>
      <c r="X7" s="287"/>
      <c r="Y7" s="3654" t="s">
        <v>996</v>
      </c>
      <c r="Z7" s="3655"/>
      <c r="AA7" s="1342" t="e">
        <f>D7/F7</f>
        <v>#DIV/0!</v>
      </c>
      <c r="AB7" s="1342" t="e">
        <f>D7/H7</f>
        <v>#DIV/0!</v>
      </c>
      <c r="AC7" s="1342" t="e">
        <f>D7/J7</f>
        <v>#DIV/0!</v>
      </c>
    </row>
    <row r="8" spans="1:29" s="40" customFormat="1" ht="15" thickBot="1">
      <c r="A8" s="1012" t="s">
        <v>997</v>
      </c>
      <c r="B8" s="1013"/>
      <c r="C8" s="1018" t="s">
        <v>155</v>
      </c>
      <c r="D8" s="754">
        <v>100</v>
      </c>
      <c r="E8" s="1343"/>
      <c r="F8" s="756">
        <f>SUMIF(61:61,E8,62:62)-SUMIF(61:61,C8,62:62)+100</f>
        <v>0</v>
      </c>
      <c r="G8" s="1018"/>
      <c r="H8" s="754">
        <f>SUMIF(61:61,G8,62:62)-SUMIF(61:61,C8,62:62)+100</f>
        <v>0</v>
      </c>
      <c r="I8" s="1343"/>
      <c r="J8" s="754">
        <f>SUMIF(61:61,I8,62:62)-SUMIF(61:61,C8,62:62)+100</f>
        <v>0</v>
      </c>
      <c r="K8" s="1339"/>
      <c r="L8" s="2296"/>
      <c r="M8" s="2258"/>
      <c r="N8" s="2258"/>
      <c r="O8" s="2258"/>
      <c r="P8" s="3654" t="s">
        <v>997</v>
      </c>
      <c r="Q8" s="3655"/>
      <c r="R8" s="1340" t="s">
        <v>115</v>
      </c>
      <c r="S8" s="1341">
        <f t="shared" si="0"/>
        <v>0</v>
      </c>
      <c r="T8" s="1340" t="s">
        <v>115</v>
      </c>
      <c r="U8" s="1341">
        <f t="shared" si="1"/>
        <v>0</v>
      </c>
      <c r="V8" s="1340" t="s">
        <v>115</v>
      </c>
      <c r="W8" s="1341">
        <f t="shared" si="2"/>
        <v>0</v>
      </c>
      <c r="X8" s="287"/>
      <c r="Y8" s="3654" t="s">
        <v>997</v>
      </c>
      <c r="Z8" s="3655"/>
      <c r="AA8" s="1342" t="e">
        <f t="shared" ref="AA8:AA19" si="3">D8/F8</f>
        <v>#DIV/0!</v>
      </c>
      <c r="AB8" s="1342" t="e">
        <f t="shared" ref="AB8:AB19" si="4">D8/H8</f>
        <v>#DIV/0!</v>
      </c>
      <c r="AC8" s="1342" t="e">
        <f t="shared" ref="AC8:AC19" si="5">D8/J8</f>
        <v>#DIV/0!</v>
      </c>
    </row>
    <row r="9" spans="1:29" s="40" customFormat="1" ht="14.25">
      <c r="A9" s="1019" t="s">
        <v>998</v>
      </c>
      <c r="B9" s="62" t="s">
        <v>999</v>
      </c>
      <c r="C9" s="1344"/>
      <c r="D9" s="425">
        <v>100</v>
      </c>
      <c r="E9" s="1345"/>
      <c r="F9" s="759">
        <f>SUMIF(63:63,E9,64:64)-SUMIF(63:63,C9,64:64)+100</f>
        <v>100</v>
      </c>
      <c r="G9" s="1346"/>
      <c r="H9" s="425">
        <f>SUMIF(63:63,G9,64:64)-SUMIF(63:63,C9,64:64)+100</f>
        <v>100</v>
      </c>
      <c r="I9" s="1346"/>
      <c r="J9" s="425">
        <f>SUMIF(63:63,I9,64:64)-SUMIF(63:63,C9,64:64)+100</f>
        <v>100</v>
      </c>
      <c r="K9" s="1339"/>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767"/>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9"/>
      <c r="M11" s="2295"/>
      <c r="N11" s="2295"/>
      <c r="O11" s="2295"/>
      <c r="P11" s="3629"/>
      <c r="Q11" s="7" t="str">
        <f t="shared" si="6"/>
        <v>容积率</v>
      </c>
      <c r="R11" s="1340" t="s">
        <v>104</v>
      </c>
      <c r="S11" s="1341" t="e">
        <f t="shared" si="0"/>
        <v>#N/A</v>
      </c>
      <c r="T11" s="1340" t="s">
        <v>104</v>
      </c>
      <c r="U11" s="1341" t="e">
        <f t="shared" si="1"/>
        <v>#N/A</v>
      </c>
      <c r="V11" s="1340" t="s">
        <v>104</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6"/>
      <c r="M12" s="2258"/>
      <c r="N12" s="2258"/>
      <c r="O12" s="2258"/>
      <c r="P12" s="3629"/>
      <c r="Q12" s="7">
        <f t="shared" si="6"/>
        <v>111</v>
      </c>
      <c r="R12" s="1340" t="s">
        <v>104</v>
      </c>
      <c r="S12" s="1341">
        <f t="shared" si="0"/>
        <v>100</v>
      </c>
      <c r="T12" s="1340" t="s">
        <v>104</v>
      </c>
      <c r="U12" s="1341">
        <f t="shared" si="1"/>
        <v>100</v>
      </c>
      <c r="V12" s="1340" t="s">
        <v>104</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9"/>
      <c r="Q13" s="7">
        <f t="shared" si="6"/>
        <v>111</v>
      </c>
      <c r="R13" s="1340" t="s">
        <v>104</v>
      </c>
      <c r="S13" s="1341">
        <f t="shared" si="0"/>
        <v>100</v>
      </c>
      <c r="T13" s="1340" t="s">
        <v>104</v>
      </c>
      <c r="U13" s="1341">
        <f t="shared" si="1"/>
        <v>100</v>
      </c>
      <c r="V13" s="1340" t="s">
        <v>104</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9"/>
      <c r="Q14" s="7">
        <f t="shared" si="6"/>
        <v>111</v>
      </c>
      <c r="R14" s="1340" t="s">
        <v>104</v>
      </c>
      <c r="S14" s="1341">
        <f t="shared" si="0"/>
        <v>100</v>
      </c>
      <c r="T14" s="1340" t="s">
        <v>104</v>
      </c>
      <c r="U14" s="1341">
        <f t="shared" si="1"/>
        <v>100</v>
      </c>
      <c r="V14" s="1340" t="s">
        <v>104</v>
      </c>
      <c r="W14" s="1341">
        <f t="shared" si="2"/>
        <v>100</v>
      </c>
      <c r="X14" s="287"/>
      <c r="Y14" s="3412"/>
      <c r="Z14" s="288">
        <f t="shared" si="7"/>
        <v>111</v>
      </c>
      <c r="AA14" s="1342">
        <f t="shared" si="3"/>
        <v>1</v>
      </c>
      <c r="AB14" s="1342">
        <f t="shared" si="4"/>
        <v>1</v>
      </c>
      <c r="AC14" s="1342">
        <f t="shared" si="5"/>
        <v>1</v>
      </c>
    </row>
    <row r="15" spans="1:29" ht="15">
      <c r="A15" s="155" t="s">
        <v>69</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27" t="s">
        <v>69</v>
      </c>
      <c r="Q15" s="1349" t="str">
        <f t="shared" si="6"/>
        <v>居住社区成熟度</v>
      </c>
      <c r="R15" s="1350" t="s">
        <v>104</v>
      </c>
      <c r="S15" s="1351">
        <f t="shared" si="0"/>
        <v>100</v>
      </c>
      <c r="T15" s="1350" t="s">
        <v>104</v>
      </c>
      <c r="U15" s="1351">
        <f t="shared" si="1"/>
        <v>100</v>
      </c>
      <c r="V15" s="1350" t="s">
        <v>104</v>
      </c>
      <c r="W15" s="1351">
        <f t="shared" si="2"/>
        <v>100</v>
      </c>
      <c r="X15" s="1338"/>
      <c r="Y15" s="3620"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0"/>
      <c r="M16" s="2295"/>
      <c r="N16" s="2295"/>
      <c r="O16" s="2295"/>
      <c r="P16" s="3628"/>
      <c r="Q16" s="1349"/>
      <c r="R16" s="1350"/>
      <c r="S16" s="1351"/>
      <c r="T16" s="1350"/>
      <c r="U16" s="1351"/>
      <c r="V16" s="1350"/>
      <c r="W16" s="1351"/>
      <c r="X16" s="1338"/>
      <c r="Y16" s="3621"/>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28"/>
      <c r="Q17" s="1349" t="str">
        <f>B17</f>
        <v>交通便捷度</v>
      </c>
      <c r="R17" s="1350" t="s">
        <v>104</v>
      </c>
      <c r="S17" s="1351">
        <f>F17</f>
        <v>100</v>
      </c>
      <c r="T17" s="1350" t="s">
        <v>104</v>
      </c>
      <c r="U17" s="1351">
        <f>H17</f>
        <v>100</v>
      </c>
      <c r="V17" s="1350" t="s">
        <v>104</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0"/>
      <c r="M18" s="2295"/>
      <c r="N18" s="2295"/>
      <c r="O18" s="2295"/>
      <c r="P18" s="3628"/>
      <c r="Q18" s="1349"/>
      <c r="R18" s="1350"/>
      <c r="S18" s="1351"/>
      <c r="T18" s="1350"/>
      <c r="U18" s="1351"/>
      <c r="V18" s="1350"/>
      <c r="W18" s="1351"/>
      <c r="X18" s="1338"/>
      <c r="Y18" s="3621"/>
      <c r="Z18" s="1352"/>
      <c r="AA18" s="1353">
        <v>1</v>
      </c>
      <c r="AB18" s="1353">
        <v>1</v>
      </c>
      <c r="AC18" s="1353">
        <v>1</v>
      </c>
    </row>
    <row r="19" spans="1:29" ht="94.5">
      <c r="A19" s="151"/>
      <c r="B19" s="1354" t="s">
        <v>2637</v>
      </c>
      <c r="C19" s="158" t="str">
        <f>估价对象房地状况!C7</f>
        <v>估价对象所在区域公共配套设施齐备情况较好：蓝色未来幼儿园、北京市房山区第一医院良乡分部</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28"/>
      <c r="Q19" s="1349" t="str">
        <f>B19</f>
        <v>公共配套设施</v>
      </c>
      <c r="R19" s="1350" t="s">
        <v>104</v>
      </c>
      <c r="S19" s="1351">
        <f>F19</f>
        <v>100</v>
      </c>
      <c r="T19" s="1350" t="s">
        <v>104</v>
      </c>
      <c r="U19" s="1351">
        <f>H19</f>
        <v>100</v>
      </c>
      <c r="V19" s="1350" t="s">
        <v>104</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0"/>
      <c r="M20" s="2295"/>
      <c r="N20" s="2295"/>
      <c r="O20" s="2295"/>
      <c r="P20" s="3628"/>
      <c r="Q20" s="1349"/>
      <c r="R20" s="1350"/>
      <c r="S20" s="1351"/>
      <c r="T20" s="1350"/>
      <c r="U20" s="1351"/>
      <c r="V20" s="1350"/>
      <c r="W20" s="1351"/>
      <c r="X20" s="1338"/>
      <c r="Y20" s="3621"/>
      <c r="Z20" s="1352"/>
      <c r="AA20" s="1353">
        <v>1</v>
      </c>
      <c r="AB20" s="1353">
        <v>1</v>
      </c>
      <c r="AC20" s="1353">
        <v>1</v>
      </c>
    </row>
    <row r="21" spans="1:29" ht="40.5">
      <c r="A21" s="151"/>
      <c r="B21" s="1410" t="s">
        <v>2648</v>
      </c>
      <c r="C21" s="158" t="str">
        <f>估价对象房地状况!C8</f>
        <v>估价对象所在区域基础设施水平：七通</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2"/>
      <c r="L22" s="2300"/>
      <c r="M22" s="2295"/>
      <c r="N22" s="2295"/>
      <c r="O22" s="2295"/>
      <c r="P22" s="3628"/>
      <c r="Q22" s="2745"/>
      <c r="R22" s="1350"/>
      <c r="S22" s="1351"/>
      <c r="T22" s="1350"/>
      <c r="U22" s="1351"/>
      <c r="V22" s="1350"/>
      <c r="W22" s="1351"/>
      <c r="X22" s="2747"/>
      <c r="Y22" s="3621"/>
      <c r="Z22" s="2746"/>
      <c r="AA22" s="1353">
        <v>1</v>
      </c>
      <c r="AB22" s="1353">
        <v>1</v>
      </c>
      <c r="AC22" s="1353">
        <v>1</v>
      </c>
    </row>
    <row r="23" spans="1:29" ht="67.5">
      <c r="A23" s="151"/>
      <c r="B23" s="1354" t="s">
        <v>73</v>
      </c>
      <c r="C23" s="158" t="str">
        <f>估价对象房地状况!C9</f>
        <v>区域自然环境：良乡塔；人文环境：良乡文化广场；综合评价环境状况一般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28"/>
      <c r="Q23" s="1349" t="str">
        <f>B23</f>
        <v>自然及人文环境</v>
      </c>
      <c r="R23" s="1350" t="s">
        <v>104</v>
      </c>
      <c r="S23" s="1351">
        <f>F23</f>
        <v>100</v>
      </c>
      <c r="T23" s="1350" t="s">
        <v>104</v>
      </c>
      <c r="U23" s="1351">
        <f>H23</f>
        <v>100</v>
      </c>
      <c r="V23" s="1350" t="s">
        <v>104</v>
      </c>
      <c r="W23" s="1351">
        <f>J23</f>
        <v>100</v>
      </c>
      <c r="X23" s="1338"/>
      <c r="Y23" s="3621"/>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0"/>
      <c r="M24" s="2295"/>
      <c r="N24" s="2295"/>
      <c r="O24" s="2295"/>
      <c r="P24" s="3628"/>
      <c r="Q24" s="1349"/>
      <c r="R24" s="1350"/>
      <c r="S24" s="1351"/>
      <c r="T24" s="1350"/>
      <c r="U24" s="1351"/>
      <c r="V24" s="1350"/>
      <c r="W24" s="1351"/>
      <c r="X24" s="1338"/>
      <c r="Y24" s="3621"/>
      <c r="Z24" s="1352"/>
      <c r="AA24" s="1353">
        <v>1</v>
      </c>
      <c r="AB24" s="1353">
        <v>1</v>
      </c>
      <c r="AC24" s="1353">
        <v>1</v>
      </c>
    </row>
    <row r="25" spans="1:29" ht="15">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2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2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28"/>
      <c r="Q26" s="1349" t="str">
        <f t="shared" si="11"/>
        <v>朝向</v>
      </c>
      <c r="R26" s="1350" t="s">
        <v>104</v>
      </c>
      <c r="S26" s="1351">
        <f t="shared" si="12"/>
        <v>100</v>
      </c>
      <c r="T26" s="1350" t="s">
        <v>104</v>
      </c>
      <c r="U26" s="1351">
        <f t="shared" si="13"/>
        <v>100</v>
      </c>
      <c r="V26" s="1350" t="s">
        <v>104</v>
      </c>
      <c r="W26" s="1351">
        <f t="shared" si="14"/>
        <v>100</v>
      </c>
      <c r="X26" s="1338"/>
      <c r="Y26" s="3621"/>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28"/>
      <c r="Q27" s="7">
        <f t="shared" si="11"/>
        <v>111</v>
      </c>
      <c r="R27" s="1340" t="s">
        <v>104</v>
      </c>
      <c r="S27" s="1341">
        <f t="shared" si="12"/>
        <v>100</v>
      </c>
      <c r="T27" s="1340" t="s">
        <v>104</v>
      </c>
      <c r="U27" s="1341">
        <f t="shared" si="13"/>
        <v>100</v>
      </c>
      <c r="V27" s="1340" t="s">
        <v>104</v>
      </c>
      <c r="W27" s="1341">
        <f t="shared" si="14"/>
        <v>100</v>
      </c>
      <c r="X27" s="287"/>
      <c r="Y27" s="3621"/>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28"/>
      <c r="Q28" s="1349">
        <f t="shared" si="11"/>
        <v>111</v>
      </c>
      <c r="R28" s="1350" t="s">
        <v>104</v>
      </c>
      <c r="S28" s="1351">
        <f t="shared" si="12"/>
        <v>100</v>
      </c>
      <c r="T28" s="1350" t="s">
        <v>104</v>
      </c>
      <c r="U28" s="1351">
        <f t="shared" si="13"/>
        <v>100</v>
      </c>
      <c r="V28" s="1350" t="s">
        <v>104</v>
      </c>
      <c r="W28" s="1351">
        <f t="shared" si="14"/>
        <v>100</v>
      </c>
      <c r="X28" s="1338"/>
      <c r="Y28" s="3621"/>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28"/>
      <c r="Q29" s="1349">
        <f t="shared" si="11"/>
        <v>111</v>
      </c>
      <c r="R29" s="1350" t="s">
        <v>104</v>
      </c>
      <c r="S29" s="1351">
        <f t="shared" si="12"/>
        <v>100</v>
      </c>
      <c r="T29" s="1350" t="s">
        <v>104</v>
      </c>
      <c r="U29" s="1351">
        <f t="shared" si="13"/>
        <v>100</v>
      </c>
      <c r="V29" s="1350" t="s">
        <v>104</v>
      </c>
      <c r="W29" s="1351">
        <f t="shared" si="14"/>
        <v>100</v>
      </c>
      <c r="X29" s="1338"/>
      <c r="Y29" s="3621"/>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28"/>
      <c r="Q30" s="1349">
        <f t="shared" si="11"/>
        <v>111</v>
      </c>
      <c r="R30" s="1350" t="s">
        <v>104</v>
      </c>
      <c r="S30" s="1351">
        <f t="shared" si="12"/>
        <v>100</v>
      </c>
      <c r="T30" s="1350" t="s">
        <v>104</v>
      </c>
      <c r="U30" s="1351">
        <f t="shared" si="13"/>
        <v>100</v>
      </c>
      <c r="V30" s="1350" t="s">
        <v>104</v>
      </c>
      <c r="W30" s="1351">
        <f t="shared" si="14"/>
        <v>100</v>
      </c>
      <c r="X30" s="1338"/>
      <c r="Y30" s="3621"/>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28"/>
      <c r="Q31" s="1349">
        <f t="shared" si="11"/>
        <v>111</v>
      </c>
      <c r="R31" s="1350" t="s">
        <v>104</v>
      </c>
      <c r="S31" s="1351">
        <f t="shared" si="12"/>
        <v>100</v>
      </c>
      <c r="T31" s="1350" t="s">
        <v>104</v>
      </c>
      <c r="U31" s="1351">
        <f t="shared" si="13"/>
        <v>100</v>
      </c>
      <c r="V31" s="1350" t="s">
        <v>104</v>
      </c>
      <c r="W31" s="1351">
        <f t="shared" si="14"/>
        <v>100</v>
      </c>
      <c r="X31" s="1338"/>
      <c r="Y31" s="3621"/>
      <c r="Z31" s="1352">
        <f t="shared" si="18"/>
        <v>111</v>
      </c>
      <c r="AA31" s="1353">
        <f t="shared" si="15"/>
        <v>1</v>
      </c>
      <c r="AB31" s="1353">
        <f t="shared" si="16"/>
        <v>1</v>
      </c>
      <c r="AC31" s="1353">
        <f t="shared" si="17"/>
        <v>1</v>
      </c>
    </row>
    <row r="32" spans="1:29" ht="15">
      <c r="A32" s="155" t="s">
        <v>1000</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22" t="s">
        <v>70</v>
      </c>
      <c r="Q32" s="1349" t="str">
        <f t="shared" si="11"/>
        <v>建筑类型</v>
      </c>
      <c r="R32" s="1350" t="s">
        <v>104</v>
      </c>
      <c r="S32" s="1351">
        <f t="shared" si="12"/>
        <v>100</v>
      </c>
      <c r="T32" s="1350" t="s">
        <v>104</v>
      </c>
      <c r="U32" s="1351">
        <f t="shared" si="13"/>
        <v>100</v>
      </c>
      <c r="V32" s="1350" t="s">
        <v>104</v>
      </c>
      <c r="W32" s="1351">
        <f t="shared" si="14"/>
        <v>100</v>
      </c>
      <c r="X32" s="1338"/>
      <c r="Y32" s="3625" t="s">
        <v>70</v>
      </c>
      <c r="Z32" s="1352" t="str">
        <f t="shared" si="18"/>
        <v>建筑类型</v>
      </c>
      <c r="AA32" s="1353">
        <f t="shared" si="15"/>
        <v>1</v>
      </c>
      <c r="AB32" s="1353">
        <f t="shared" si="16"/>
        <v>1</v>
      </c>
      <c r="AC32" s="1353">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9"/>
      <c r="M33" s="2301"/>
      <c r="N33" s="2301"/>
      <c r="O33" s="2301"/>
      <c r="P33" s="3623"/>
      <c r="Q33" s="1357" t="str">
        <f t="shared" si="11"/>
        <v>项目建筑规模</v>
      </c>
      <c r="R33" s="1358" t="s">
        <v>104</v>
      </c>
      <c r="S33" s="1359" t="e">
        <f t="shared" si="12"/>
        <v>#N/A</v>
      </c>
      <c r="T33" s="1358" t="s">
        <v>104</v>
      </c>
      <c r="U33" s="1359" t="e">
        <f t="shared" si="13"/>
        <v>#N/A</v>
      </c>
      <c r="V33" s="1358" t="s">
        <v>104</v>
      </c>
      <c r="W33" s="1359" t="e">
        <f t="shared" si="14"/>
        <v>#N/A</v>
      </c>
      <c r="X33" s="1360"/>
      <c r="Y33" s="3625"/>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23"/>
      <c r="Q34" s="1349" t="str">
        <f t="shared" si="11"/>
        <v>建筑结构</v>
      </c>
      <c r="R34" s="1350" t="s">
        <v>104</v>
      </c>
      <c r="S34" s="1351">
        <f t="shared" si="12"/>
        <v>100</v>
      </c>
      <c r="T34" s="1350" t="s">
        <v>104</v>
      </c>
      <c r="U34" s="1351">
        <f t="shared" si="13"/>
        <v>100</v>
      </c>
      <c r="V34" s="1350" t="s">
        <v>104</v>
      </c>
      <c r="W34" s="1351">
        <f t="shared" si="14"/>
        <v>100</v>
      </c>
      <c r="X34" s="1338"/>
      <c r="Y34" s="3625"/>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23"/>
      <c r="Q35" s="1349" t="str">
        <f t="shared" si="11"/>
        <v>建筑品质</v>
      </c>
      <c r="R35" s="1350" t="s">
        <v>104</v>
      </c>
      <c r="S35" s="1351">
        <f t="shared" si="12"/>
        <v>100</v>
      </c>
      <c r="T35" s="1350" t="s">
        <v>104</v>
      </c>
      <c r="U35" s="1351">
        <f t="shared" si="13"/>
        <v>100</v>
      </c>
      <c r="V35" s="1350" t="s">
        <v>104</v>
      </c>
      <c r="W35" s="1351">
        <f t="shared" si="14"/>
        <v>100</v>
      </c>
      <c r="X35" s="1338"/>
      <c r="Y35" s="3625"/>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23"/>
      <c r="Q36" s="1349" t="str">
        <f t="shared" si="11"/>
        <v>公共部分装修</v>
      </c>
      <c r="R36" s="1350" t="s">
        <v>104</v>
      </c>
      <c r="S36" s="1351">
        <f t="shared" si="12"/>
        <v>100</v>
      </c>
      <c r="T36" s="1350" t="s">
        <v>104</v>
      </c>
      <c r="U36" s="1351">
        <f t="shared" si="13"/>
        <v>100</v>
      </c>
      <c r="V36" s="1350" t="s">
        <v>104</v>
      </c>
      <c r="W36" s="1351">
        <f t="shared" si="14"/>
        <v>100</v>
      </c>
      <c r="X36" s="1338"/>
      <c r="Y36" s="3625"/>
      <c r="Z36" s="1352" t="str">
        <f t="shared" si="18"/>
        <v>公共部分装修</v>
      </c>
      <c r="AA36" s="1353">
        <f t="shared" si="15"/>
        <v>1</v>
      </c>
      <c r="AB36" s="1353">
        <f t="shared" si="16"/>
        <v>1</v>
      </c>
      <c r="AC36" s="1353">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6"/>
      <c r="M37" s="2258"/>
      <c r="N37" s="2258"/>
      <c r="O37" s="2258"/>
      <c r="P37" s="3623"/>
      <c r="Q37" s="7" t="str">
        <f t="shared" si="11"/>
        <v>成新度</v>
      </c>
      <c r="R37" s="1340" t="s">
        <v>104</v>
      </c>
      <c r="S37" s="1341" t="e">
        <f t="shared" si="12"/>
        <v>#N/A</v>
      </c>
      <c r="T37" s="1340" t="s">
        <v>104</v>
      </c>
      <c r="U37" s="1341" t="e">
        <f t="shared" si="13"/>
        <v>#N/A</v>
      </c>
      <c r="V37" s="1340" t="s">
        <v>104</v>
      </c>
      <c r="W37" s="1341" t="e">
        <f t="shared" si="14"/>
        <v>#N/A</v>
      </c>
      <c r="X37" s="287"/>
      <c r="Y37" s="3625"/>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23" t="s">
        <v>70</v>
      </c>
      <c r="Q38" s="1349" t="str">
        <f t="shared" si="11"/>
        <v>物业管理</v>
      </c>
      <c r="R38" s="1350" t="s">
        <v>104</v>
      </c>
      <c r="S38" s="1351">
        <f t="shared" si="12"/>
        <v>100</v>
      </c>
      <c r="T38" s="1350" t="s">
        <v>104</v>
      </c>
      <c r="U38" s="1351">
        <f t="shared" si="13"/>
        <v>100</v>
      </c>
      <c r="V38" s="1350" t="s">
        <v>104</v>
      </c>
      <c r="W38" s="1351">
        <f t="shared" si="14"/>
        <v>100</v>
      </c>
      <c r="X38" s="1338"/>
      <c r="Y38" s="3625" t="s">
        <v>70</v>
      </c>
      <c r="Z38" s="1352" t="str">
        <f t="shared" si="18"/>
        <v>物业管理</v>
      </c>
      <c r="AA38" s="1353">
        <f t="shared" si="15"/>
        <v>1</v>
      </c>
      <c r="AB38" s="1353">
        <f t="shared" si="16"/>
        <v>1</v>
      </c>
      <c r="AC38" s="1353">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23"/>
      <c r="Q39" s="1349" t="str">
        <f t="shared" si="11"/>
        <v>市政基础设施</v>
      </c>
      <c r="R39" s="1350" t="s">
        <v>104</v>
      </c>
      <c r="S39" s="1351">
        <f t="shared" si="12"/>
        <v>100</v>
      </c>
      <c r="T39" s="1350" t="s">
        <v>104</v>
      </c>
      <c r="U39" s="1351">
        <f t="shared" si="13"/>
        <v>100</v>
      </c>
      <c r="V39" s="1350" t="s">
        <v>104</v>
      </c>
      <c r="W39" s="1351">
        <f t="shared" si="14"/>
        <v>100</v>
      </c>
      <c r="X39" s="1338"/>
      <c r="Y39" s="3625"/>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23"/>
      <c r="Q40" s="1349" t="str">
        <f t="shared" si="11"/>
        <v>房型</v>
      </c>
      <c r="R40" s="1350" t="s">
        <v>104</v>
      </c>
      <c r="S40" s="1351">
        <f t="shared" si="12"/>
        <v>100</v>
      </c>
      <c r="T40" s="1350" t="s">
        <v>104</v>
      </c>
      <c r="U40" s="1351">
        <f t="shared" si="13"/>
        <v>100</v>
      </c>
      <c r="V40" s="1350" t="s">
        <v>104</v>
      </c>
      <c r="W40" s="1351">
        <f t="shared" si="14"/>
        <v>100</v>
      </c>
      <c r="X40" s="1338"/>
      <c r="Y40" s="3625"/>
      <c r="Z40" s="1352" t="str">
        <f t="shared" si="18"/>
        <v>房型</v>
      </c>
      <c r="AA40" s="1353">
        <f t="shared" si="15"/>
        <v>1</v>
      </c>
      <c r="AB40" s="1353">
        <f t="shared" si="16"/>
        <v>1</v>
      </c>
      <c r="AC40" s="1353">
        <f t="shared" si="17"/>
        <v>1</v>
      </c>
    </row>
    <row r="41" spans="1:29" s="1037" customFormat="1" ht="27">
      <c r="A41" s="1041"/>
      <c r="B41" s="12" t="s">
        <v>105</v>
      </c>
      <c r="C41" s="1356"/>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9"/>
      <c r="M41" s="2301"/>
      <c r="N41" s="2301"/>
      <c r="O41" s="2301"/>
      <c r="P41" s="3623"/>
      <c r="Q41" s="1357" t="str">
        <f t="shared" si="11"/>
        <v>单套/主力户型建筑面积</v>
      </c>
      <c r="R41" s="1358" t="s">
        <v>104</v>
      </c>
      <c r="S41" s="1359">
        <f t="shared" si="12"/>
        <v>100</v>
      </c>
      <c r="T41" s="1358" t="s">
        <v>104</v>
      </c>
      <c r="U41" s="1359">
        <f t="shared" si="13"/>
        <v>100</v>
      </c>
      <c r="V41" s="1358" t="s">
        <v>104</v>
      </c>
      <c r="W41" s="1359">
        <f t="shared" si="14"/>
        <v>100</v>
      </c>
      <c r="X41" s="1360"/>
      <c r="Y41" s="3625"/>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23"/>
      <c r="Q42" s="1349" t="str">
        <f t="shared" si="11"/>
        <v>内部装修</v>
      </c>
      <c r="R42" s="1350" t="s">
        <v>104</v>
      </c>
      <c r="S42" s="1351">
        <f t="shared" si="12"/>
        <v>100</v>
      </c>
      <c r="T42" s="1350" t="s">
        <v>104</v>
      </c>
      <c r="U42" s="1351">
        <f t="shared" si="13"/>
        <v>100</v>
      </c>
      <c r="V42" s="1350" t="s">
        <v>104</v>
      </c>
      <c r="W42" s="1351">
        <f t="shared" si="14"/>
        <v>100</v>
      </c>
      <c r="X42" s="1338"/>
      <c r="Y42" s="3625"/>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23"/>
      <c r="Q43" s="1349" t="str">
        <f t="shared" si="11"/>
        <v>内部装修维护情况</v>
      </c>
      <c r="R43" s="1350" t="s">
        <v>104</v>
      </c>
      <c r="S43" s="1351">
        <f t="shared" si="12"/>
        <v>100</v>
      </c>
      <c r="T43" s="1350" t="s">
        <v>104</v>
      </c>
      <c r="U43" s="1351">
        <f t="shared" si="13"/>
        <v>100</v>
      </c>
      <c r="V43" s="1350" t="s">
        <v>104</v>
      </c>
      <c r="W43" s="1351">
        <f t="shared" si="14"/>
        <v>100</v>
      </c>
      <c r="X43" s="1338"/>
      <c r="Y43" s="3625"/>
      <c r="Z43" s="1352" t="str">
        <f t="shared" si="18"/>
        <v>内部装修维护情况</v>
      </c>
      <c r="AA43" s="1353">
        <f t="shared" si="15"/>
        <v>1</v>
      </c>
      <c r="AB43" s="1353">
        <f t="shared" si="16"/>
        <v>1</v>
      </c>
      <c r="AC43" s="1353">
        <f t="shared" si="17"/>
        <v>1</v>
      </c>
    </row>
    <row r="44" spans="1:29" s="40" customFormat="1" ht="14.25">
      <c r="A44" s="1039"/>
      <c r="B44" s="1355">
        <v>111</v>
      </c>
      <c r="C44" s="1356"/>
      <c r="D44" s="426">
        <v>100</v>
      </c>
      <c r="E44" s="1356"/>
      <c r="F44" s="766">
        <f>SUMIF(126:126,E44,127:127)-SUMIF(126:126,C44,127:127)+100</f>
        <v>100</v>
      </c>
      <c r="G44" s="1356"/>
      <c r="H44" s="426">
        <f>SUMIF(126:126,G44,127:127)-SUMIF(126:126,C44,127:127)+100</f>
        <v>100</v>
      </c>
      <c r="I44" s="1356"/>
      <c r="J44" s="426">
        <f>SUMIF(126:126,I44,127:127)-SUMIF(126:126,C44,127:127)+100</f>
        <v>100</v>
      </c>
      <c r="K44" s="153"/>
      <c r="L44" s="2296"/>
      <c r="M44" s="2258"/>
      <c r="N44" s="2258"/>
      <c r="O44" s="2258"/>
      <c r="P44" s="3623"/>
      <c r="Q44" s="7">
        <f t="shared" si="11"/>
        <v>111</v>
      </c>
      <c r="R44" s="1340" t="s">
        <v>104</v>
      </c>
      <c r="S44" s="1341">
        <f t="shared" si="12"/>
        <v>100</v>
      </c>
      <c r="T44" s="1340" t="s">
        <v>104</v>
      </c>
      <c r="U44" s="1341">
        <f t="shared" si="13"/>
        <v>100</v>
      </c>
      <c r="V44" s="1340" t="s">
        <v>104</v>
      </c>
      <c r="W44" s="1341">
        <f t="shared" si="14"/>
        <v>100</v>
      </c>
      <c r="X44" s="287"/>
      <c r="Y44" s="3625"/>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23"/>
      <c r="Q45" s="1349">
        <f t="shared" si="11"/>
        <v>111</v>
      </c>
      <c r="R45" s="1350" t="s">
        <v>104</v>
      </c>
      <c r="S45" s="1351">
        <f t="shared" si="12"/>
        <v>100</v>
      </c>
      <c r="T45" s="1350" t="s">
        <v>104</v>
      </c>
      <c r="U45" s="1351">
        <f t="shared" si="13"/>
        <v>100</v>
      </c>
      <c r="V45" s="1350" t="s">
        <v>104</v>
      </c>
      <c r="W45" s="1351">
        <f t="shared" si="14"/>
        <v>100</v>
      </c>
      <c r="X45" s="1338"/>
      <c r="Y45" s="3625"/>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24"/>
      <c r="Q46" s="1349">
        <f t="shared" si="11"/>
        <v>111</v>
      </c>
      <c r="R46" s="1350" t="s">
        <v>103</v>
      </c>
      <c r="S46" s="1351">
        <f t="shared" si="12"/>
        <v>100</v>
      </c>
      <c r="T46" s="1350" t="s">
        <v>103</v>
      </c>
      <c r="U46" s="1351">
        <f t="shared" si="13"/>
        <v>100</v>
      </c>
      <c r="V46" s="1350" t="s">
        <v>103</v>
      </c>
      <c r="W46" s="1351">
        <f t="shared" si="14"/>
        <v>100</v>
      </c>
      <c r="X46" s="1338"/>
      <c r="Y46" s="3626"/>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18" t="str">
        <f>A47</f>
        <v>成交单价（元/平方米）</v>
      </c>
      <c r="Q47" s="3618"/>
      <c r="R47" s="3619">
        <f>E47</f>
        <v>0</v>
      </c>
      <c r="S47" s="3619"/>
      <c r="T47" s="3619">
        <f>G47</f>
        <v>0</v>
      </c>
      <c r="U47" s="3619"/>
      <c r="V47" s="3619">
        <f>I47</f>
        <v>0</v>
      </c>
      <c r="W47" s="3619"/>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75" thickBot="1">
      <c r="A49" s="115" t="s">
        <v>3023</v>
      </c>
      <c r="B49" s="116"/>
      <c r="C49" s="2841" t="e">
        <f>R49</f>
        <v>#DIV/0!</v>
      </c>
      <c r="D49" s="2842"/>
      <c r="E49" s="2842"/>
      <c r="F49" s="2842"/>
      <c r="G49" s="2842"/>
      <c r="H49" s="2842"/>
      <c r="I49" s="2842"/>
      <c r="J49" s="2842"/>
      <c r="K49" s="1366"/>
      <c r="L49" s="2302"/>
      <c r="M49" s="2303"/>
      <c r="N49" s="2303"/>
      <c r="O49" s="2303"/>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2801</v>
      </c>
      <c r="B58" s="847"/>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1014</v>
      </c>
      <c r="D78" s="919" t="s">
        <v>1015</v>
      </c>
      <c r="E78" s="919" t="s">
        <v>1016</v>
      </c>
      <c r="F78" s="919" t="s">
        <v>1017</v>
      </c>
      <c r="G78" s="919" t="s">
        <v>1018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1014</v>
      </c>
      <c r="D80" s="919" t="s">
        <v>1015</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177" t="s">
        <v>2652</v>
      </c>
      <c r="D82" s="177" t="s">
        <v>2656</v>
      </c>
      <c r="E82" s="177" t="s">
        <v>2653</v>
      </c>
      <c r="F82" s="177" t="s">
        <v>2654</v>
      </c>
      <c r="G82" s="177" t="s">
        <v>2655</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425</v>
      </c>
      <c r="D124" s="919" t="s">
        <v>426</v>
      </c>
      <c r="E124" s="919" t="s">
        <v>427</v>
      </c>
      <c r="F124" s="919" t="s">
        <v>428</v>
      </c>
      <c r="G124" s="919" t="s">
        <v>429</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8" t="s">
        <v>2315</v>
      </c>
      <c r="E144" s="2163">
        <v>102</v>
      </c>
      <c r="F144" s="2170">
        <v>100</v>
      </c>
      <c r="G144" s="1158"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2">
        <f>IF(D1="",'数据-汇总表'!E3,SUMIF('数据-汇总表'!$C19:$C33,D1,'数据-汇总表'!$E19:$E33))</f>
        <v>123111.63</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33" t="s">
        <v>54</v>
      </c>
      <c r="D4" s="3634"/>
      <c r="E4" s="3635" t="s">
        <v>55</v>
      </c>
      <c r="F4" s="3636"/>
      <c r="G4" s="3633" t="s">
        <v>56</v>
      </c>
      <c r="H4" s="3634"/>
      <c r="I4" s="3633" t="s">
        <v>57</v>
      </c>
      <c r="J4" s="3634"/>
      <c r="K4" s="187" t="s">
        <v>58</v>
      </c>
      <c r="L4" s="2294"/>
      <c r="M4" s="2295"/>
      <c r="N4" s="2295"/>
      <c r="O4" s="2295"/>
      <c r="P4" s="3637" t="s">
        <v>53</v>
      </c>
      <c r="Q4" s="3638"/>
      <c r="R4" s="3643" t="s">
        <v>55</v>
      </c>
      <c r="S4" s="3644"/>
      <c r="T4" s="3643" t="s">
        <v>56</v>
      </c>
      <c r="U4" s="3644"/>
      <c r="V4" s="3649" t="s">
        <v>57</v>
      </c>
      <c r="W4" s="3649"/>
      <c r="X4" s="1338"/>
      <c r="Y4" s="3643" t="s">
        <v>53</v>
      </c>
      <c r="Z4" s="3644"/>
      <c r="AA4" s="3630" t="s">
        <v>55</v>
      </c>
      <c r="AB4" s="3649" t="s">
        <v>56</v>
      </c>
      <c r="AC4" s="3630" t="s">
        <v>57</v>
      </c>
    </row>
    <row r="5" spans="1:29">
      <c r="A5" s="146"/>
      <c r="B5" s="147"/>
      <c r="C5" s="3652" t="s">
        <v>59</v>
      </c>
      <c r="D5" s="3653"/>
      <c r="E5" s="3659" t="s">
        <v>60</v>
      </c>
      <c r="F5" s="3660"/>
      <c r="G5" s="3652" t="s">
        <v>61</v>
      </c>
      <c r="H5" s="3653"/>
      <c r="I5" s="3652" t="s">
        <v>62</v>
      </c>
      <c r="J5" s="3653"/>
      <c r="K5" s="187"/>
      <c r="L5" s="2294"/>
      <c r="M5" s="2295"/>
      <c r="N5" s="2295"/>
      <c r="O5" s="2295"/>
      <c r="P5" s="3639"/>
      <c r="Q5" s="3640"/>
      <c r="R5" s="3645"/>
      <c r="S5" s="3646"/>
      <c r="T5" s="3645"/>
      <c r="U5" s="3646"/>
      <c r="V5" s="3649"/>
      <c r="W5" s="3649"/>
      <c r="X5" s="1338"/>
      <c r="Y5" s="3645"/>
      <c r="Z5" s="3646"/>
      <c r="AA5" s="3631"/>
      <c r="AB5" s="3649"/>
      <c r="AC5" s="3631"/>
    </row>
    <row r="6" spans="1:29" ht="14.25" thickBot="1">
      <c r="A6" s="148"/>
      <c r="B6" s="149"/>
      <c r="C6" s="3650" t="s">
        <v>63</v>
      </c>
      <c r="D6" s="3651"/>
      <c r="E6" s="3657" t="s">
        <v>63</v>
      </c>
      <c r="F6" s="3658"/>
      <c r="G6" s="3650" t="s">
        <v>63</v>
      </c>
      <c r="H6" s="3651"/>
      <c r="I6" s="3650" t="s">
        <v>63</v>
      </c>
      <c r="J6" s="3651"/>
      <c r="K6" s="187" t="s">
        <v>117</v>
      </c>
      <c r="L6" s="2294"/>
      <c r="M6" s="2295"/>
      <c r="N6" s="2295"/>
      <c r="O6" s="2295"/>
      <c r="P6" s="3641"/>
      <c r="Q6" s="3642"/>
      <c r="R6" s="3645"/>
      <c r="S6" s="3646"/>
      <c r="T6" s="3647"/>
      <c r="U6" s="3648"/>
      <c r="V6" s="3649"/>
      <c r="W6" s="3649"/>
      <c r="X6" s="1338"/>
      <c r="Y6" s="3647"/>
      <c r="Z6" s="3648"/>
      <c r="AA6" s="3632"/>
      <c r="AB6" s="3649"/>
      <c r="AC6" s="3632"/>
    </row>
    <row r="7" spans="1:29" s="40" customFormat="1" ht="15" thickBot="1">
      <c r="A7" s="1012" t="s">
        <v>64</v>
      </c>
      <c r="B7" s="1013"/>
      <c r="C7" s="1014">
        <f>'数据-取费表'!B2</f>
        <v>42962</v>
      </c>
      <c r="D7" s="754">
        <v>100</v>
      </c>
      <c r="E7" s="1015"/>
      <c r="F7" s="756">
        <f>SUMIF(58:58,YEAR(E7)&amp;"-"&amp;MONTH(E7),59:59)</f>
        <v>0</v>
      </c>
      <c r="G7" s="1015"/>
      <c r="H7" s="754">
        <f>SUMIF(58:58,YEAR(G7)&amp;"-"&amp;MONTH(G7),59:59)</f>
        <v>0</v>
      </c>
      <c r="I7" s="1015"/>
      <c r="J7" s="754">
        <f>SUMIF(58:58,YEAR(I7)&amp;"-"&amp;MONTH(I7),59:59)</f>
        <v>0</v>
      </c>
      <c r="K7" s="1017"/>
      <c r="L7" s="2296"/>
      <c r="M7" s="2258"/>
      <c r="N7" s="2258"/>
      <c r="O7" s="2258"/>
      <c r="P7" s="3654" t="s">
        <v>64</v>
      </c>
      <c r="Q7" s="3656"/>
      <c r="R7" s="1340" t="s">
        <v>65</v>
      </c>
      <c r="S7" s="1341">
        <f t="shared" ref="S7:S15" si="0">F7</f>
        <v>0</v>
      </c>
      <c r="T7" s="1340" t="s">
        <v>65</v>
      </c>
      <c r="U7" s="1341">
        <f t="shared" ref="U7:U15" si="1">H7</f>
        <v>0</v>
      </c>
      <c r="V7" s="1340" t="s">
        <v>65</v>
      </c>
      <c r="W7" s="1341">
        <f t="shared" ref="W7:W15" si="2">J7</f>
        <v>0</v>
      </c>
      <c r="X7" s="287"/>
      <c r="Y7" s="3654" t="s">
        <v>64</v>
      </c>
      <c r="Z7" s="3655"/>
      <c r="AA7" s="1342" t="e">
        <f>D7/F7</f>
        <v>#DIV/0!</v>
      </c>
      <c r="AB7" s="1342" t="e">
        <f>D7/H7</f>
        <v>#DIV/0!</v>
      </c>
      <c r="AC7" s="1342"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6"/>
      <c r="M8" s="2258"/>
      <c r="N8" s="2258"/>
      <c r="O8" s="2258"/>
      <c r="P8" s="3654" t="s">
        <v>1019</v>
      </c>
      <c r="Q8" s="3655"/>
      <c r="R8" s="1340" t="s">
        <v>65</v>
      </c>
      <c r="S8" s="1341">
        <f t="shared" si="0"/>
        <v>0</v>
      </c>
      <c r="T8" s="1340" t="s">
        <v>65</v>
      </c>
      <c r="U8" s="1341">
        <f t="shared" si="1"/>
        <v>0</v>
      </c>
      <c r="V8" s="1340" t="s">
        <v>65</v>
      </c>
      <c r="W8" s="1341">
        <f t="shared" si="2"/>
        <v>0</v>
      </c>
      <c r="X8" s="287"/>
      <c r="Y8" s="3654" t="s">
        <v>1019</v>
      </c>
      <c r="Z8" s="3655"/>
      <c r="AA8" s="1342" t="e">
        <f t="shared" ref="AA8:AA46" si="3">D8/F8</f>
        <v>#DIV/0!</v>
      </c>
      <c r="AB8" s="1342" t="e">
        <f t="shared" ref="AB8:AB46" si="4">D8/H8</f>
        <v>#DIV/0!</v>
      </c>
      <c r="AC8" s="1342" t="e">
        <f t="shared" ref="AC8:AC46" si="5">D8/J8</f>
        <v>#DIV/0!</v>
      </c>
    </row>
    <row r="9" spans="1:29" s="40" customFormat="1" ht="14.25">
      <c r="A9" s="1019" t="s">
        <v>1020</v>
      </c>
      <c r="B9" s="62" t="s">
        <v>1021</v>
      </c>
      <c r="C9" s="1344"/>
      <c r="D9" s="425">
        <v>100</v>
      </c>
      <c r="E9" s="1345"/>
      <c r="F9" s="759">
        <f>SUMIF(63:63,E9,64:64)-SUMIF(63:63,C9,64:64)+100</f>
        <v>100</v>
      </c>
      <c r="G9" s="1345"/>
      <c r="H9" s="425">
        <f>SUMIF(63:63,G9,64:64)-SUMIF(63:63,C9,64:64)+100</f>
        <v>100</v>
      </c>
      <c r="I9" s="1345"/>
      <c r="J9" s="425">
        <f>SUMIF(63:63,I9,64:64)-SUMIF(63:63,C9,64:64)+100</f>
        <v>100</v>
      </c>
      <c r="K9" s="1017"/>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953"/>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9"/>
      <c r="M11" s="2295"/>
      <c r="N11" s="2295"/>
      <c r="O11" s="2295"/>
      <c r="P11" s="3629"/>
      <c r="Q11" s="7" t="str">
        <f t="shared" si="6"/>
        <v>容积率</v>
      </c>
      <c r="R11" s="1340" t="s">
        <v>65</v>
      </c>
      <c r="S11" s="1341" t="e">
        <f t="shared" si="0"/>
        <v>#N/A</v>
      </c>
      <c r="T11" s="1340" t="s">
        <v>65</v>
      </c>
      <c r="U11" s="1341" t="e">
        <f t="shared" si="1"/>
        <v>#N/A</v>
      </c>
      <c r="V11" s="1340" t="s">
        <v>65</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6"/>
      <c r="M12" s="2258"/>
      <c r="N12" s="2258"/>
      <c r="O12" s="2258"/>
      <c r="P12" s="3629"/>
      <c r="Q12" s="7">
        <f t="shared" si="6"/>
        <v>111</v>
      </c>
      <c r="R12" s="1340" t="s">
        <v>65</v>
      </c>
      <c r="S12" s="1341">
        <f t="shared" si="0"/>
        <v>100</v>
      </c>
      <c r="T12" s="1340" t="s">
        <v>65</v>
      </c>
      <c r="U12" s="1341">
        <f t="shared" si="1"/>
        <v>100</v>
      </c>
      <c r="V12" s="1340" t="s">
        <v>65</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9"/>
      <c r="Q13" s="7">
        <f t="shared" si="6"/>
        <v>111</v>
      </c>
      <c r="R13" s="1340" t="s">
        <v>65</v>
      </c>
      <c r="S13" s="1341">
        <f t="shared" si="0"/>
        <v>100</v>
      </c>
      <c r="T13" s="1340" t="s">
        <v>65</v>
      </c>
      <c r="U13" s="1341">
        <f t="shared" si="1"/>
        <v>100</v>
      </c>
      <c r="V13" s="1340" t="s">
        <v>65</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9"/>
      <c r="Q14" s="7">
        <f t="shared" si="6"/>
        <v>111</v>
      </c>
      <c r="R14" s="1340" t="s">
        <v>65</v>
      </c>
      <c r="S14" s="1341">
        <f t="shared" si="0"/>
        <v>100</v>
      </c>
      <c r="T14" s="1340" t="s">
        <v>65</v>
      </c>
      <c r="U14" s="1341">
        <f t="shared" si="1"/>
        <v>100</v>
      </c>
      <c r="V14" s="1340" t="s">
        <v>65</v>
      </c>
      <c r="W14" s="1341">
        <f t="shared" si="2"/>
        <v>100</v>
      </c>
      <c r="X14" s="287"/>
      <c r="Y14" s="3412"/>
      <c r="Z14" s="288">
        <f t="shared" si="7"/>
        <v>111</v>
      </c>
      <c r="AA14" s="1342">
        <f t="shared" si="3"/>
        <v>1</v>
      </c>
      <c r="AB14" s="1342">
        <f t="shared" si="4"/>
        <v>1</v>
      </c>
      <c r="AC14" s="1342">
        <f t="shared" si="5"/>
        <v>1</v>
      </c>
    </row>
    <row r="15" spans="1:29" ht="81">
      <c r="A15" s="155" t="s">
        <v>69</v>
      </c>
      <c r="B15" s="58" t="s">
        <v>130</v>
      </c>
      <c r="C15" s="157" t="str">
        <f>估价对象房地状况!C4</f>
        <v>估价对象周边有国泰百货、苏宁易购等，周边商业氛围较好，人流量较大，商业繁华度较好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27" t="s">
        <v>69</v>
      </c>
      <c r="Q15" s="1349" t="str">
        <f t="shared" si="6"/>
        <v>商业繁华度</v>
      </c>
      <c r="R15" s="1350" t="s">
        <v>65</v>
      </c>
      <c r="S15" s="1351">
        <f t="shared" si="0"/>
        <v>100</v>
      </c>
      <c r="T15" s="1350" t="s">
        <v>65</v>
      </c>
      <c r="U15" s="1351">
        <f t="shared" si="1"/>
        <v>100</v>
      </c>
      <c r="V15" s="1350" t="s">
        <v>65</v>
      </c>
      <c r="W15" s="1351">
        <f t="shared" si="2"/>
        <v>100</v>
      </c>
      <c r="X15" s="1338"/>
      <c r="Y15" s="3620"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28"/>
      <c r="Q16" s="1349"/>
      <c r="R16" s="1350"/>
      <c r="S16" s="1351"/>
      <c r="T16" s="1350"/>
      <c r="U16" s="1351"/>
      <c r="V16" s="1350"/>
      <c r="W16" s="1351"/>
      <c r="X16" s="1338"/>
      <c r="Y16" s="3621"/>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28"/>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28"/>
      <c r="Q18" s="1349"/>
      <c r="R18" s="1350"/>
      <c r="S18" s="1351"/>
      <c r="T18" s="1350"/>
      <c r="U18" s="1351"/>
      <c r="V18" s="1350"/>
      <c r="W18" s="1351"/>
      <c r="X18" s="1338"/>
      <c r="Y18" s="3621"/>
      <c r="Z18" s="1352"/>
      <c r="AA18" s="1353">
        <v>1</v>
      </c>
      <c r="AB18" s="1353">
        <v>1</v>
      </c>
      <c r="AC18" s="1353">
        <v>1</v>
      </c>
    </row>
    <row r="19" spans="1:29" ht="94.5">
      <c r="A19" s="151"/>
      <c r="B19" s="1354" t="s">
        <v>2657</v>
      </c>
      <c r="C19" s="158" t="str">
        <f>估价对象房地状况!C7</f>
        <v>估价对象所在区域公共配套设施齐备情况较好：蓝色未来幼儿园、北京市房山区第一医院良乡分部</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28"/>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28"/>
      <c r="Q20" s="1349"/>
      <c r="R20" s="1350"/>
      <c r="S20" s="1351"/>
      <c r="T20" s="1350"/>
      <c r="U20" s="1351"/>
      <c r="V20" s="1350"/>
      <c r="W20" s="1351"/>
      <c r="X20" s="1338"/>
      <c r="Y20" s="3621"/>
      <c r="Z20" s="1352"/>
      <c r="AA20" s="1353">
        <v>1</v>
      </c>
      <c r="AB20" s="1353">
        <v>1</v>
      </c>
      <c r="AC20" s="1353">
        <v>1</v>
      </c>
    </row>
    <row r="21" spans="1:29" ht="40.5">
      <c r="A21" s="151"/>
      <c r="B21" s="1410" t="s">
        <v>2658</v>
      </c>
      <c r="C21" s="158" t="str">
        <f>估价对象房地状况!C8</f>
        <v>估价对象所在区域基础设施水平：七通</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28"/>
      <c r="Q22" s="2745"/>
      <c r="R22" s="1350"/>
      <c r="S22" s="1351"/>
      <c r="T22" s="1350"/>
      <c r="U22" s="1351"/>
      <c r="V22" s="1350"/>
      <c r="W22" s="1351"/>
      <c r="X22" s="2747"/>
      <c r="Y22" s="3621"/>
      <c r="Z22" s="2746"/>
      <c r="AA22" s="1353">
        <v>1</v>
      </c>
      <c r="AB22" s="1353">
        <v>1</v>
      </c>
      <c r="AC22" s="1353">
        <v>1</v>
      </c>
    </row>
    <row r="23" spans="1:29" ht="67.5">
      <c r="A23" s="151"/>
      <c r="B23" s="1354" t="s">
        <v>73</v>
      </c>
      <c r="C23" s="190" t="str">
        <f>估价对象房地状况!C9</f>
        <v>区域自然环境：良乡塔；人文环境：良乡文化广场；综合评价环境状况一般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28"/>
      <c r="Q23" s="1349" t="str">
        <f>B23</f>
        <v>自然及人文环境</v>
      </c>
      <c r="R23" s="1350" t="s">
        <v>65</v>
      </c>
      <c r="S23" s="1351">
        <f>F23</f>
        <v>100</v>
      </c>
      <c r="T23" s="1350" t="s">
        <v>65</v>
      </c>
      <c r="U23" s="1351">
        <f>H23</f>
        <v>100</v>
      </c>
      <c r="V23" s="1350" t="s">
        <v>65</v>
      </c>
      <c r="W23" s="1351">
        <f>J23</f>
        <v>100</v>
      </c>
      <c r="X23" s="1338"/>
      <c r="Y23" s="3621"/>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28"/>
      <c r="Q24" s="1349"/>
      <c r="R24" s="1350"/>
      <c r="S24" s="1351"/>
      <c r="T24" s="1350"/>
      <c r="U24" s="1351"/>
      <c r="V24" s="1350"/>
      <c r="W24" s="1351"/>
      <c r="X24" s="1338"/>
      <c r="Y24" s="3621"/>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28"/>
      <c r="Q25" s="1349" t="str">
        <f t="shared" ref="Q25:Q46" si="11">B25</f>
        <v>临街状况</v>
      </c>
      <c r="R25" s="1350" t="s">
        <v>65</v>
      </c>
      <c r="S25" s="1351">
        <f>F25</f>
        <v>100</v>
      </c>
      <c r="T25" s="1350" t="s">
        <v>65</v>
      </c>
      <c r="U25" s="1351">
        <f>H25</f>
        <v>100</v>
      </c>
      <c r="V25" s="1350" t="s">
        <v>65</v>
      </c>
      <c r="W25" s="1351">
        <f>J25</f>
        <v>100</v>
      </c>
      <c r="X25" s="1338"/>
      <c r="Y25" s="3621"/>
      <c r="Z25" s="1352" t="str">
        <f>Q25</f>
        <v>临街状况</v>
      </c>
      <c r="AA25" s="1353">
        <f t="shared" si="3"/>
        <v>1</v>
      </c>
      <c r="AB25" s="1353">
        <f t="shared" si="4"/>
        <v>1</v>
      </c>
      <c r="AC25" s="1353">
        <f t="shared" si="5"/>
        <v>1</v>
      </c>
    </row>
    <row r="26" spans="1:29" ht="14.25">
      <c r="A26" s="151"/>
      <c r="B26" s="1355" t="s">
        <v>1022</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28"/>
      <c r="Q26" s="1349" t="str">
        <f t="shared" si="11"/>
        <v>平面位置/可视性</v>
      </c>
      <c r="R26" s="1350" t="s">
        <v>65</v>
      </c>
      <c r="S26" s="1351">
        <f>F26</f>
        <v>100</v>
      </c>
      <c r="T26" s="1350" t="s">
        <v>65</v>
      </c>
      <c r="U26" s="1351">
        <f>H26</f>
        <v>100</v>
      </c>
      <c r="V26" s="1350" t="s">
        <v>65</v>
      </c>
      <c r="W26" s="1351">
        <f>J26</f>
        <v>100</v>
      </c>
      <c r="X26" s="1338"/>
      <c r="Y26" s="3621"/>
      <c r="Z26" s="1352" t="str">
        <f>Q26</f>
        <v>平面位置/可视性</v>
      </c>
      <c r="AA26" s="1353">
        <f t="shared" si="3"/>
        <v>1</v>
      </c>
      <c r="AB26" s="1353">
        <f t="shared" si="4"/>
        <v>1</v>
      </c>
      <c r="AC26" s="1353">
        <f t="shared" si="5"/>
        <v>1</v>
      </c>
    </row>
    <row r="27" spans="1:29" s="40" customFormat="1" ht="15">
      <c r="A27" s="1028"/>
      <c r="B27" s="1354" t="s">
        <v>1023</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28"/>
      <c r="Q27" s="7" t="str">
        <f t="shared" si="11"/>
        <v>人流量</v>
      </c>
      <c r="R27" s="1340" t="s">
        <v>65</v>
      </c>
      <c r="S27" s="1341">
        <f>F27</f>
        <v>100</v>
      </c>
      <c r="T27" s="1340" t="s">
        <v>65</v>
      </c>
      <c r="U27" s="1341">
        <f>H27</f>
        <v>100</v>
      </c>
      <c r="V27" s="1340" t="s">
        <v>65</v>
      </c>
      <c r="W27" s="1341">
        <f>J27</f>
        <v>100</v>
      </c>
      <c r="X27" s="287"/>
      <c r="Y27" s="3621"/>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2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21"/>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28"/>
      <c r="Q29" s="1349">
        <f t="shared" si="11"/>
        <v>111</v>
      </c>
      <c r="R29" s="1350" t="s">
        <v>65</v>
      </c>
      <c r="S29" s="1351">
        <f t="shared" si="12"/>
        <v>100</v>
      </c>
      <c r="T29" s="1350" t="s">
        <v>65</v>
      </c>
      <c r="U29" s="1351">
        <f t="shared" si="13"/>
        <v>100</v>
      </c>
      <c r="V29" s="1350" t="s">
        <v>65</v>
      </c>
      <c r="W29" s="1351">
        <f t="shared" si="14"/>
        <v>100</v>
      </c>
      <c r="X29" s="1338"/>
      <c r="Y29" s="3621"/>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28"/>
      <c r="Q30" s="1349">
        <f t="shared" si="11"/>
        <v>111</v>
      </c>
      <c r="R30" s="1350" t="s">
        <v>65</v>
      </c>
      <c r="S30" s="1351">
        <f t="shared" si="12"/>
        <v>100</v>
      </c>
      <c r="T30" s="1350" t="s">
        <v>65</v>
      </c>
      <c r="U30" s="1351">
        <f t="shared" si="13"/>
        <v>100</v>
      </c>
      <c r="V30" s="1350" t="s">
        <v>65</v>
      </c>
      <c r="W30" s="1351">
        <f t="shared" si="14"/>
        <v>100</v>
      </c>
      <c r="X30" s="1338"/>
      <c r="Y30" s="3621"/>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28"/>
      <c r="Q31" s="1349">
        <f t="shared" si="11"/>
        <v>111</v>
      </c>
      <c r="R31" s="1350" t="s">
        <v>65</v>
      </c>
      <c r="S31" s="1351">
        <f t="shared" si="12"/>
        <v>100</v>
      </c>
      <c r="T31" s="1350" t="s">
        <v>65</v>
      </c>
      <c r="U31" s="1351">
        <f t="shared" si="13"/>
        <v>100</v>
      </c>
      <c r="V31" s="1350" t="s">
        <v>65</v>
      </c>
      <c r="W31" s="1351">
        <f t="shared" si="14"/>
        <v>100</v>
      </c>
      <c r="X31" s="1338"/>
      <c r="Y31" s="3621"/>
      <c r="Z31" s="1352">
        <f t="shared" si="15"/>
        <v>111</v>
      </c>
      <c r="AA31" s="1353">
        <f t="shared" si="3"/>
        <v>1</v>
      </c>
      <c r="AB31" s="1353">
        <f t="shared" si="4"/>
        <v>1</v>
      </c>
      <c r="AC31" s="1353">
        <f t="shared" si="5"/>
        <v>1</v>
      </c>
    </row>
    <row r="32" spans="1:29" ht="15">
      <c r="A32" s="155" t="s">
        <v>1024</v>
      </c>
      <c r="B32" s="62" t="s">
        <v>1025</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22" t="s">
        <v>1026</v>
      </c>
      <c r="Q32" s="1349" t="str">
        <f t="shared" si="11"/>
        <v>商业类型</v>
      </c>
      <c r="R32" s="1350" t="s">
        <v>65</v>
      </c>
      <c r="S32" s="1351">
        <f t="shared" si="12"/>
        <v>100</v>
      </c>
      <c r="T32" s="1350" t="s">
        <v>65</v>
      </c>
      <c r="U32" s="1351">
        <f t="shared" si="13"/>
        <v>100</v>
      </c>
      <c r="V32" s="1350" t="s">
        <v>65</v>
      </c>
      <c r="W32" s="1351">
        <f t="shared" si="14"/>
        <v>100</v>
      </c>
      <c r="X32" s="1338"/>
      <c r="Y32" s="3625" t="s">
        <v>1026</v>
      </c>
      <c r="Z32" s="1352" t="str">
        <f t="shared" si="15"/>
        <v>商业类型</v>
      </c>
      <c r="AA32" s="1353">
        <f t="shared" si="3"/>
        <v>1</v>
      </c>
      <c r="AB32" s="1353">
        <f t="shared" si="4"/>
        <v>1</v>
      </c>
      <c r="AC32" s="1353">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9"/>
      <c r="M33" s="2301"/>
      <c r="N33" s="2301"/>
      <c r="O33" s="2301"/>
      <c r="P33" s="3623"/>
      <c r="Q33" s="1357" t="str">
        <f t="shared" si="11"/>
        <v>项目建筑规模</v>
      </c>
      <c r="R33" s="1358" t="s">
        <v>65</v>
      </c>
      <c r="S33" s="1359" t="e">
        <f t="shared" si="12"/>
        <v>#N/A</v>
      </c>
      <c r="T33" s="1358" t="s">
        <v>65</v>
      </c>
      <c r="U33" s="1359" t="e">
        <f t="shared" si="13"/>
        <v>#N/A</v>
      </c>
      <c r="V33" s="1358" t="s">
        <v>65</v>
      </c>
      <c r="W33" s="1359" t="e">
        <f t="shared" si="14"/>
        <v>#N/A</v>
      </c>
      <c r="X33" s="1360"/>
      <c r="Y33" s="3625"/>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23"/>
      <c r="Q34" s="1349" t="str">
        <f t="shared" si="11"/>
        <v>建筑结构</v>
      </c>
      <c r="R34" s="1350" t="s">
        <v>65</v>
      </c>
      <c r="S34" s="1351">
        <f t="shared" si="12"/>
        <v>100</v>
      </c>
      <c r="T34" s="1350" t="s">
        <v>65</v>
      </c>
      <c r="U34" s="1351">
        <f t="shared" si="13"/>
        <v>100</v>
      </c>
      <c r="V34" s="1350" t="s">
        <v>65</v>
      </c>
      <c r="W34" s="1351">
        <f t="shared" si="14"/>
        <v>100</v>
      </c>
      <c r="X34" s="1338"/>
      <c r="Y34" s="3625"/>
      <c r="Z34" s="1352" t="str">
        <f t="shared" si="15"/>
        <v>建筑结构</v>
      </c>
      <c r="AA34" s="1353">
        <f t="shared" si="3"/>
        <v>1</v>
      </c>
      <c r="AB34" s="1353">
        <f t="shared" si="4"/>
        <v>1</v>
      </c>
      <c r="AC34" s="1353">
        <f t="shared" si="5"/>
        <v>1</v>
      </c>
    </row>
    <row r="35" spans="1:29" ht="15">
      <c r="A35" s="161"/>
      <c r="B35" s="12" t="s">
        <v>1027</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23"/>
      <c r="Q35" s="1349" t="str">
        <f t="shared" si="11"/>
        <v>公共部分装修</v>
      </c>
      <c r="R35" s="1350" t="s">
        <v>65</v>
      </c>
      <c r="S35" s="1351">
        <f t="shared" si="12"/>
        <v>100</v>
      </c>
      <c r="T35" s="1350" t="s">
        <v>65</v>
      </c>
      <c r="U35" s="1351">
        <f t="shared" si="13"/>
        <v>100</v>
      </c>
      <c r="V35" s="1350" t="s">
        <v>65</v>
      </c>
      <c r="W35" s="1351">
        <f t="shared" si="14"/>
        <v>100</v>
      </c>
      <c r="X35" s="1338"/>
      <c r="Y35" s="3625"/>
      <c r="Z35" s="1352" t="str">
        <f t="shared" si="15"/>
        <v>公共部分装修</v>
      </c>
      <c r="AA35" s="1353">
        <f t="shared" si="3"/>
        <v>1</v>
      </c>
      <c r="AB35" s="1353">
        <f t="shared" si="4"/>
        <v>1</v>
      </c>
      <c r="AC35" s="1353">
        <f t="shared" si="5"/>
        <v>1</v>
      </c>
    </row>
    <row r="36" spans="1:29" ht="15">
      <c r="A36" s="161"/>
      <c r="B36" s="12" t="s">
        <v>1028</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23"/>
      <c r="Q36" s="1349" t="str">
        <f t="shared" si="11"/>
        <v>成新度</v>
      </c>
      <c r="R36" s="1350" t="s">
        <v>65</v>
      </c>
      <c r="S36" s="1351" t="e">
        <f t="shared" si="12"/>
        <v>#N/A</v>
      </c>
      <c r="T36" s="1350" t="s">
        <v>65</v>
      </c>
      <c r="U36" s="1351" t="e">
        <f t="shared" si="13"/>
        <v>#N/A</v>
      </c>
      <c r="V36" s="1350" t="s">
        <v>65</v>
      </c>
      <c r="W36" s="1351" t="e">
        <f t="shared" si="14"/>
        <v>#N/A</v>
      </c>
      <c r="X36" s="1338"/>
      <c r="Y36" s="3625"/>
      <c r="Z36" s="1352" t="str">
        <f t="shared" si="15"/>
        <v>成新度</v>
      </c>
      <c r="AA36" s="1353" t="e">
        <f t="shared" si="3"/>
        <v>#N/A</v>
      </c>
      <c r="AB36" s="1353" t="e">
        <f t="shared" si="4"/>
        <v>#N/A</v>
      </c>
      <c r="AC36" s="1353" t="e">
        <f t="shared" si="5"/>
        <v>#N/A</v>
      </c>
    </row>
    <row r="37" spans="1:29" s="40" customFormat="1" ht="15">
      <c r="A37" s="1039"/>
      <c r="B37" s="12" t="s">
        <v>2659</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23"/>
      <c r="Q37" s="7" t="str">
        <f t="shared" si="11"/>
        <v>市政基础设施</v>
      </c>
      <c r="R37" s="1340" t="s">
        <v>65</v>
      </c>
      <c r="S37" s="1341">
        <f t="shared" si="12"/>
        <v>100</v>
      </c>
      <c r="T37" s="1340" t="s">
        <v>65</v>
      </c>
      <c r="U37" s="1341">
        <f t="shared" si="13"/>
        <v>100</v>
      </c>
      <c r="V37" s="1340" t="s">
        <v>65</v>
      </c>
      <c r="W37" s="1341">
        <f t="shared" si="14"/>
        <v>100</v>
      </c>
      <c r="X37" s="287"/>
      <c r="Y37" s="3625"/>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23" t="s">
        <v>1029</v>
      </c>
      <c r="Q38" s="1349" t="str">
        <f t="shared" si="11"/>
        <v>业态</v>
      </c>
      <c r="R38" s="1350" t="s">
        <v>65</v>
      </c>
      <c r="S38" s="1351">
        <f t="shared" si="12"/>
        <v>100</v>
      </c>
      <c r="T38" s="1350" t="s">
        <v>65</v>
      </c>
      <c r="U38" s="1351">
        <f t="shared" si="13"/>
        <v>100</v>
      </c>
      <c r="V38" s="1350" t="s">
        <v>65</v>
      </c>
      <c r="W38" s="1351">
        <f t="shared" si="14"/>
        <v>100</v>
      </c>
      <c r="X38" s="1338"/>
      <c r="Y38" s="3625" t="s">
        <v>1029</v>
      </c>
      <c r="Z38" s="1352" t="str">
        <f t="shared" si="15"/>
        <v>业态</v>
      </c>
      <c r="AA38" s="1353">
        <f t="shared" si="3"/>
        <v>1</v>
      </c>
      <c r="AB38" s="1353">
        <f t="shared" si="4"/>
        <v>1</v>
      </c>
      <c r="AC38" s="1353">
        <f t="shared" si="5"/>
        <v>1</v>
      </c>
    </row>
    <row r="39" spans="1:29" ht="15">
      <c r="A39" s="161"/>
      <c r="B39" s="12" t="s">
        <v>1030</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23"/>
      <c r="Q39" s="1349" t="str">
        <f t="shared" si="11"/>
        <v>层高</v>
      </c>
      <c r="R39" s="1350" t="s">
        <v>65</v>
      </c>
      <c r="S39" s="1351">
        <f t="shared" si="12"/>
        <v>100</v>
      </c>
      <c r="T39" s="1350" t="s">
        <v>65</v>
      </c>
      <c r="U39" s="1351">
        <f t="shared" si="13"/>
        <v>100</v>
      </c>
      <c r="V39" s="1350" t="s">
        <v>65</v>
      </c>
      <c r="W39" s="1351">
        <f t="shared" si="14"/>
        <v>100</v>
      </c>
      <c r="X39" s="1338"/>
      <c r="Y39" s="3625"/>
      <c r="Z39" s="1352" t="str">
        <f t="shared" si="15"/>
        <v>层高</v>
      </c>
      <c r="AA39" s="1353">
        <f t="shared" si="3"/>
        <v>1</v>
      </c>
      <c r="AB39" s="1353">
        <f t="shared" si="4"/>
        <v>1</v>
      </c>
      <c r="AC39" s="1353">
        <f t="shared" si="5"/>
        <v>1</v>
      </c>
    </row>
    <row r="40" spans="1:29" ht="14.25">
      <c r="A40" s="161"/>
      <c r="B40" s="12" t="s">
        <v>1031</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23"/>
      <c r="Q40" s="1349" t="str">
        <f t="shared" si="11"/>
        <v>单套建筑面积</v>
      </c>
      <c r="R40" s="1350" t="s">
        <v>65</v>
      </c>
      <c r="S40" s="1351">
        <f t="shared" si="12"/>
        <v>100</v>
      </c>
      <c r="T40" s="1350" t="s">
        <v>65</v>
      </c>
      <c r="U40" s="1351">
        <f t="shared" si="13"/>
        <v>100</v>
      </c>
      <c r="V40" s="1350" t="s">
        <v>65</v>
      </c>
      <c r="W40" s="1351">
        <f t="shared" si="14"/>
        <v>100</v>
      </c>
      <c r="X40" s="1338"/>
      <c r="Y40" s="3625"/>
      <c r="Z40" s="1352" t="str">
        <f t="shared" si="15"/>
        <v>单套建筑面积</v>
      </c>
      <c r="AA40" s="1353">
        <f t="shared" si="3"/>
        <v>1</v>
      </c>
      <c r="AB40" s="1353">
        <f t="shared" si="4"/>
        <v>1</v>
      </c>
      <c r="AC40" s="1353">
        <f t="shared" si="5"/>
        <v>1</v>
      </c>
    </row>
    <row r="41" spans="1:29" s="1037" customFormat="1" ht="15">
      <c r="A41" s="1041"/>
      <c r="B41" s="191" t="s">
        <v>1032</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23"/>
      <c r="Q41" s="1357" t="str">
        <f t="shared" si="11"/>
        <v>进深比</v>
      </c>
      <c r="R41" s="1358" t="s">
        <v>65</v>
      </c>
      <c r="S41" s="1359">
        <f t="shared" si="12"/>
        <v>100</v>
      </c>
      <c r="T41" s="1358" t="s">
        <v>65</v>
      </c>
      <c r="U41" s="1359">
        <f t="shared" si="13"/>
        <v>100</v>
      </c>
      <c r="V41" s="1358" t="s">
        <v>65</v>
      </c>
      <c r="W41" s="1359">
        <f t="shared" si="14"/>
        <v>100</v>
      </c>
      <c r="X41" s="1360"/>
      <c r="Y41" s="3625"/>
      <c r="Z41" s="1361" t="str">
        <f t="shared" si="15"/>
        <v>进深比</v>
      </c>
      <c r="AA41" s="1353">
        <f t="shared" si="3"/>
        <v>1</v>
      </c>
      <c r="AB41" s="1353">
        <f t="shared" si="4"/>
        <v>1</v>
      </c>
      <c r="AC41" s="1353">
        <f t="shared" si="5"/>
        <v>1</v>
      </c>
    </row>
    <row r="42" spans="1:29" ht="15">
      <c r="A42" s="161"/>
      <c r="B42" s="12" t="s">
        <v>1033</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23"/>
      <c r="Q42" s="1349" t="str">
        <f t="shared" si="11"/>
        <v>内部装修</v>
      </c>
      <c r="R42" s="1350" t="s">
        <v>65</v>
      </c>
      <c r="S42" s="1351">
        <f t="shared" si="12"/>
        <v>100</v>
      </c>
      <c r="T42" s="1350" t="s">
        <v>65</v>
      </c>
      <c r="U42" s="1351">
        <f t="shared" si="13"/>
        <v>100</v>
      </c>
      <c r="V42" s="1350" t="s">
        <v>65</v>
      </c>
      <c r="W42" s="1351">
        <f t="shared" si="14"/>
        <v>100</v>
      </c>
      <c r="X42" s="1338"/>
      <c r="Y42" s="3625"/>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23"/>
      <c r="Q43" s="1349" t="str">
        <f t="shared" si="11"/>
        <v>内部装修维护情况</v>
      </c>
      <c r="R43" s="1350" t="s">
        <v>65</v>
      </c>
      <c r="S43" s="1351">
        <f t="shared" si="12"/>
        <v>100</v>
      </c>
      <c r="T43" s="1350" t="s">
        <v>65</v>
      </c>
      <c r="U43" s="1351">
        <f t="shared" si="13"/>
        <v>100</v>
      </c>
      <c r="V43" s="1350" t="s">
        <v>65</v>
      </c>
      <c r="W43" s="1351">
        <f t="shared" si="14"/>
        <v>100</v>
      </c>
      <c r="X43" s="1338"/>
      <c r="Y43" s="3625"/>
      <c r="Z43" s="1352" t="str">
        <f t="shared" si="15"/>
        <v>内部装修维护情况</v>
      </c>
      <c r="AA43" s="1353">
        <f t="shared" si="3"/>
        <v>1</v>
      </c>
      <c r="AB43" s="1353">
        <f t="shared" si="4"/>
        <v>1</v>
      </c>
      <c r="AC43" s="1353">
        <f t="shared" si="5"/>
        <v>1</v>
      </c>
    </row>
    <row r="44" spans="1:29" s="40" customFormat="1" ht="14.25">
      <c r="A44" s="1039"/>
      <c r="B44" s="1355">
        <v>111</v>
      </c>
      <c r="C44" s="1356"/>
      <c r="D44" s="426">
        <v>100</v>
      </c>
      <c r="E44" s="93"/>
      <c r="F44" s="766">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23"/>
      <c r="Q44" s="7">
        <f t="shared" si="11"/>
        <v>111</v>
      </c>
      <c r="R44" s="1340" t="s">
        <v>65</v>
      </c>
      <c r="S44" s="1341">
        <f t="shared" si="12"/>
        <v>100</v>
      </c>
      <c r="T44" s="1340" t="s">
        <v>65</v>
      </c>
      <c r="U44" s="1341">
        <f t="shared" si="13"/>
        <v>100</v>
      </c>
      <c r="V44" s="1340" t="s">
        <v>65</v>
      </c>
      <c r="W44" s="1341">
        <f t="shared" si="14"/>
        <v>100</v>
      </c>
      <c r="X44" s="287"/>
      <c r="Y44" s="3625"/>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23"/>
      <c r="Q45" s="1349">
        <f t="shared" si="11"/>
        <v>111</v>
      </c>
      <c r="R45" s="1350" t="s">
        <v>65</v>
      </c>
      <c r="S45" s="1351">
        <f t="shared" si="12"/>
        <v>100</v>
      </c>
      <c r="T45" s="1350" t="s">
        <v>65</v>
      </c>
      <c r="U45" s="1351">
        <f t="shared" si="13"/>
        <v>100</v>
      </c>
      <c r="V45" s="1350" t="s">
        <v>65</v>
      </c>
      <c r="W45" s="1351">
        <f t="shared" si="14"/>
        <v>100</v>
      </c>
      <c r="X45" s="1338"/>
      <c r="Y45" s="3625"/>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24"/>
      <c r="Q46" s="1349">
        <f t="shared" si="11"/>
        <v>111</v>
      </c>
      <c r="R46" s="1350" t="s">
        <v>65</v>
      </c>
      <c r="S46" s="1351">
        <f t="shared" si="12"/>
        <v>100</v>
      </c>
      <c r="T46" s="1350" t="s">
        <v>65</v>
      </c>
      <c r="U46" s="1351">
        <f t="shared" si="13"/>
        <v>100</v>
      </c>
      <c r="V46" s="1350" t="s">
        <v>65</v>
      </c>
      <c r="W46" s="1351">
        <f t="shared" si="14"/>
        <v>100</v>
      </c>
      <c r="X46" s="1338"/>
      <c r="Y46" s="3626"/>
      <c r="Z46" s="1352">
        <f t="shared" si="15"/>
        <v>111</v>
      </c>
      <c r="AA46" s="1353">
        <f t="shared" si="3"/>
        <v>1</v>
      </c>
      <c r="AB46" s="1353">
        <f t="shared" si="4"/>
        <v>1</v>
      </c>
      <c r="AC46" s="1353">
        <f t="shared" si="5"/>
        <v>1</v>
      </c>
    </row>
    <row r="47" spans="1:29" ht="15">
      <c r="A47" s="163" t="s">
        <v>1034</v>
      </c>
      <c r="B47" s="164"/>
      <c r="C47" s="2832" t="s">
        <v>23</v>
      </c>
      <c r="D47" s="2833"/>
      <c r="E47" s="2834"/>
      <c r="F47" s="2835"/>
      <c r="G47" s="2836"/>
      <c r="H47" s="2837"/>
      <c r="I47" s="2834"/>
      <c r="J47" s="2837"/>
      <c r="K47" s="1391"/>
      <c r="L47" s="2302"/>
      <c r="M47" s="2303"/>
      <c r="N47" s="2295"/>
      <c r="O47" s="2303"/>
      <c r="P47" s="3618" t="str">
        <f>A47</f>
        <v>成交单价（元/平方米）</v>
      </c>
      <c r="Q47" s="3618"/>
      <c r="R47" s="3649">
        <f>E47</f>
        <v>0</v>
      </c>
      <c r="S47" s="3649"/>
      <c r="T47" s="3649">
        <f>G47</f>
        <v>0</v>
      </c>
      <c r="U47" s="3649"/>
      <c r="V47" s="3649">
        <f>I47</f>
        <v>0</v>
      </c>
      <c r="W47" s="3649"/>
      <c r="X47" s="1363"/>
      <c r="Y47" s="1364"/>
      <c r="Z47" s="1363"/>
      <c r="AA47" s="1363"/>
      <c r="AB47" s="1363"/>
      <c r="AC47" s="1363"/>
    </row>
    <row r="48" spans="1:29" ht="15.75" thickBot="1">
      <c r="A48" s="165" t="s">
        <v>1035</v>
      </c>
      <c r="B48" s="166"/>
      <c r="C48" s="2838" t="e">
        <f>R49</f>
        <v>#DIV/0!</v>
      </c>
      <c r="D48" s="2839"/>
      <c r="E48" s="2840" t="e">
        <f>R48</f>
        <v>#DIV/0!</v>
      </c>
      <c r="F48" s="2840"/>
      <c r="G48" s="2838" t="e">
        <f>T48</f>
        <v>#DIV/0!</v>
      </c>
      <c r="H48" s="2839"/>
      <c r="I48" s="2840" t="e">
        <f>V48</f>
        <v>#DIV/0!</v>
      </c>
      <c r="J48" s="2839"/>
      <c r="K48" s="1392"/>
      <c r="L48" s="2302"/>
      <c r="M48" s="2303"/>
      <c r="N48" s="2295"/>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75" thickBot="1">
      <c r="A49" s="115" t="s">
        <v>3023</v>
      </c>
      <c r="B49" s="116"/>
      <c r="C49" s="2842" t="e">
        <f>R49</f>
        <v>#DIV/0!</v>
      </c>
      <c r="D49" s="2842"/>
      <c r="E49" s="2842"/>
      <c r="F49" s="2842"/>
      <c r="G49" s="2842"/>
      <c r="H49" s="2842"/>
      <c r="I49" s="2842"/>
      <c r="J49" s="2842"/>
      <c r="K49" s="1393"/>
      <c r="L49" s="2302"/>
      <c r="M49" s="2303"/>
      <c r="N49" s="2295"/>
      <c r="O49" s="2303"/>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1036</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2797</v>
      </c>
      <c r="B58" s="847"/>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1037</v>
      </c>
      <c r="B60" s="1046"/>
      <c r="C60" s="858"/>
      <c r="D60" s="859"/>
      <c r="E60" s="859"/>
      <c r="F60" s="859"/>
      <c r="G60" s="859"/>
      <c r="H60" s="859"/>
      <c r="I60" s="859"/>
      <c r="J60" s="859"/>
      <c r="K60" s="859"/>
      <c r="L60" s="859"/>
      <c r="M60" s="860"/>
      <c r="N60" s="859"/>
      <c r="O60" s="860"/>
      <c r="P60" s="1375"/>
      <c r="Q60" s="121"/>
    </row>
    <row r="61" spans="1:29" s="40" customFormat="1">
      <c r="A61" s="1047" t="s">
        <v>1038</v>
      </c>
      <c r="B61" s="1044"/>
      <c r="C61" s="1048" t="s">
        <v>1039</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1040</v>
      </c>
      <c r="B63" s="286" t="s">
        <v>1041</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1042</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1043</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1044</v>
      </c>
      <c r="B76" s="286" t="s">
        <v>1045</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1051</v>
      </c>
      <c r="C78" s="919" t="s">
        <v>425</v>
      </c>
      <c r="D78" s="919" t="s">
        <v>426</v>
      </c>
      <c r="E78" s="919" t="s">
        <v>427</v>
      </c>
      <c r="F78" s="919" t="s">
        <v>428</v>
      </c>
      <c r="G78" s="919" t="s">
        <v>429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425</v>
      </c>
      <c r="D80" s="919" t="s">
        <v>426</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2660</v>
      </c>
      <c r="C82" s="213" t="s">
        <v>2661</v>
      </c>
      <c r="D82" s="213" t="s">
        <v>2662</v>
      </c>
      <c r="E82" s="213" t="s">
        <v>2663</v>
      </c>
      <c r="F82" s="213" t="s">
        <v>2664</v>
      </c>
      <c r="G82" s="213" t="s">
        <v>2665</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1052</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1054</v>
      </c>
      <c r="B100" s="286" t="s">
        <v>1055</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1056</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1057</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1058</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2643</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1060</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1062</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1063</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1064</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1065</v>
      </c>
      <c r="C124" s="181" t="s">
        <v>1046</v>
      </c>
      <c r="D124" s="181" t="s">
        <v>1047</v>
      </c>
      <c r="E124" s="181" t="s">
        <v>1048</v>
      </c>
      <c r="F124" s="181" t="s">
        <v>1049</v>
      </c>
      <c r="G124" s="181" t="s">
        <v>1050</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18.75">
      <c r="A4" s="1946" t="str">
        <f>"受贵公司委托，我公司对"&amp;项目基本情况!S1&amp;"进行了预评估。"</f>
        <v>受贵公司委托，我公司对北京市房地产市场价值进行了预评估。</v>
      </c>
    </row>
    <row r="5" spans="1:1" ht="18.75">
      <c r="A5" s="1947" t="s">
        <v>2012</v>
      </c>
    </row>
    <row r="6" spans="1:1" ht="18.75">
      <c r="A6" s="3051" t="s">
        <v>2875</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估价对象为北京市房地产，为所有。根据《国有土地使用证》[]，估价对象（分摊）出让国有建设用地使用权面积为22211.31平方米，建筑面积为123111.63平方米。</v>
      </c>
    </row>
    <row r="8" spans="1:1" ht="56.25">
      <c r="A8" s="1990" t="s">
        <v>2868</v>
      </c>
    </row>
    <row r="9" spans="1:1" ht="18.75">
      <c r="A9" s="3051" t="s">
        <v>2876</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估价对象为北京市房地产,属开发建设的，该项目尚在开发建设中。根据《国有土地使用证》[]，估价对象（分摊）出让国有建设用地使用权面积为22211.31平方米，规划建筑面积为123111.63平方米。</v>
      </c>
    </row>
    <row r="11" spans="1:1" ht="75">
      <c r="A11" s="1990" t="s">
        <v>2910</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2017年8月15日（评估专业人员实地查勘之日）</v>
      </c>
    </row>
    <row r="16" spans="1:1" ht="18.75">
      <c r="A16" s="1949" t="s">
        <v>2016</v>
      </c>
    </row>
    <row r="17" spans="1:1" ht="75">
      <c r="A17" s="1946" t="s">
        <v>2869</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2870</v>
      </c>
    </row>
    <row r="22" spans="1:1" ht="18.75">
      <c r="A22" s="1946" t="str">
        <f>IF(项目基本情况!E9="——","",定义!C57)</f>
        <v/>
      </c>
    </row>
    <row r="23" spans="1:1" ht="18.75">
      <c r="A23" s="1949" t="s">
        <v>2032</v>
      </c>
    </row>
    <row r="24" spans="1:1" ht="18.75">
      <c r="A24" s="1953" t="str">
        <f>"本次评估采用的主估价方法为"&amp;结果表!K4&amp;"和"&amp;结果表!L4&amp;"。"</f>
        <v>本次评估采用的主估价方法为收益法和成本法。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1071</v>
      </c>
      <c r="B3" s="950" t="e">
        <f ca="1">IF(C2="——",C50,ROUND(B2*10000/D3,0))</f>
        <v>#DIV/0!</v>
      </c>
      <c r="C3" s="142" t="s">
        <v>1072</v>
      </c>
      <c r="D3" s="742">
        <f>IF(D1="",'数据-汇总表'!E3,SUMIF('数据-汇总表'!$C19:$C33,D1,'数据-汇总表'!$E19:$E33))</f>
        <v>123111.63</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1073</v>
      </c>
      <c r="B4" s="144"/>
      <c r="C4" s="3633" t="s">
        <v>1074</v>
      </c>
      <c r="D4" s="3634"/>
      <c r="E4" s="3635" t="s">
        <v>1075</v>
      </c>
      <c r="F4" s="3636"/>
      <c r="G4" s="3633" t="s">
        <v>1076</v>
      </c>
      <c r="H4" s="3634"/>
      <c r="I4" s="3633" t="s">
        <v>1077</v>
      </c>
      <c r="J4" s="3634"/>
      <c r="K4" s="187" t="s">
        <v>1078</v>
      </c>
      <c r="L4" s="2294"/>
      <c r="M4" s="2295"/>
      <c r="N4" s="2295"/>
      <c r="O4" s="2295"/>
      <c r="P4" s="3667" t="s">
        <v>1073</v>
      </c>
      <c r="Q4" s="3668"/>
      <c r="R4" s="3671" t="s">
        <v>1075</v>
      </c>
      <c r="S4" s="3672"/>
      <c r="T4" s="3671" t="s">
        <v>1076</v>
      </c>
      <c r="U4" s="3672"/>
      <c r="V4" s="3673" t="s">
        <v>1077</v>
      </c>
      <c r="W4" s="3673"/>
      <c r="X4" s="2334"/>
      <c r="Y4" s="3671" t="s">
        <v>1073</v>
      </c>
      <c r="Z4" s="3672"/>
      <c r="AA4" s="3675" t="s">
        <v>1075</v>
      </c>
      <c r="AB4" s="3675" t="s">
        <v>1076</v>
      </c>
      <c r="AC4" s="3664" t="s">
        <v>1077</v>
      </c>
    </row>
    <row r="5" spans="1:29">
      <c r="A5" s="146"/>
      <c r="B5" s="147"/>
      <c r="C5" s="3652" t="s">
        <v>1079</v>
      </c>
      <c r="D5" s="3653"/>
      <c r="E5" s="3659" t="s">
        <v>1080</v>
      </c>
      <c r="F5" s="3660"/>
      <c r="G5" s="3652" t="s">
        <v>1081</v>
      </c>
      <c r="H5" s="3653"/>
      <c r="I5" s="3652" t="s">
        <v>1082</v>
      </c>
      <c r="J5" s="3653"/>
      <c r="K5" s="187"/>
      <c r="L5" s="2294"/>
      <c r="M5" s="2295"/>
      <c r="N5" s="2295"/>
      <c r="O5" s="2295"/>
      <c r="P5" s="3669"/>
      <c r="Q5" s="3640"/>
      <c r="R5" s="3645"/>
      <c r="S5" s="3646"/>
      <c r="T5" s="3645"/>
      <c r="U5" s="3646"/>
      <c r="V5" s="3649"/>
      <c r="W5" s="3649"/>
      <c r="X5" s="2220"/>
      <c r="Y5" s="3645"/>
      <c r="Z5" s="3646"/>
      <c r="AA5" s="3631"/>
      <c r="AB5" s="3631"/>
      <c r="AC5" s="3665"/>
    </row>
    <row r="6" spans="1:29" ht="14.25" thickBot="1">
      <c r="A6" s="148"/>
      <c r="B6" s="149"/>
      <c r="C6" s="3650" t="s">
        <v>1083</v>
      </c>
      <c r="D6" s="3651"/>
      <c r="E6" s="3657" t="s">
        <v>1083</v>
      </c>
      <c r="F6" s="3658"/>
      <c r="G6" s="3650" t="s">
        <v>1083</v>
      </c>
      <c r="H6" s="3651"/>
      <c r="I6" s="3650" t="s">
        <v>1083</v>
      </c>
      <c r="J6" s="3651"/>
      <c r="K6" s="187" t="s">
        <v>1084</v>
      </c>
      <c r="L6" s="2294"/>
      <c r="M6" s="2295"/>
      <c r="N6" s="2295"/>
      <c r="O6" s="2295"/>
      <c r="P6" s="3670"/>
      <c r="Q6" s="3642"/>
      <c r="R6" s="3645"/>
      <c r="S6" s="3646"/>
      <c r="T6" s="3647"/>
      <c r="U6" s="3648"/>
      <c r="V6" s="3649"/>
      <c r="W6" s="3649"/>
      <c r="X6" s="2220"/>
      <c r="Y6" s="3647"/>
      <c r="Z6" s="3648"/>
      <c r="AA6" s="3632"/>
      <c r="AB6" s="3632"/>
      <c r="AC6" s="3666"/>
    </row>
    <row r="7" spans="1:29" s="40" customFormat="1" ht="15" thickBot="1">
      <c r="A7" s="1012" t="s">
        <v>1085</v>
      </c>
      <c r="B7" s="1013"/>
      <c r="C7" s="753">
        <f>'数据-取费表'!B2</f>
        <v>42962</v>
      </c>
      <c r="D7" s="754">
        <v>100</v>
      </c>
      <c r="E7" s="1015"/>
      <c r="F7" s="756">
        <f>SUMIF(59:59,YEAR(E7)&amp;"-"&amp;MONTH(E7),60:60)</f>
        <v>0</v>
      </c>
      <c r="G7" s="1015"/>
      <c r="H7" s="754">
        <f>SUMIF(59:59,YEAR(G7)&amp;"-"&amp;MONTH(G7),60:60)</f>
        <v>0</v>
      </c>
      <c r="I7" s="1015"/>
      <c r="J7" s="754">
        <f>SUMIF(59:59,YEAR(I7)&amp;"-"&amp;MONTH(I7),60:60)</f>
        <v>0</v>
      </c>
      <c r="K7" s="1017"/>
      <c r="L7" s="2296"/>
      <c r="M7" s="2258"/>
      <c r="N7" s="2258"/>
      <c r="O7" s="2258"/>
      <c r="P7" s="3674" t="s">
        <v>1085</v>
      </c>
      <c r="Q7" s="3656"/>
      <c r="R7" s="1340" t="s">
        <v>65</v>
      </c>
      <c r="S7" s="1341">
        <f t="shared" ref="S7:S15" si="0">F7</f>
        <v>0</v>
      </c>
      <c r="T7" s="1340" t="s">
        <v>65</v>
      </c>
      <c r="U7" s="1341">
        <f t="shared" ref="U7:U15" si="1">H7</f>
        <v>0</v>
      </c>
      <c r="V7" s="1340" t="s">
        <v>65</v>
      </c>
      <c r="W7" s="1341">
        <f t="shared" ref="W7:W15" si="2">J7</f>
        <v>0</v>
      </c>
      <c r="X7" s="287"/>
      <c r="Y7" s="3654" t="s">
        <v>1085</v>
      </c>
      <c r="Z7" s="3655"/>
      <c r="AA7" s="1342" t="e">
        <f>D7/F7</f>
        <v>#DIV/0!</v>
      </c>
      <c r="AB7" s="1342" t="e">
        <f>D7/H7</f>
        <v>#DIV/0!</v>
      </c>
      <c r="AC7" s="2335" t="e">
        <f>D7/J7</f>
        <v>#DIV/0!</v>
      </c>
    </row>
    <row r="8" spans="1:29" s="40" customFormat="1" ht="15" thickBot="1">
      <c r="A8" s="1012" t="s">
        <v>1086</v>
      </c>
      <c r="B8" s="1013"/>
      <c r="C8" s="1018" t="s">
        <v>1087</v>
      </c>
      <c r="D8" s="754">
        <v>100</v>
      </c>
      <c r="E8" s="1018"/>
      <c r="F8" s="756">
        <f>SUMIF(62:62,E8,63:63)-SUMIF(62:62,C8,63:63)+100</f>
        <v>0</v>
      </c>
      <c r="G8" s="1018"/>
      <c r="H8" s="754">
        <f>SUMIF(62:62,G8,63:63)-SUMIF(62:62,C8,63:63)+100</f>
        <v>0</v>
      </c>
      <c r="I8" s="1018"/>
      <c r="J8" s="754">
        <f>SUMIF(62:62,I8,63:63)-SUMIF(62:62,C8,63:63)+100</f>
        <v>0</v>
      </c>
      <c r="K8" s="1017"/>
      <c r="L8" s="2296"/>
      <c r="M8" s="2258"/>
      <c r="N8" s="2258"/>
      <c r="O8" s="2258"/>
      <c r="P8" s="3674" t="s">
        <v>1019</v>
      </c>
      <c r="Q8" s="3655"/>
      <c r="R8" s="1340" t="s">
        <v>65</v>
      </c>
      <c r="S8" s="1341">
        <f t="shared" si="0"/>
        <v>0</v>
      </c>
      <c r="T8" s="1340" t="s">
        <v>65</v>
      </c>
      <c r="U8" s="1341">
        <f t="shared" si="1"/>
        <v>0</v>
      </c>
      <c r="V8" s="1340" t="s">
        <v>65</v>
      </c>
      <c r="W8" s="1341">
        <f t="shared" si="2"/>
        <v>0</v>
      </c>
      <c r="X8" s="287"/>
      <c r="Y8" s="3654" t="s">
        <v>1019</v>
      </c>
      <c r="Z8" s="3655"/>
      <c r="AA8" s="1342" t="e">
        <f t="shared" ref="AA8:AA47" si="3">D8/F8</f>
        <v>#DIV/0!</v>
      </c>
      <c r="AB8" s="1342" t="e">
        <f t="shared" ref="AB8:AB47" si="4">D8/H8</f>
        <v>#DIV/0!</v>
      </c>
      <c r="AC8" s="2335" t="e">
        <f t="shared" ref="AC8:AC47" si="5">D8/J8</f>
        <v>#DIV/0!</v>
      </c>
    </row>
    <row r="9" spans="1:29" s="40" customFormat="1" ht="14.25">
      <c r="A9" s="1019" t="s">
        <v>1020</v>
      </c>
      <c r="B9" s="62" t="s">
        <v>1021</v>
      </c>
      <c r="C9" s="1344"/>
      <c r="D9" s="425">
        <v>100</v>
      </c>
      <c r="E9" s="1346"/>
      <c r="F9" s="425">
        <f>SUMIF(64:64,E9,65:65)-SUMIF(64:64,C9,65:65)+100</f>
        <v>100</v>
      </c>
      <c r="G9" s="1345"/>
      <c r="H9" s="425">
        <f>SUMIF(64:64,G9,65:65)-SUMIF(64:64,C9,65:65)+100</f>
        <v>100</v>
      </c>
      <c r="I9" s="1345"/>
      <c r="J9" s="425">
        <f>SUMIF(64:64,I9,65:65)-SUMIF(64:64,C9,65:65)+100</f>
        <v>100</v>
      </c>
      <c r="K9" s="1017"/>
      <c r="L9" s="2296"/>
      <c r="M9" s="2258"/>
      <c r="N9" s="2258"/>
      <c r="O9" s="2258"/>
      <c r="P9" s="3629" t="s">
        <v>67</v>
      </c>
      <c r="Q9" s="2211" t="str">
        <f t="shared" ref="Q9:Q15" si="6">B9</f>
        <v>用途</v>
      </c>
      <c r="R9" s="1340" t="s">
        <v>65</v>
      </c>
      <c r="S9" s="1341">
        <f t="shared" si="0"/>
        <v>100</v>
      </c>
      <c r="T9" s="1340" t="s">
        <v>65</v>
      </c>
      <c r="U9" s="1341">
        <f t="shared" si="1"/>
        <v>100</v>
      </c>
      <c r="V9" s="1340" t="s">
        <v>65</v>
      </c>
      <c r="W9" s="1341">
        <f t="shared" si="2"/>
        <v>100</v>
      </c>
      <c r="X9" s="287"/>
      <c r="Y9" s="3412" t="s">
        <v>67</v>
      </c>
      <c r="Z9" s="2210" t="str">
        <f t="shared" ref="Z9:Z15" si="7">Q9</f>
        <v>用途</v>
      </c>
      <c r="AA9" s="1342">
        <f t="shared" si="3"/>
        <v>1</v>
      </c>
      <c r="AB9" s="1342">
        <f t="shared" si="4"/>
        <v>1</v>
      </c>
      <c r="AC9" s="2335">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3"/>
      <c r="L10" s="2297"/>
      <c r="M10" s="2298"/>
      <c r="N10" s="2298"/>
      <c r="O10" s="2298"/>
      <c r="P10" s="3629"/>
      <c r="Q10" s="2211" t="str">
        <f t="shared" si="6"/>
        <v>土地使用年限（年）</v>
      </c>
      <c r="R10" s="1340" t="s">
        <v>65</v>
      </c>
      <c r="S10" s="1341">
        <f t="shared" si="0"/>
        <v>100</v>
      </c>
      <c r="T10" s="1340" t="s">
        <v>65</v>
      </c>
      <c r="U10" s="1341">
        <f t="shared" si="1"/>
        <v>100</v>
      </c>
      <c r="V10" s="1340" t="s">
        <v>65</v>
      </c>
      <c r="W10" s="1341">
        <f t="shared" si="2"/>
        <v>100</v>
      </c>
      <c r="X10" s="287"/>
      <c r="Y10" s="3412"/>
      <c r="Z10" s="2210" t="str">
        <f t="shared" si="7"/>
        <v>土地使用年限（年）</v>
      </c>
      <c r="AA10" s="1342">
        <f t="shared" si="3"/>
        <v>1</v>
      </c>
      <c r="AB10" s="1342">
        <f t="shared" si="4"/>
        <v>1</v>
      </c>
      <c r="AC10" s="2335">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9"/>
      <c r="M11" s="2295"/>
      <c r="N11" s="2295"/>
      <c r="O11" s="2295"/>
      <c r="P11" s="3629"/>
      <c r="Q11" s="2211" t="str">
        <f t="shared" si="6"/>
        <v>容积率</v>
      </c>
      <c r="R11" s="1340" t="s">
        <v>65</v>
      </c>
      <c r="S11" s="1341" t="e">
        <f t="shared" si="0"/>
        <v>#N/A</v>
      </c>
      <c r="T11" s="1340" t="s">
        <v>65</v>
      </c>
      <c r="U11" s="1341" t="e">
        <f t="shared" si="1"/>
        <v>#N/A</v>
      </c>
      <c r="V11" s="1340" t="s">
        <v>65</v>
      </c>
      <c r="W11" s="1341" t="e">
        <f t="shared" si="2"/>
        <v>#N/A</v>
      </c>
      <c r="X11" s="287"/>
      <c r="Y11" s="3412"/>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6">
        <f>SUMIF(71:71,E12,72:72)-SUMIF(71:71,C12,72:72)+100</f>
        <v>100</v>
      </c>
      <c r="G12" s="1401"/>
      <c r="H12" s="426">
        <f>SUMIF(71:71,G12,72:72)-SUMIF(71:71,C12,72:72)+100</f>
        <v>100</v>
      </c>
      <c r="I12" s="1022"/>
      <c r="J12" s="426">
        <f>SUMIF(71:71,I12,72:72)-SUMIF(71:71,C12,72:72)+100</f>
        <v>100</v>
      </c>
      <c r="K12" s="188"/>
      <c r="L12" s="2296"/>
      <c r="M12" s="2258"/>
      <c r="N12" s="2258"/>
      <c r="O12" s="2258"/>
      <c r="P12" s="3629"/>
      <c r="Q12" s="2211">
        <f t="shared" si="6"/>
        <v>111</v>
      </c>
      <c r="R12" s="1340" t="s">
        <v>65</v>
      </c>
      <c r="S12" s="1341">
        <f t="shared" si="0"/>
        <v>100</v>
      </c>
      <c r="T12" s="1340" t="s">
        <v>65</v>
      </c>
      <c r="U12" s="1341">
        <f t="shared" si="1"/>
        <v>100</v>
      </c>
      <c r="V12" s="1340" t="s">
        <v>65</v>
      </c>
      <c r="W12" s="1341">
        <f t="shared" si="2"/>
        <v>100</v>
      </c>
      <c r="X12" s="287"/>
      <c r="Y12" s="3412"/>
      <c r="Z12" s="2210">
        <f t="shared" si="7"/>
        <v>111</v>
      </c>
      <c r="AA12" s="1342">
        <f>D12/F12</f>
        <v>1</v>
      </c>
      <c r="AB12" s="1342">
        <f>D12/H12</f>
        <v>1</v>
      </c>
      <c r="AC12" s="2335">
        <f>D12/J12</f>
        <v>1</v>
      </c>
    </row>
    <row r="13" spans="1:29" ht="14.25">
      <c r="A13" s="151"/>
      <c r="B13" s="1029">
        <v>111</v>
      </c>
      <c r="C13" s="93"/>
      <c r="D13" s="776">
        <v>100</v>
      </c>
      <c r="E13" s="1022"/>
      <c r="F13" s="426">
        <f>SUMIF(73:73,E13,74:74)-SUMIF(73:73,C13,74:74)+100</f>
        <v>100</v>
      </c>
      <c r="G13" s="1401"/>
      <c r="H13" s="776">
        <f>SUMIF(73:73,G13,74:74)-SUMIF(73:73,C13,74:74)+100</f>
        <v>100</v>
      </c>
      <c r="I13" s="1022"/>
      <c r="J13" s="776">
        <f>SUMIF(73:73,I13,74:74)-SUMIF(73:73,C13,74:74)+100</f>
        <v>100</v>
      </c>
      <c r="K13" s="188"/>
      <c r="L13" s="2300"/>
      <c r="M13" s="2295"/>
      <c r="N13" s="2295"/>
      <c r="O13" s="2295"/>
      <c r="P13" s="3629"/>
      <c r="Q13" s="2211">
        <f t="shared" si="6"/>
        <v>111</v>
      </c>
      <c r="R13" s="1340" t="s">
        <v>65</v>
      </c>
      <c r="S13" s="1341">
        <f t="shared" si="0"/>
        <v>100</v>
      </c>
      <c r="T13" s="1340" t="s">
        <v>65</v>
      </c>
      <c r="U13" s="1341">
        <f t="shared" si="1"/>
        <v>100</v>
      </c>
      <c r="V13" s="1340" t="s">
        <v>65</v>
      </c>
      <c r="W13" s="1341">
        <f t="shared" si="2"/>
        <v>100</v>
      </c>
      <c r="X13" s="287"/>
      <c r="Y13" s="3412"/>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9"/>
      <c r="Q14" s="2211">
        <f t="shared" si="6"/>
        <v>111</v>
      </c>
      <c r="R14" s="1340" t="s">
        <v>65</v>
      </c>
      <c r="S14" s="1341">
        <f t="shared" si="0"/>
        <v>100</v>
      </c>
      <c r="T14" s="1340" t="s">
        <v>65</v>
      </c>
      <c r="U14" s="1341">
        <f t="shared" si="1"/>
        <v>100</v>
      </c>
      <c r="V14" s="1340" t="s">
        <v>65</v>
      </c>
      <c r="W14" s="1341">
        <f t="shared" si="2"/>
        <v>100</v>
      </c>
      <c r="X14" s="287"/>
      <c r="Y14" s="3412"/>
      <c r="Z14" s="2210">
        <f t="shared" si="7"/>
        <v>111</v>
      </c>
      <c r="AA14" s="1342">
        <f t="shared" si="3"/>
        <v>1</v>
      </c>
      <c r="AB14" s="1342">
        <f t="shared" si="4"/>
        <v>1</v>
      </c>
      <c r="AC14" s="2335">
        <f t="shared" si="5"/>
        <v>1</v>
      </c>
    </row>
    <row r="15" spans="1:29" ht="15">
      <c r="A15" s="155" t="s">
        <v>69</v>
      </c>
      <c r="B15" s="1031"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27" t="s">
        <v>69</v>
      </c>
      <c r="Q15" s="2218" t="str">
        <f t="shared" si="6"/>
        <v>办公集聚程度</v>
      </c>
      <c r="R15" s="1350" t="s">
        <v>65</v>
      </c>
      <c r="S15" s="1351">
        <f t="shared" si="0"/>
        <v>100</v>
      </c>
      <c r="T15" s="1350" t="s">
        <v>65</v>
      </c>
      <c r="U15" s="1351">
        <f t="shared" si="1"/>
        <v>100</v>
      </c>
      <c r="V15" s="1350" t="s">
        <v>65</v>
      </c>
      <c r="W15" s="1351">
        <f t="shared" si="2"/>
        <v>100</v>
      </c>
      <c r="X15" s="2220"/>
      <c r="Y15" s="3620"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28"/>
      <c r="Q16" s="2218"/>
      <c r="R16" s="1350"/>
      <c r="S16" s="1351"/>
      <c r="T16" s="1350"/>
      <c r="U16" s="1351"/>
      <c r="V16" s="1350"/>
      <c r="W16" s="1351"/>
      <c r="X16" s="2220"/>
      <c r="Y16" s="3621"/>
      <c r="Z16" s="2219"/>
      <c r="AA16" s="1353">
        <v>1</v>
      </c>
      <c r="AB16" s="1353">
        <v>1</v>
      </c>
      <c r="AC16" s="2336">
        <v>1</v>
      </c>
    </row>
    <row r="17" spans="1:29" ht="67.5">
      <c r="A17" s="151"/>
      <c r="B17" s="1032" t="s">
        <v>72</v>
      </c>
      <c r="C17" s="210" t="str">
        <f>估价对象房地状况!C6</f>
        <v>估价对象周边有房2内路、周边无地铁，路网密集程度一般，交通便捷度一般</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28"/>
      <c r="Q17" s="2218" t="str">
        <f>B17</f>
        <v>交通便捷度</v>
      </c>
      <c r="R17" s="1350" t="s">
        <v>65</v>
      </c>
      <c r="S17" s="1351">
        <f>F17</f>
        <v>100</v>
      </c>
      <c r="T17" s="1350" t="s">
        <v>65</v>
      </c>
      <c r="U17" s="1351">
        <f>H17</f>
        <v>100</v>
      </c>
      <c r="V17" s="1350" t="s">
        <v>65</v>
      </c>
      <c r="W17" s="1351">
        <f>J17</f>
        <v>100</v>
      </c>
      <c r="X17" s="2220"/>
      <c r="Y17" s="3621"/>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28"/>
      <c r="Q18" s="2218"/>
      <c r="R18" s="1350"/>
      <c r="S18" s="1351"/>
      <c r="T18" s="1350"/>
      <c r="U18" s="1351"/>
      <c r="V18" s="1350"/>
      <c r="W18" s="1351"/>
      <c r="X18" s="2220"/>
      <c r="Y18" s="3621"/>
      <c r="Z18" s="2219"/>
      <c r="AA18" s="1353">
        <v>1</v>
      </c>
      <c r="AB18" s="1353">
        <v>1</v>
      </c>
      <c r="AC18" s="2336">
        <v>1</v>
      </c>
    </row>
    <row r="19" spans="1:29" ht="94.5">
      <c r="A19" s="151"/>
      <c r="B19" s="1032" t="s">
        <v>2666</v>
      </c>
      <c r="C19" s="210" t="str">
        <f>估价对象房地状况!C7</f>
        <v>估价对象所在区域公共配套设施齐备情况较好：蓝色未来幼儿园、北京市房山区第一医院良乡分部</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28"/>
      <c r="Q19" s="2218" t="str">
        <f>B19</f>
        <v>公共配套设施</v>
      </c>
      <c r="R19" s="1350" t="s">
        <v>65</v>
      </c>
      <c r="S19" s="1351">
        <f>F19</f>
        <v>100</v>
      </c>
      <c r="T19" s="1350" t="s">
        <v>65</v>
      </c>
      <c r="U19" s="1351">
        <f>H19</f>
        <v>100</v>
      </c>
      <c r="V19" s="1350" t="s">
        <v>65</v>
      </c>
      <c r="W19" s="1351">
        <f>J19</f>
        <v>100</v>
      </c>
      <c r="X19" s="2220"/>
      <c r="Y19" s="3621"/>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28"/>
      <c r="Q20" s="2218"/>
      <c r="R20" s="1350"/>
      <c r="S20" s="1351"/>
      <c r="T20" s="1350"/>
      <c r="U20" s="1351"/>
      <c r="V20" s="1350"/>
      <c r="W20" s="1351"/>
      <c r="X20" s="2220"/>
      <c r="Y20" s="3621"/>
      <c r="Z20" s="2219"/>
      <c r="AA20" s="1353">
        <v>1</v>
      </c>
      <c r="AB20" s="1353">
        <v>1</v>
      </c>
      <c r="AC20" s="2336">
        <v>1</v>
      </c>
    </row>
    <row r="21" spans="1:29" ht="40.5">
      <c r="A21" s="151"/>
      <c r="B21" s="1034" t="s">
        <v>2667</v>
      </c>
      <c r="C21" s="210" t="str">
        <f>估价对象房地状况!C8</f>
        <v>估价对象所在区域基础设施水平：七通</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28"/>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28"/>
      <c r="Q22" s="2745"/>
      <c r="R22" s="1350"/>
      <c r="S22" s="1351"/>
      <c r="T22" s="1350"/>
      <c r="U22" s="1351"/>
      <c r="V22" s="1350"/>
      <c r="W22" s="1351"/>
      <c r="X22" s="2747"/>
      <c r="Y22" s="3621"/>
      <c r="Z22" s="2746"/>
      <c r="AA22" s="1353">
        <v>1</v>
      </c>
      <c r="AB22" s="1353">
        <v>1</v>
      </c>
      <c r="AC22" s="2336">
        <v>1</v>
      </c>
    </row>
    <row r="23" spans="1:29" ht="67.5">
      <c r="A23" s="151"/>
      <c r="B23" s="1032" t="s">
        <v>143</v>
      </c>
      <c r="C23" s="210" t="str">
        <f>估价对象房地状况!C9</f>
        <v>区域自然环境：良乡塔；人文环境：良乡文化广场；综合评价环境状况一般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28"/>
      <c r="Q23" s="2218" t="str">
        <f>B23</f>
        <v>环境质量</v>
      </c>
      <c r="R23" s="1350" t="s">
        <v>65</v>
      </c>
      <c r="S23" s="1351">
        <f>F23</f>
        <v>100</v>
      </c>
      <c r="T23" s="1350" t="s">
        <v>65</v>
      </c>
      <c r="U23" s="1351">
        <f>H23</f>
        <v>100</v>
      </c>
      <c r="V23" s="1350" t="s">
        <v>65</v>
      </c>
      <c r="W23" s="1351">
        <f>J23</f>
        <v>100</v>
      </c>
      <c r="X23" s="2220"/>
      <c r="Y23" s="3621"/>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28"/>
      <c r="Q24" s="2218"/>
      <c r="R24" s="1350"/>
      <c r="S24" s="1351"/>
      <c r="T24" s="1350"/>
      <c r="U24" s="1351"/>
      <c r="V24" s="1350"/>
      <c r="W24" s="1351"/>
      <c r="X24" s="2220"/>
      <c r="Y24" s="3621"/>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28"/>
      <c r="Q25" s="2218" t="str">
        <f>B25</f>
        <v>毗邻道路的类型与等级</v>
      </c>
      <c r="R25" s="1350" t="s">
        <v>65</v>
      </c>
      <c r="S25" s="1351">
        <f>F25</f>
        <v>100</v>
      </c>
      <c r="T25" s="1350" t="s">
        <v>65</v>
      </c>
      <c r="U25" s="1351">
        <f>H25</f>
        <v>100</v>
      </c>
      <c r="V25" s="1350" t="s">
        <v>65</v>
      </c>
      <c r="W25" s="1351">
        <f>J25</f>
        <v>100</v>
      </c>
      <c r="X25" s="2220"/>
      <c r="Y25" s="3621"/>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28"/>
      <c r="Q26" s="2218"/>
      <c r="R26" s="1350"/>
      <c r="S26" s="1351"/>
      <c r="T26" s="1350"/>
      <c r="U26" s="1351"/>
      <c r="V26" s="1350"/>
      <c r="W26" s="1351"/>
      <c r="X26" s="2220"/>
      <c r="Y26" s="3621"/>
      <c r="Z26" s="2219"/>
      <c r="AA26" s="1353">
        <v>1</v>
      </c>
      <c r="AB26" s="1353">
        <v>1</v>
      </c>
      <c r="AC26" s="2336">
        <v>1</v>
      </c>
    </row>
    <row r="27" spans="1:29" ht="15">
      <c r="A27" s="151"/>
      <c r="B27" s="1033" t="s">
        <v>1088</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28"/>
      <c r="Q27" s="2218" t="str">
        <f t="shared" ref="Q27:Q47" si="11">B27</f>
        <v>楼层</v>
      </c>
      <c r="R27" s="1350" t="s">
        <v>65</v>
      </c>
      <c r="S27" s="1351">
        <f>F27</f>
        <v>100</v>
      </c>
      <c r="T27" s="1350" t="s">
        <v>65</v>
      </c>
      <c r="U27" s="1351">
        <f>H27</f>
        <v>100</v>
      </c>
      <c r="V27" s="1350" t="s">
        <v>65</v>
      </c>
      <c r="W27" s="1351">
        <f>J27</f>
        <v>100</v>
      </c>
      <c r="X27" s="2220"/>
      <c r="Y27" s="3621"/>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28"/>
      <c r="Q28" s="2211" t="str">
        <f t="shared" si="11"/>
        <v>朝向</v>
      </c>
      <c r="R28" s="1340" t="s">
        <v>65</v>
      </c>
      <c r="S28" s="1341">
        <f>F28</f>
        <v>100</v>
      </c>
      <c r="T28" s="1340" t="s">
        <v>65</v>
      </c>
      <c r="U28" s="1341">
        <f>H28</f>
        <v>100</v>
      </c>
      <c r="V28" s="1340" t="s">
        <v>65</v>
      </c>
      <c r="W28" s="1341">
        <f>J28</f>
        <v>100</v>
      </c>
      <c r="X28" s="287"/>
      <c r="Y28" s="3621"/>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28"/>
      <c r="Q29" s="2218">
        <f t="shared" si="11"/>
        <v>111</v>
      </c>
      <c r="R29" s="1350" t="s">
        <v>65</v>
      </c>
      <c r="S29" s="1351">
        <f t="shared" ref="S29:S47" si="12">F29</f>
        <v>100</v>
      </c>
      <c r="T29" s="1350" t="s">
        <v>65</v>
      </c>
      <c r="U29" s="1351">
        <f t="shared" ref="U29:U47" si="13">H29</f>
        <v>100</v>
      </c>
      <c r="V29" s="1350" t="s">
        <v>65</v>
      </c>
      <c r="W29" s="1351">
        <f t="shared" ref="W29:W47" si="14">J29</f>
        <v>100</v>
      </c>
      <c r="X29" s="2220"/>
      <c r="Y29" s="3621"/>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28"/>
      <c r="Q30" s="2218">
        <f t="shared" si="11"/>
        <v>111</v>
      </c>
      <c r="R30" s="1350" t="s">
        <v>65</v>
      </c>
      <c r="S30" s="1351">
        <f t="shared" si="12"/>
        <v>100</v>
      </c>
      <c r="T30" s="1350" t="s">
        <v>65</v>
      </c>
      <c r="U30" s="1351">
        <f t="shared" si="13"/>
        <v>100</v>
      </c>
      <c r="V30" s="1350" t="s">
        <v>65</v>
      </c>
      <c r="W30" s="1351">
        <f t="shared" si="14"/>
        <v>100</v>
      </c>
      <c r="X30" s="2220"/>
      <c r="Y30" s="3621"/>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28"/>
      <c r="Q31" s="2218">
        <f t="shared" si="11"/>
        <v>111</v>
      </c>
      <c r="R31" s="1350" t="s">
        <v>65</v>
      </c>
      <c r="S31" s="1351">
        <f t="shared" si="12"/>
        <v>100</v>
      </c>
      <c r="T31" s="1350" t="s">
        <v>65</v>
      </c>
      <c r="U31" s="1351">
        <f t="shared" si="13"/>
        <v>100</v>
      </c>
      <c r="V31" s="1350" t="s">
        <v>65</v>
      </c>
      <c r="W31" s="1351">
        <f t="shared" si="14"/>
        <v>100</v>
      </c>
      <c r="X31" s="2220"/>
      <c r="Y31" s="3621"/>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28"/>
      <c r="Q32" s="2218">
        <f t="shared" si="11"/>
        <v>111</v>
      </c>
      <c r="R32" s="1350" t="s">
        <v>65</v>
      </c>
      <c r="S32" s="1351">
        <f t="shared" si="12"/>
        <v>100</v>
      </c>
      <c r="T32" s="1350" t="s">
        <v>65</v>
      </c>
      <c r="U32" s="1351">
        <f t="shared" si="13"/>
        <v>100</v>
      </c>
      <c r="V32" s="1350" t="s">
        <v>65</v>
      </c>
      <c r="W32" s="1351">
        <f t="shared" si="14"/>
        <v>100</v>
      </c>
      <c r="X32" s="2220"/>
      <c r="Y32" s="3621"/>
      <c r="Z32" s="2219">
        <f t="shared" si="15"/>
        <v>111</v>
      </c>
      <c r="AA32" s="1353">
        <f t="shared" si="3"/>
        <v>1</v>
      </c>
      <c r="AB32" s="1353">
        <f t="shared" si="4"/>
        <v>1</v>
      </c>
      <c r="AC32" s="2336">
        <f t="shared" si="5"/>
        <v>1</v>
      </c>
    </row>
    <row r="33" spans="1:29" ht="15">
      <c r="A33" s="155" t="s">
        <v>1089</v>
      </c>
      <c r="B33" s="62" t="s">
        <v>1090</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22" t="s">
        <v>1091</v>
      </c>
      <c r="Q33" s="2218" t="str">
        <f t="shared" si="11"/>
        <v>建筑类型</v>
      </c>
      <c r="R33" s="1350" t="s">
        <v>65</v>
      </c>
      <c r="S33" s="1351">
        <f t="shared" si="12"/>
        <v>100</v>
      </c>
      <c r="T33" s="1350" t="s">
        <v>65</v>
      </c>
      <c r="U33" s="1351">
        <f t="shared" si="13"/>
        <v>100</v>
      </c>
      <c r="V33" s="1350" t="s">
        <v>65</v>
      </c>
      <c r="W33" s="1351">
        <f t="shared" si="14"/>
        <v>100</v>
      </c>
      <c r="X33" s="2220"/>
      <c r="Y33" s="3625" t="s">
        <v>1091</v>
      </c>
      <c r="Z33" s="2219" t="str">
        <f t="shared" si="15"/>
        <v>建筑类型</v>
      </c>
      <c r="AA33" s="1353">
        <f t="shared" si="3"/>
        <v>1</v>
      </c>
      <c r="AB33" s="1353">
        <f t="shared" si="4"/>
        <v>1</v>
      </c>
      <c r="AC33" s="2336">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9"/>
      <c r="M34" s="2301"/>
      <c r="N34" s="2301"/>
      <c r="O34" s="2301"/>
      <c r="P34" s="3623"/>
      <c r="Q34" s="1357" t="str">
        <f t="shared" si="11"/>
        <v>项目建筑规模</v>
      </c>
      <c r="R34" s="1358" t="s">
        <v>65</v>
      </c>
      <c r="S34" s="1359" t="e">
        <f t="shared" si="12"/>
        <v>#N/A</v>
      </c>
      <c r="T34" s="1358" t="s">
        <v>65</v>
      </c>
      <c r="U34" s="1359" t="e">
        <f t="shared" si="13"/>
        <v>#N/A</v>
      </c>
      <c r="V34" s="1358" t="s">
        <v>65</v>
      </c>
      <c r="W34" s="1359" t="e">
        <f t="shared" si="14"/>
        <v>#N/A</v>
      </c>
      <c r="X34" s="1360"/>
      <c r="Y34" s="3625"/>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23"/>
      <c r="Q35" s="2218" t="str">
        <f t="shared" si="11"/>
        <v>建筑结构</v>
      </c>
      <c r="R35" s="1350" t="s">
        <v>65</v>
      </c>
      <c r="S35" s="1351">
        <f t="shared" si="12"/>
        <v>100</v>
      </c>
      <c r="T35" s="1350" t="s">
        <v>65</v>
      </c>
      <c r="U35" s="1351">
        <f t="shared" si="13"/>
        <v>100</v>
      </c>
      <c r="V35" s="1350" t="s">
        <v>65</v>
      </c>
      <c r="W35" s="1351">
        <f t="shared" si="14"/>
        <v>100</v>
      </c>
      <c r="X35" s="2220"/>
      <c r="Y35" s="3625"/>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23"/>
      <c r="Q36" s="2218" t="str">
        <f t="shared" si="11"/>
        <v>公共部分装修</v>
      </c>
      <c r="R36" s="1350" t="s">
        <v>65</v>
      </c>
      <c r="S36" s="1351">
        <f t="shared" si="12"/>
        <v>100</v>
      </c>
      <c r="T36" s="1350" t="s">
        <v>65</v>
      </c>
      <c r="U36" s="1351">
        <f t="shared" si="13"/>
        <v>100</v>
      </c>
      <c r="V36" s="1350" t="s">
        <v>65</v>
      </c>
      <c r="W36" s="1351">
        <f t="shared" si="14"/>
        <v>100</v>
      </c>
      <c r="X36" s="2220"/>
      <c r="Y36" s="3625"/>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23"/>
      <c r="Q37" s="2218" t="str">
        <f t="shared" si="11"/>
        <v>成新度</v>
      </c>
      <c r="R37" s="1350" t="s">
        <v>65</v>
      </c>
      <c r="S37" s="1351" t="e">
        <f t="shared" si="12"/>
        <v>#N/A</v>
      </c>
      <c r="T37" s="1350" t="s">
        <v>65</v>
      </c>
      <c r="U37" s="1351" t="e">
        <f t="shared" si="13"/>
        <v>#N/A</v>
      </c>
      <c r="V37" s="1350" t="s">
        <v>65</v>
      </c>
      <c r="W37" s="1351" t="e">
        <f t="shared" si="14"/>
        <v>#N/A</v>
      </c>
      <c r="X37" s="2220"/>
      <c r="Y37" s="3625"/>
      <c r="Z37" s="2219" t="str">
        <f t="shared" si="15"/>
        <v>成新度</v>
      </c>
      <c r="AA37" s="1353" t="e">
        <f t="shared" si="3"/>
        <v>#N/A</v>
      </c>
      <c r="AB37" s="1353" t="e">
        <f t="shared" si="4"/>
        <v>#N/A</v>
      </c>
      <c r="AC37" s="2336"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23"/>
      <c r="Q38" s="2211" t="str">
        <f t="shared" si="11"/>
        <v>写字楼等级</v>
      </c>
      <c r="R38" s="1340" t="s">
        <v>65</v>
      </c>
      <c r="S38" s="1341">
        <f t="shared" si="12"/>
        <v>100</v>
      </c>
      <c r="T38" s="1340" t="s">
        <v>65</v>
      </c>
      <c r="U38" s="1341">
        <f t="shared" si="13"/>
        <v>100</v>
      </c>
      <c r="V38" s="1340" t="s">
        <v>65</v>
      </c>
      <c r="W38" s="1341">
        <f t="shared" si="14"/>
        <v>100</v>
      </c>
      <c r="X38" s="287"/>
      <c r="Y38" s="3625"/>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23" t="s">
        <v>70</v>
      </c>
      <c r="Q39" s="2218" t="str">
        <f t="shared" si="11"/>
        <v>物业管理</v>
      </c>
      <c r="R39" s="1350" t="s">
        <v>65</v>
      </c>
      <c r="S39" s="1351">
        <f t="shared" si="12"/>
        <v>100</v>
      </c>
      <c r="T39" s="1350" t="s">
        <v>65</v>
      </c>
      <c r="U39" s="1351">
        <f t="shared" si="13"/>
        <v>100</v>
      </c>
      <c r="V39" s="1350" t="s">
        <v>65</v>
      </c>
      <c r="W39" s="1351">
        <f t="shared" si="14"/>
        <v>100</v>
      </c>
      <c r="X39" s="2220"/>
      <c r="Y39" s="3625" t="s">
        <v>70</v>
      </c>
      <c r="Z39" s="2219" t="str">
        <f t="shared" si="15"/>
        <v>物业管理</v>
      </c>
      <c r="AA39" s="1353">
        <f t="shared" si="3"/>
        <v>1</v>
      </c>
      <c r="AB39" s="1353">
        <f t="shared" si="4"/>
        <v>1</v>
      </c>
      <c r="AC39" s="2336">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23"/>
      <c r="Q40" s="2218" t="str">
        <f t="shared" si="11"/>
        <v>市政基础设施</v>
      </c>
      <c r="R40" s="1350" t="s">
        <v>65</v>
      </c>
      <c r="S40" s="1351">
        <f t="shared" si="12"/>
        <v>100</v>
      </c>
      <c r="T40" s="1350" t="s">
        <v>65</v>
      </c>
      <c r="U40" s="1351">
        <f t="shared" si="13"/>
        <v>100</v>
      </c>
      <c r="V40" s="1350" t="s">
        <v>65</v>
      </c>
      <c r="W40" s="1351">
        <f t="shared" si="14"/>
        <v>100</v>
      </c>
      <c r="X40" s="2220"/>
      <c r="Y40" s="3625"/>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23"/>
      <c r="Q41" s="2218" t="str">
        <f t="shared" si="11"/>
        <v>层高</v>
      </c>
      <c r="R41" s="1350" t="s">
        <v>65</v>
      </c>
      <c r="S41" s="1351">
        <f t="shared" si="12"/>
        <v>100</v>
      </c>
      <c r="T41" s="1350" t="s">
        <v>65</v>
      </c>
      <c r="U41" s="1351">
        <f t="shared" si="13"/>
        <v>100</v>
      </c>
      <c r="V41" s="1350" t="s">
        <v>65</v>
      </c>
      <c r="W41" s="1351">
        <f t="shared" si="14"/>
        <v>100</v>
      </c>
      <c r="X41" s="2220"/>
      <c r="Y41" s="3625"/>
      <c r="Z41" s="2219" t="str">
        <f t="shared" si="15"/>
        <v>层高</v>
      </c>
      <c r="AA41" s="1353">
        <f t="shared" si="3"/>
        <v>1</v>
      </c>
      <c r="AB41" s="1353">
        <f t="shared" si="4"/>
        <v>1</v>
      </c>
      <c r="AC41" s="2336">
        <f t="shared" si="5"/>
        <v>1</v>
      </c>
    </row>
    <row r="42" spans="1:29" s="1037" customFormat="1" ht="14.25">
      <c r="A42" s="1041"/>
      <c r="B42" s="191" t="s">
        <v>1092</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23"/>
      <c r="Q42" s="1357" t="str">
        <f t="shared" si="11"/>
        <v>单套建筑面积</v>
      </c>
      <c r="R42" s="1358" t="s">
        <v>65</v>
      </c>
      <c r="S42" s="1359">
        <f t="shared" si="12"/>
        <v>100</v>
      </c>
      <c r="T42" s="1358" t="s">
        <v>65</v>
      </c>
      <c r="U42" s="1359">
        <f t="shared" si="13"/>
        <v>100</v>
      </c>
      <c r="V42" s="1358" t="s">
        <v>65</v>
      </c>
      <c r="W42" s="1359">
        <f t="shared" si="14"/>
        <v>100</v>
      </c>
      <c r="X42" s="1360"/>
      <c r="Y42" s="3625"/>
      <c r="Z42" s="1361" t="str">
        <f t="shared" si="15"/>
        <v>单套建筑面积</v>
      </c>
      <c r="AA42" s="1353">
        <f t="shared" si="3"/>
        <v>1</v>
      </c>
      <c r="AB42" s="1353">
        <f t="shared" si="4"/>
        <v>1</v>
      </c>
      <c r="AC42" s="2336">
        <f t="shared" si="5"/>
        <v>1</v>
      </c>
    </row>
    <row r="43" spans="1:29" ht="15">
      <c r="A43" s="161"/>
      <c r="B43" s="12" t="s">
        <v>1093</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23"/>
      <c r="Q43" s="2218" t="str">
        <f t="shared" si="11"/>
        <v>内部装修</v>
      </c>
      <c r="R43" s="1350" t="s">
        <v>65</v>
      </c>
      <c r="S43" s="1351">
        <f t="shared" si="12"/>
        <v>100</v>
      </c>
      <c r="T43" s="1350" t="s">
        <v>65</v>
      </c>
      <c r="U43" s="1351">
        <f t="shared" si="13"/>
        <v>100</v>
      </c>
      <c r="V43" s="1350" t="s">
        <v>65</v>
      </c>
      <c r="W43" s="1351">
        <f t="shared" si="14"/>
        <v>100</v>
      </c>
      <c r="X43" s="2220"/>
      <c r="Y43" s="3625"/>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23"/>
      <c r="Q44" s="2218" t="str">
        <f t="shared" si="11"/>
        <v>内部装修维护情况</v>
      </c>
      <c r="R44" s="1350" t="s">
        <v>65</v>
      </c>
      <c r="S44" s="1351">
        <f t="shared" si="12"/>
        <v>100</v>
      </c>
      <c r="T44" s="1350" t="s">
        <v>65</v>
      </c>
      <c r="U44" s="1351">
        <f t="shared" si="13"/>
        <v>100</v>
      </c>
      <c r="V44" s="1350" t="s">
        <v>65</v>
      </c>
      <c r="W44" s="1351">
        <f t="shared" si="14"/>
        <v>100</v>
      </c>
      <c r="X44" s="2220"/>
      <c r="Y44" s="3625"/>
      <c r="Z44" s="2219" t="str">
        <f t="shared" si="15"/>
        <v>内部装修维护情况</v>
      </c>
      <c r="AA44" s="1353">
        <f t="shared" si="3"/>
        <v>1</v>
      </c>
      <c r="AB44" s="1353">
        <f t="shared" si="4"/>
        <v>1</v>
      </c>
      <c r="AC44" s="2336">
        <f t="shared" si="5"/>
        <v>1</v>
      </c>
    </row>
    <row r="45" spans="1:29" s="40" customFormat="1" ht="14.25">
      <c r="A45" s="1039"/>
      <c r="B45" s="1355">
        <v>111</v>
      </c>
      <c r="C45" s="1356"/>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6"/>
      <c r="M45" s="2258"/>
      <c r="N45" s="2258"/>
      <c r="O45" s="2258"/>
      <c r="P45" s="3623"/>
      <c r="Q45" s="2211">
        <f t="shared" si="11"/>
        <v>111</v>
      </c>
      <c r="R45" s="1340" t="s">
        <v>65</v>
      </c>
      <c r="S45" s="1341">
        <f t="shared" si="12"/>
        <v>100</v>
      </c>
      <c r="T45" s="1340" t="s">
        <v>65</v>
      </c>
      <c r="U45" s="1341">
        <f t="shared" si="13"/>
        <v>100</v>
      </c>
      <c r="V45" s="1340" t="s">
        <v>65</v>
      </c>
      <c r="W45" s="1341">
        <f t="shared" si="14"/>
        <v>100</v>
      </c>
      <c r="X45" s="287"/>
      <c r="Y45" s="3625"/>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23"/>
      <c r="Q46" s="2218">
        <f t="shared" si="11"/>
        <v>111</v>
      </c>
      <c r="R46" s="1350" t="s">
        <v>65</v>
      </c>
      <c r="S46" s="1351">
        <f t="shared" si="12"/>
        <v>100</v>
      </c>
      <c r="T46" s="1350" t="s">
        <v>65</v>
      </c>
      <c r="U46" s="1351">
        <f t="shared" si="13"/>
        <v>100</v>
      </c>
      <c r="V46" s="1350" t="s">
        <v>65</v>
      </c>
      <c r="W46" s="1351">
        <f t="shared" si="14"/>
        <v>100</v>
      </c>
      <c r="X46" s="2220"/>
      <c r="Y46" s="3625"/>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24"/>
      <c r="Q47" s="2218">
        <f t="shared" si="11"/>
        <v>111</v>
      </c>
      <c r="R47" s="1350" t="s">
        <v>65</v>
      </c>
      <c r="S47" s="1351">
        <f t="shared" si="12"/>
        <v>100</v>
      </c>
      <c r="T47" s="1350" t="s">
        <v>65</v>
      </c>
      <c r="U47" s="1351">
        <f t="shared" si="13"/>
        <v>100</v>
      </c>
      <c r="V47" s="1350" t="s">
        <v>65</v>
      </c>
      <c r="W47" s="1351">
        <f t="shared" si="14"/>
        <v>100</v>
      </c>
      <c r="X47" s="2220"/>
      <c r="Y47" s="3626"/>
      <c r="Z47" s="2219">
        <f t="shared" si="15"/>
        <v>111</v>
      </c>
      <c r="AA47" s="1353">
        <f t="shared" si="3"/>
        <v>1</v>
      </c>
      <c r="AB47" s="1353">
        <f t="shared" si="4"/>
        <v>1</v>
      </c>
      <c r="AC47" s="2336">
        <f t="shared" si="5"/>
        <v>1</v>
      </c>
    </row>
    <row r="48" spans="1:29" ht="15">
      <c r="A48" s="163" t="s">
        <v>1034</v>
      </c>
      <c r="B48" s="164"/>
      <c r="C48" s="2832" t="s">
        <v>23</v>
      </c>
      <c r="D48" s="2833"/>
      <c r="E48" s="2834"/>
      <c r="F48" s="2835"/>
      <c r="G48" s="2836"/>
      <c r="H48" s="2837"/>
      <c r="I48" s="2834"/>
      <c r="J48" s="826"/>
      <c r="K48" s="1391"/>
      <c r="L48" s="2302"/>
      <c r="M48" s="2295"/>
      <c r="N48" s="2295"/>
      <c r="O48" s="2295"/>
      <c r="P48" s="3629" t="str">
        <f>A48</f>
        <v>成交单价（元/平方米）</v>
      </c>
      <c r="Q48" s="3618"/>
      <c r="R48" s="3619">
        <f>E48</f>
        <v>0</v>
      </c>
      <c r="S48" s="3619"/>
      <c r="T48" s="3619">
        <f>G48</f>
        <v>0</v>
      </c>
      <c r="U48" s="3619"/>
      <c r="V48" s="3619">
        <f>I48</f>
        <v>0</v>
      </c>
      <c r="W48" s="3619"/>
      <c r="X48" s="156"/>
      <c r="Y48" s="1364"/>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0"/>
      <c r="K49" s="1392"/>
      <c r="L49" s="2302"/>
      <c r="M49" s="2295"/>
      <c r="N49" s="2295"/>
      <c r="O49" s="2295"/>
      <c r="P49" s="3629" t="str">
        <f>A49</f>
        <v>比较价值（元/平方米）</v>
      </c>
      <c r="Q49" s="3618"/>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56"/>
      <c r="Y49" s="156"/>
      <c r="Z49" s="156"/>
      <c r="AA49" s="156"/>
      <c r="AB49" s="156"/>
      <c r="AC49" s="209"/>
    </row>
    <row r="50" spans="1:29" ht="15.75" thickBot="1">
      <c r="A50" s="115" t="s">
        <v>3023</v>
      </c>
      <c r="B50" s="116"/>
      <c r="C50" s="2842" t="e">
        <f>R50</f>
        <v>#DIV/0!</v>
      </c>
      <c r="D50" s="2842"/>
      <c r="E50" s="2842"/>
      <c r="F50" s="2842"/>
      <c r="G50" s="2842"/>
      <c r="H50" s="2842"/>
      <c r="I50" s="2842"/>
      <c r="J50" s="835"/>
      <c r="K50" s="1393"/>
      <c r="L50" s="2302"/>
      <c r="M50" s="2295"/>
      <c r="N50" s="2295"/>
      <c r="O50" s="2295"/>
      <c r="P50" s="3661" t="str">
        <f>A50</f>
        <v>估价对象XX用房的比较价值（楼面单价，元/平方米）</v>
      </c>
      <c r="Q50" s="3662"/>
      <c r="R50" s="3663" t="e">
        <f>IF(F1="售价",ROUND(AVERAGE(R49:V49),0),ROUND(AVERAGE(R49:V49),1))</f>
        <v>#DIV/0!</v>
      </c>
      <c r="S50" s="3663"/>
      <c r="T50" s="3663"/>
      <c r="U50" s="3663"/>
      <c r="V50" s="3663"/>
      <c r="W50" s="3663"/>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1004</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1005</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1006</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1036</v>
      </c>
      <c r="B58" s="1363"/>
      <c r="C58" s="1371"/>
      <c r="D58" s="1371"/>
      <c r="E58" s="1371"/>
      <c r="F58" s="1372"/>
      <c r="G58" s="1372"/>
      <c r="H58" s="1371"/>
      <c r="I58" s="1371"/>
      <c r="J58" s="1371"/>
      <c r="K58" s="1373"/>
      <c r="L58" s="2310"/>
      <c r="M58" s="2311"/>
      <c r="N58" s="2311"/>
      <c r="O58" s="2311"/>
      <c r="P58" s="2325"/>
      <c r="Q58" s="121"/>
    </row>
    <row r="59" spans="1:29" s="849" customFormat="1" ht="15">
      <c r="A59" s="846" t="s">
        <v>2798</v>
      </c>
      <c r="B59" s="847"/>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3"/>
      <c r="B60" s="1044"/>
      <c r="C60" s="3038">
        <v>100</v>
      </c>
      <c r="D60" s="853"/>
      <c r="E60" s="853"/>
      <c r="F60" s="853"/>
      <c r="G60" s="853"/>
      <c r="H60" s="853"/>
      <c r="I60" s="853"/>
      <c r="J60" s="853"/>
      <c r="K60" s="853"/>
      <c r="L60" s="853"/>
      <c r="M60" s="854"/>
      <c r="N60" s="853"/>
      <c r="O60" s="854"/>
      <c r="P60" s="2326"/>
    </row>
    <row r="61" spans="1:29" s="40" customFormat="1" ht="15" thickBot="1">
      <c r="A61" s="1045" t="s">
        <v>1037</v>
      </c>
      <c r="B61" s="1046"/>
      <c r="C61" s="858"/>
      <c r="D61" s="859"/>
      <c r="E61" s="859"/>
      <c r="F61" s="859"/>
      <c r="G61" s="859"/>
      <c r="H61" s="859"/>
      <c r="I61" s="859"/>
      <c r="J61" s="859"/>
      <c r="K61" s="859"/>
      <c r="L61" s="859"/>
      <c r="M61" s="860"/>
      <c r="N61" s="859"/>
      <c r="O61" s="860"/>
      <c r="P61" s="2326"/>
      <c r="Q61" s="121"/>
    </row>
    <row r="62" spans="1:29" s="40" customFormat="1">
      <c r="A62" s="1047" t="s">
        <v>1038</v>
      </c>
      <c r="B62" s="1044"/>
      <c r="C62" s="1048" t="s">
        <v>1039</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1040</v>
      </c>
      <c r="B64" s="286" t="s">
        <v>1041</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1042</v>
      </c>
      <c r="C66" s="880" t="s">
        <v>1007</v>
      </c>
      <c r="D66" s="880" t="s">
        <v>1008</v>
      </c>
      <c r="E66" s="880" t="s">
        <v>1009</v>
      </c>
      <c r="F66" s="880" t="s">
        <v>1010</v>
      </c>
      <c r="G66" s="880" t="s">
        <v>1011</v>
      </c>
      <c r="H66" s="880" t="s">
        <v>1012</v>
      </c>
      <c r="I66" s="880" t="s">
        <v>1013</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1043</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1044</v>
      </c>
      <c r="B77" s="286" t="s">
        <v>1094</v>
      </c>
      <c r="C77" s="914" t="s">
        <v>1014</v>
      </c>
      <c r="D77" s="914" t="s">
        <v>1015</v>
      </c>
      <c r="E77" s="914" t="s">
        <v>1016</v>
      </c>
      <c r="F77" s="914" t="s">
        <v>1017</v>
      </c>
      <c r="G77" s="914" t="s">
        <v>1018</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1051</v>
      </c>
      <c r="C79" s="919" t="s">
        <v>1014</v>
      </c>
      <c r="D79" s="919" t="s">
        <v>1015</v>
      </c>
      <c r="E79" s="919" t="s">
        <v>1016</v>
      </c>
      <c r="F79" s="919" t="s">
        <v>1103</v>
      </c>
      <c r="G79" s="919" t="s">
        <v>1018</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1014</v>
      </c>
      <c r="D81" s="919" t="s">
        <v>1015</v>
      </c>
      <c r="E81" s="919" t="s">
        <v>1016</v>
      </c>
      <c r="F81" s="919" t="s">
        <v>1017</v>
      </c>
      <c r="G81" s="919" t="s">
        <v>1018</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2668</v>
      </c>
      <c r="C83" s="213" t="s">
        <v>2661</v>
      </c>
      <c r="D83" s="213" t="s">
        <v>2662</v>
      </c>
      <c r="E83" s="213" t="s">
        <v>2663</v>
      </c>
      <c r="F83" s="213" t="s">
        <v>2664</v>
      </c>
      <c r="G83" s="213" t="s">
        <v>2665</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1095</v>
      </c>
      <c r="C85" s="919" t="s">
        <v>1014</v>
      </c>
      <c r="D85" s="919" t="s">
        <v>1015</v>
      </c>
      <c r="E85" s="919" t="s">
        <v>1016</v>
      </c>
      <c r="F85" s="919" t="s">
        <v>1017</v>
      </c>
      <c r="G85" s="919" t="s">
        <v>1018</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1096</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1054</v>
      </c>
      <c r="B101" s="286" t="s">
        <v>1097</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1056</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1057</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1058</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1098</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1099</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2643</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1061</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1062</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1064</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1065</v>
      </c>
      <c r="C125" s="919" t="s">
        <v>1014</v>
      </c>
      <c r="D125" s="919" t="s">
        <v>1015</v>
      </c>
      <c r="E125" s="919" t="s">
        <v>1016</v>
      </c>
      <c r="F125" s="919" t="s">
        <v>1017</v>
      </c>
      <c r="G125" s="919" t="s">
        <v>1018</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1109</v>
      </c>
      <c r="B3" s="950" t="e">
        <f ca="1">IF(C2="——",C43,ROUND(B2*10000/D3,0))</f>
        <v>#DIV/0!</v>
      </c>
      <c r="C3" s="142" t="s">
        <v>1110</v>
      </c>
      <c r="D3" s="742">
        <f>IF(D1="",'数据-汇总表'!E3,SUMIF('数据-汇总表'!$C19:$C33,D1,'数据-汇总表'!$E19:$E33))</f>
        <v>123111.63</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1111</v>
      </c>
      <c r="B4" s="144"/>
      <c r="C4" s="3633" t="s">
        <v>1112</v>
      </c>
      <c r="D4" s="3634"/>
      <c r="E4" s="3635" t="s">
        <v>1113</v>
      </c>
      <c r="F4" s="3636"/>
      <c r="G4" s="3633" t="s">
        <v>1114</v>
      </c>
      <c r="H4" s="3634"/>
      <c r="I4" s="3633" t="s">
        <v>1115</v>
      </c>
      <c r="J4" s="3634"/>
      <c r="K4" s="187" t="s">
        <v>1116</v>
      </c>
      <c r="L4" s="2294"/>
      <c r="M4" s="2295"/>
      <c r="N4" s="2295"/>
      <c r="O4" s="2295"/>
      <c r="P4" s="3637" t="s">
        <v>1111</v>
      </c>
      <c r="Q4" s="3638"/>
      <c r="R4" s="3643" t="s">
        <v>1113</v>
      </c>
      <c r="S4" s="3644"/>
      <c r="T4" s="3643" t="s">
        <v>1114</v>
      </c>
      <c r="U4" s="3644"/>
      <c r="V4" s="3649" t="s">
        <v>1115</v>
      </c>
      <c r="W4" s="3649"/>
      <c r="X4" s="1338"/>
      <c r="Y4" s="3643" t="s">
        <v>1111</v>
      </c>
      <c r="Z4" s="3644"/>
      <c r="AA4" s="3630" t="s">
        <v>1113</v>
      </c>
      <c r="AB4" s="3631" t="s">
        <v>1114</v>
      </c>
      <c r="AC4" s="3630" t="s">
        <v>1115</v>
      </c>
    </row>
    <row r="5" spans="1:29">
      <c r="A5" s="146"/>
      <c r="B5" s="147"/>
      <c r="C5" s="3652" t="s">
        <v>1117</v>
      </c>
      <c r="D5" s="3653"/>
      <c r="E5" s="3659" t="s">
        <v>1118</v>
      </c>
      <c r="F5" s="3660"/>
      <c r="G5" s="3652" t="s">
        <v>1119</v>
      </c>
      <c r="H5" s="3653"/>
      <c r="I5" s="3652" t="s">
        <v>1120</v>
      </c>
      <c r="J5" s="3653"/>
      <c r="K5" s="187"/>
      <c r="L5" s="2294"/>
      <c r="M5" s="2295"/>
      <c r="N5" s="2295"/>
      <c r="O5" s="2295"/>
      <c r="P5" s="3639"/>
      <c r="Q5" s="3640"/>
      <c r="R5" s="3645"/>
      <c r="S5" s="3646"/>
      <c r="T5" s="3645"/>
      <c r="U5" s="3646"/>
      <c r="V5" s="3649"/>
      <c r="W5" s="3649"/>
      <c r="X5" s="1338"/>
      <c r="Y5" s="3645"/>
      <c r="Z5" s="3646"/>
      <c r="AA5" s="3631"/>
      <c r="AB5" s="3631"/>
      <c r="AC5" s="3631"/>
    </row>
    <row r="6" spans="1:29" ht="14.25" thickBot="1">
      <c r="A6" s="148"/>
      <c r="B6" s="149"/>
      <c r="C6" s="3650" t="s">
        <v>1121</v>
      </c>
      <c r="D6" s="3651"/>
      <c r="E6" s="3657" t="s">
        <v>1121</v>
      </c>
      <c r="F6" s="3658"/>
      <c r="G6" s="3650" t="s">
        <v>1121</v>
      </c>
      <c r="H6" s="3651"/>
      <c r="I6" s="3650" t="s">
        <v>1121</v>
      </c>
      <c r="J6" s="3651"/>
      <c r="K6" s="187" t="s">
        <v>1122</v>
      </c>
      <c r="L6" s="2294"/>
      <c r="M6" s="2295"/>
      <c r="N6" s="2295"/>
      <c r="O6" s="2295"/>
      <c r="P6" s="3641"/>
      <c r="Q6" s="3642"/>
      <c r="R6" s="3645"/>
      <c r="S6" s="3646"/>
      <c r="T6" s="3647"/>
      <c r="U6" s="3648"/>
      <c r="V6" s="3649"/>
      <c r="W6" s="3649"/>
      <c r="X6" s="1338"/>
      <c r="Y6" s="3647"/>
      <c r="Z6" s="3648"/>
      <c r="AA6" s="3632"/>
      <c r="AB6" s="3632"/>
      <c r="AC6" s="3632"/>
    </row>
    <row r="7" spans="1:29" s="40" customFormat="1" ht="15" thickBot="1">
      <c r="A7" s="1012" t="s">
        <v>1123</v>
      </c>
      <c r="B7" s="1013"/>
      <c r="C7" s="753">
        <f>'数据-取费表'!B2</f>
        <v>42962</v>
      </c>
      <c r="D7" s="754">
        <v>100</v>
      </c>
      <c r="E7" s="1015"/>
      <c r="F7" s="756">
        <f>SUMIF(52:52,YEAR(E7)&amp;"-"&amp;MONTH(E7),53:53)</f>
        <v>0</v>
      </c>
      <c r="G7" s="1015"/>
      <c r="H7" s="754">
        <f>SUMIF(52:52,YEAR(G7)&amp;"-"&amp;MONTH(G7),53:53)</f>
        <v>0</v>
      </c>
      <c r="I7" s="1015"/>
      <c r="J7" s="754">
        <f>SUMIF(52:52,YEAR(I7)&amp;"-"&amp;MONTH(I7),53:53)</f>
        <v>0</v>
      </c>
      <c r="K7" s="1017"/>
      <c r="L7" s="2296"/>
      <c r="M7" s="2258"/>
      <c r="N7" s="2258"/>
      <c r="O7" s="2258"/>
      <c r="P7" s="3654" t="s">
        <v>1123</v>
      </c>
      <c r="Q7" s="3656"/>
      <c r="R7" s="1340" t="s">
        <v>65</v>
      </c>
      <c r="S7" s="1341">
        <f t="shared" ref="S7:S15" si="0">F7</f>
        <v>0</v>
      </c>
      <c r="T7" s="1340" t="s">
        <v>65</v>
      </c>
      <c r="U7" s="1341">
        <f t="shared" ref="U7:U15" si="1">H7</f>
        <v>0</v>
      </c>
      <c r="V7" s="1340" t="s">
        <v>65</v>
      </c>
      <c r="W7" s="1341">
        <f t="shared" ref="W7:W15" si="2">J7</f>
        <v>0</v>
      </c>
      <c r="X7" s="287"/>
      <c r="Y7" s="3654" t="s">
        <v>1123</v>
      </c>
      <c r="Z7" s="3655"/>
      <c r="AA7" s="1342" t="e">
        <f>D7/F7</f>
        <v>#DIV/0!</v>
      </c>
      <c r="AB7" s="1342" t="e">
        <f>D7/H7</f>
        <v>#DIV/0!</v>
      </c>
      <c r="AC7" s="1342" t="e">
        <f>D7/J7</f>
        <v>#DIV/0!</v>
      </c>
    </row>
    <row r="8" spans="1:29" s="40" customFormat="1" ht="15" thickBot="1">
      <c r="A8" s="1012" t="s">
        <v>1124</v>
      </c>
      <c r="B8" s="1013"/>
      <c r="C8" s="1018" t="s">
        <v>155</v>
      </c>
      <c r="D8" s="754">
        <v>100</v>
      </c>
      <c r="E8" s="1018"/>
      <c r="F8" s="756">
        <f>SUMIF(55:55,E8,56:56)-SUMIF(55:55,C8,56:56)+100</f>
        <v>0</v>
      </c>
      <c r="G8" s="1018"/>
      <c r="H8" s="754">
        <f>SUMIF(55:55,G8,56:56)-SUMIF(55:55,C8,56:56)+100</f>
        <v>0</v>
      </c>
      <c r="I8" s="1018"/>
      <c r="J8" s="754">
        <f>SUMIF(55:55,I8,56:56)-SUMIF(55:55,C8,56:56)+100</f>
        <v>0</v>
      </c>
      <c r="K8" s="1017"/>
      <c r="L8" s="2296"/>
      <c r="M8" s="2258"/>
      <c r="N8" s="2258"/>
      <c r="O8" s="2258"/>
      <c r="P8" s="3654" t="s">
        <v>1019</v>
      </c>
      <c r="Q8" s="3655"/>
      <c r="R8" s="1340" t="s">
        <v>65</v>
      </c>
      <c r="S8" s="1341">
        <f t="shared" si="0"/>
        <v>0</v>
      </c>
      <c r="T8" s="1340" t="s">
        <v>65</v>
      </c>
      <c r="U8" s="1341">
        <f t="shared" si="1"/>
        <v>0</v>
      </c>
      <c r="V8" s="1340" t="s">
        <v>65</v>
      </c>
      <c r="W8" s="1341">
        <f t="shared" si="2"/>
        <v>0</v>
      </c>
      <c r="X8" s="287"/>
      <c r="Y8" s="3654" t="s">
        <v>1019</v>
      </c>
      <c r="Z8" s="3655"/>
      <c r="AA8" s="1342" t="e">
        <f t="shared" ref="AA8:AA40" si="3">D8/F8</f>
        <v>#DIV/0!</v>
      </c>
      <c r="AB8" s="1342" t="e">
        <f t="shared" ref="AB8:AB40" si="4">D8/H8</f>
        <v>#DIV/0!</v>
      </c>
      <c r="AC8" s="1342" t="e">
        <f t="shared" ref="AC8:AC40" si="5">D8/J8</f>
        <v>#DIV/0!</v>
      </c>
    </row>
    <row r="9" spans="1:29" s="40" customFormat="1" ht="14.25">
      <c r="A9" s="1019" t="s">
        <v>1020</v>
      </c>
      <c r="B9" s="62" t="s">
        <v>1021</v>
      </c>
      <c r="C9" s="1344"/>
      <c r="D9" s="425">
        <v>100</v>
      </c>
      <c r="E9" s="1346"/>
      <c r="F9" s="425">
        <f>SUMIF(57:57,E9,58:58)-SUMIF(57:57,C9,58:58)+100</f>
        <v>100</v>
      </c>
      <c r="G9" s="1345"/>
      <c r="H9" s="425">
        <f>SUMIF(57:57,G9,58:58)-SUMIF(57:57,C9,58:58)+100</f>
        <v>100</v>
      </c>
      <c r="I9" s="1345"/>
      <c r="J9" s="425">
        <f>SUMIF(57:57,I9,58:58)-SUMIF(57:57,C9,58:58)+100</f>
        <v>100</v>
      </c>
      <c r="K9" s="1017"/>
      <c r="L9" s="2296"/>
      <c r="M9" s="2258"/>
      <c r="N9" s="2258"/>
      <c r="O9" s="2337"/>
      <c r="P9" s="3618" t="s">
        <v>67</v>
      </c>
      <c r="Q9" s="7" t="str">
        <f t="shared" ref="Q9:Q15" si="6">B9</f>
        <v>用途</v>
      </c>
      <c r="R9" s="1340" t="s">
        <v>65</v>
      </c>
      <c r="S9" s="1341">
        <f t="shared" si="0"/>
        <v>100</v>
      </c>
      <c r="T9" s="1340" t="s">
        <v>65</v>
      </c>
      <c r="U9" s="1341">
        <f t="shared" si="1"/>
        <v>100</v>
      </c>
      <c r="V9" s="1340" t="s">
        <v>65</v>
      </c>
      <c r="W9" s="1341">
        <f t="shared" si="2"/>
        <v>100</v>
      </c>
      <c r="X9" s="287"/>
      <c r="Y9" s="341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3"/>
      <c r="L10" s="2297"/>
      <c r="M10" s="2298"/>
      <c r="N10" s="2298"/>
      <c r="O10" s="2338"/>
      <c r="P10" s="3618"/>
      <c r="Q10" s="7" t="str">
        <f t="shared" si="6"/>
        <v>土地使用年限（年）</v>
      </c>
      <c r="R10" s="1340" t="s">
        <v>65</v>
      </c>
      <c r="S10" s="1341">
        <f t="shared" si="0"/>
        <v>100</v>
      </c>
      <c r="T10" s="1340" t="s">
        <v>65</v>
      </c>
      <c r="U10" s="1341">
        <f t="shared" si="1"/>
        <v>100</v>
      </c>
      <c r="V10" s="1340" t="s">
        <v>65</v>
      </c>
      <c r="W10" s="1341">
        <f t="shared" si="2"/>
        <v>100</v>
      </c>
      <c r="X10" s="287"/>
      <c r="Y10" s="3412"/>
      <c r="Z10" s="288" t="str">
        <f t="shared" si="7"/>
        <v>土地使用年限（年）</v>
      </c>
      <c r="AA10" s="1342">
        <f t="shared" si="3"/>
        <v>1</v>
      </c>
      <c r="AB10" s="1342">
        <f t="shared" si="4"/>
        <v>1</v>
      </c>
      <c r="AC10" s="1342">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9"/>
      <c r="M11" s="2295"/>
      <c r="N11" s="2295"/>
      <c r="O11" s="2339"/>
      <c r="P11" s="3618"/>
      <c r="Q11" s="7" t="str">
        <f t="shared" si="6"/>
        <v>容积率</v>
      </c>
      <c r="R11" s="1340" t="s">
        <v>65</v>
      </c>
      <c r="S11" s="1341" t="e">
        <f t="shared" si="0"/>
        <v>#N/A</v>
      </c>
      <c r="T11" s="1340" t="s">
        <v>65</v>
      </c>
      <c r="U11" s="1341" t="e">
        <f t="shared" si="1"/>
        <v>#N/A</v>
      </c>
      <c r="V11" s="1340" t="s">
        <v>65</v>
      </c>
      <c r="W11" s="1341" t="e">
        <f t="shared" si="2"/>
        <v>#N/A</v>
      </c>
      <c r="X11" s="287"/>
      <c r="Y11" s="341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6">
        <f>SUMIF(64:64,E12,65:65)-SUMIF(64:64,C12,65:65)+100</f>
        <v>100</v>
      </c>
      <c r="G12" s="1409"/>
      <c r="H12" s="426">
        <f>SUMIF(64:64,G12,65:65)-SUMIF(64:64,C12,65:65)+100</f>
        <v>100</v>
      </c>
      <c r="I12" s="1356"/>
      <c r="J12" s="426">
        <f>SUMIF(64:64,I12,65:65)-SUMIF(64:64,C12,65:65)+100</f>
        <v>100</v>
      </c>
      <c r="K12" s="188"/>
      <c r="L12" s="2296"/>
      <c r="M12" s="2258"/>
      <c r="N12" s="2258"/>
      <c r="O12" s="2337"/>
      <c r="P12" s="3618"/>
      <c r="Q12" s="7">
        <f t="shared" si="6"/>
        <v>111</v>
      </c>
      <c r="R12" s="1340" t="s">
        <v>65</v>
      </c>
      <c r="S12" s="1341">
        <f t="shared" si="0"/>
        <v>100</v>
      </c>
      <c r="T12" s="1340" t="s">
        <v>65</v>
      </c>
      <c r="U12" s="1341">
        <f t="shared" si="1"/>
        <v>100</v>
      </c>
      <c r="V12" s="1340" t="s">
        <v>65</v>
      </c>
      <c r="W12" s="1341">
        <f t="shared" si="2"/>
        <v>100</v>
      </c>
      <c r="X12" s="287"/>
      <c r="Y12" s="3412"/>
      <c r="Z12" s="288">
        <f t="shared" si="7"/>
        <v>111</v>
      </c>
      <c r="AA12" s="1342">
        <f>D12/F12</f>
        <v>1</v>
      </c>
      <c r="AB12" s="1342">
        <f>D12/H12</f>
        <v>1</v>
      </c>
      <c r="AC12" s="1342">
        <f>D12/J12</f>
        <v>1</v>
      </c>
    </row>
    <row r="13" spans="1:29" ht="14.25">
      <c r="A13" s="151"/>
      <c r="B13" s="1029">
        <v>111</v>
      </c>
      <c r="C13" s="93"/>
      <c r="D13" s="776">
        <v>100</v>
      </c>
      <c r="E13" s="93"/>
      <c r="F13" s="426">
        <f>SUMIF(66:66,E13,67:67)-SUMIF(66:66,C13,67:67)+100</f>
        <v>100</v>
      </c>
      <c r="G13" s="1409"/>
      <c r="H13" s="776">
        <f>SUMIF(66:66,G13,67:67)-SUMIF(66:66,C13,67:67)+100</f>
        <v>100</v>
      </c>
      <c r="I13" s="1356"/>
      <c r="J13" s="776">
        <f>SUMIF(66:66,I13,67:67)-SUMIF(66:66,C13,67:67)+100</f>
        <v>100</v>
      </c>
      <c r="K13" s="188"/>
      <c r="L13" s="2300"/>
      <c r="M13" s="2295"/>
      <c r="N13" s="2295"/>
      <c r="O13" s="2339"/>
      <c r="P13" s="3618"/>
      <c r="Q13" s="7">
        <f t="shared" si="6"/>
        <v>111</v>
      </c>
      <c r="R13" s="1340" t="s">
        <v>65</v>
      </c>
      <c r="S13" s="1341">
        <f t="shared" si="0"/>
        <v>100</v>
      </c>
      <c r="T13" s="1340" t="s">
        <v>65</v>
      </c>
      <c r="U13" s="1341">
        <f t="shared" si="1"/>
        <v>100</v>
      </c>
      <c r="V13" s="1340" t="s">
        <v>65</v>
      </c>
      <c r="W13" s="1341">
        <f t="shared" si="2"/>
        <v>100</v>
      </c>
      <c r="X13" s="287"/>
      <c r="Y13" s="3412"/>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18"/>
      <c r="Q14" s="7">
        <f t="shared" si="6"/>
        <v>111</v>
      </c>
      <c r="R14" s="1340" t="s">
        <v>65</v>
      </c>
      <c r="S14" s="1341">
        <f t="shared" si="0"/>
        <v>100</v>
      </c>
      <c r="T14" s="1340" t="s">
        <v>65</v>
      </c>
      <c r="U14" s="1341">
        <f t="shared" si="1"/>
        <v>100</v>
      </c>
      <c r="V14" s="1340" t="s">
        <v>65</v>
      </c>
      <c r="W14" s="1341">
        <f t="shared" si="2"/>
        <v>100</v>
      </c>
      <c r="X14" s="287"/>
      <c r="Y14" s="341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20" t="s">
        <v>69</v>
      </c>
      <c r="Q15" s="1349" t="str">
        <f t="shared" si="6"/>
        <v>产业集聚程度</v>
      </c>
      <c r="R15" s="1350" t="s">
        <v>65</v>
      </c>
      <c r="S15" s="1351">
        <f t="shared" si="0"/>
        <v>100</v>
      </c>
      <c r="T15" s="1350" t="s">
        <v>65</v>
      </c>
      <c r="U15" s="1351">
        <f t="shared" si="1"/>
        <v>100</v>
      </c>
      <c r="V15" s="1350" t="s">
        <v>65</v>
      </c>
      <c r="W15" s="1351">
        <f t="shared" si="2"/>
        <v>100</v>
      </c>
      <c r="X15" s="1338"/>
      <c r="Y15" s="3620"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21"/>
      <c r="Q16" s="1349"/>
      <c r="R16" s="1350"/>
      <c r="S16" s="1351"/>
      <c r="T16" s="1350"/>
      <c r="U16" s="1351"/>
      <c r="V16" s="1350"/>
      <c r="W16" s="1351"/>
      <c r="X16" s="1338"/>
      <c r="Y16" s="3621"/>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21"/>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21"/>
      <c r="Q18" s="1349"/>
      <c r="R18" s="1350"/>
      <c r="S18" s="1351"/>
      <c r="T18" s="1350"/>
      <c r="U18" s="1351"/>
      <c r="V18" s="1350"/>
      <c r="W18" s="1351"/>
      <c r="X18" s="1338"/>
      <c r="Y18" s="3621"/>
      <c r="Z18" s="1352"/>
      <c r="AA18" s="1353">
        <v>1</v>
      </c>
      <c r="AB18" s="1353">
        <v>1</v>
      </c>
      <c r="AC18" s="1353">
        <v>1</v>
      </c>
    </row>
    <row r="19" spans="1:29" ht="40.5">
      <c r="A19" s="151"/>
      <c r="B19" s="1354"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21"/>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21"/>
      <c r="Q20" s="1349"/>
      <c r="R20" s="1350"/>
      <c r="S20" s="1351"/>
      <c r="T20" s="1350"/>
      <c r="U20" s="1351"/>
      <c r="V20" s="1350"/>
      <c r="W20" s="1351"/>
      <c r="X20" s="1338"/>
      <c r="Y20" s="3621"/>
      <c r="Z20" s="1352"/>
      <c r="AA20" s="1353">
        <v>1</v>
      </c>
      <c r="AB20" s="1353">
        <v>1</v>
      </c>
      <c r="AC20" s="1353">
        <v>1</v>
      </c>
    </row>
    <row r="21" spans="1:29" ht="40.5">
      <c r="A21" s="151"/>
      <c r="B21" s="1410"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21"/>
      <c r="Q21" s="2745" t="str">
        <f>B21</f>
        <v>基础设施水平</v>
      </c>
      <c r="R21" s="1350" t="s">
        <v>65</v>
      </c>
      <c r="S21" s="1351">
        <f>F21</f>
        <v>100</v>
      </c>
      <c r="T21" s="1350" t="s">
        <v>65</v>
      </c>
      <c r="U21" s="1351">
        <f>H21</f>
        <v>100</v>
      </c>
      <c r="V21" s="1350" t="s">
        <v>65</v>
      </c>
      <c r="W21" s="1351">
        <f>J21</f>
        <v>100</v>
      </c>
      <c r="X21" s="2747"/>
      <c r="Y21" s="3621"/>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21"/>
      <c r="Q22" s="2745"/>
      <c r="R22" s="1350"/>
      <c r="S22" s="1351"/>
      <c r="T22" s="1350"/>
      <c r="U22" s="1351"/>
      <c r="V22" s="1350"/>
      <c r="W22" s="1351"/>
      <c r="X22" s="2747"/>
      <c r="Y22" s="3621"/>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21"/>
      <c r="Q23" s="1349" t="str">
        <f>B23</f>
        <v>环境质量</v>
      </c>
      <c r="R23" s="1350" t="s">
        <v>65</v>
      </c>
      <c r="S23" s="1351">
        <f>F23</f>
        <v>100</v>
      </c>
      <c r="T23" s="1350" t="s">
        <v>65</v>
      </c>
      <c r="U23" s="1351">
        <f>H23</f>
        <v>100</v>
      </c>
      <c r="V23" s="1350" t="s">
        <v>65</v>
      </c>
      <c r="W23" s="1351">
        <f>J23</f>
        <v>100</v>
      </c>
      <c r="X23" s="1338"/>
      <c r="Y23" s="3621"/>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21"/>
      <c r="Q24" s="1349"/>
      <c r="R24" s="1350"/>
      <c r="S24" s="1351"/>
      <c r="T24" s="1350"/>
      <c r="U24" s="1351"/>
      <c r="V24" s="1350"/>
      <c r="W24" s="1351"/>
      <c r="X24" s="1338"/>
      <c r="Y24" s="3621"/>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21"/>
      <c r="Q25" s="1349">
        <f>B25</f>
        <v>111</v>
      </c>
      <c r="R25" s="1350" t="s">
        <v>65</v>
      </c>
      <c r="S25" s="1351">
        <f>F25</f>
        <v>100</v>
      </c>
      <c r="T25" s="1350" t="s">
        <v>65</v>
      </c>
      <c r="U25" s="1351">
        <f>H25</f>
        <v>100</v>
      </c>
      <c r="V25" s="1350" t="s">
        <v>65</v>
      </c>
      <c r="W25" s="1351">
        <f>J25</f>
        <v>100</v>
      </c>
      <c r="X25" s="1338"/>
      <c r="Y25" s="3621"/>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21"/>
      <c r="Q26" s="1349">
        <f t="shared" ref="Q26:Q40" si="11">B26</f>
        <v>111</v>
      </c>
      <c r="R26" s="1350" t="s">
        <v>65</v>
      </c>
      <c r="S26" s="1351">
        <f>F26</f>
        <v>100</v>
      </c>
      <c r="T26" s="1350" t="s">
        <v>65</v>
      </c>
      <c r="U26" s="1351">
        <f>H26</f>
        <v>100</v>
      </c>
      <c r="V26" s="1350" t="s">
        <v>65</v>
      </c>
      <c r="W26" s="1351">
        <f>J26</f>
        <v>100</v>
      </c>
      <c r="X26" s="1338"/>
      <c r="Y26" s="3621"/>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21"/>
      <c r="Q27" s="7">
        <f t="shared" si="11"/>
        <v>111</v>
      </c>
      <c r="R27" s="1340" t="s">
        <v>65</v>
      </c>
      <c r="S27" s="1341">
        <f>F27</f>
        <v>100</v>
      </c>
      <c r="T27" s="1340" t="s">
        <v>65</v>
      </c>
      <c r="U27" s="1341">
        <f>H27</f>
        <v>100</v>
      </c>
      <c r="V27" s="1340" t="s">
        <v>65</v>
      </c>
      <c r="W27" s="1341">
        <f>J27</f>
        <v>100</v>
      </c>
      <c r="X27" s="287"/>
      <c r="Y27" s="3621"/>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2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21"/>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76" t="s">
        <v>1125</v>
      </c>
      <c r="Q29" s="1349" t="str">
        <f t="shared" si="11"/>
        <v>建筑类型</v>
      </c>
      <c r="R29" s="1350" t="s">
        <v>65</v>
      </c>
      <c r="S29" s="1351">
        <f t="shared" si="12"/>
        <v>100</v>
      </c>
      <c r="T29" s="1350" t="s">
        <v>65</v>
      </c>
      <c r="U29" s="1351">
        <f t="shared" si="13"/>
        <v>100</v>
      </c>
      <c r="V29" s="1350" t="s">
        <v>65</v>
      </c>
      <c r="W29" s="1351">
        <f t="shared" si="14"/>
        <v>100</v>
      </c>
      <c r="X29" s="1338"/>
      <c r="Y29" s="3625" t="s">
        <v>1125</v>
      </c>
      <c r="Z29" s="1352" t="str">
        <f t="shared" si="15"/>
        <v>建筑类型</v>
      </c>
      <c r="AA29" s="1353">
        <f t="shared" si="3"/>
        <v>1</v>
      </c>
      <c r="AB29" s="1353">
        <f t="shared" si="4"/>
        <v>1</v>
      </c>
      <c r="AC29" s="1353">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9"/>
      <c r="M30" s="2301"/>
      <c r="N30" s="2301"/>
      <c r="O30" s="2340"/>
      <c r="P30" s="3625"/>
      <c r="Q30" s="1357" t="str">
        <f t="shared" si="11"/>
        <v>项目建筑规模</v>
      </c>
      <c r="R30" s="1358" t="s">
        <v>65</v>
      </c>
      <c r="S30" s="1359" t="e">
        <f t="shared" si="12"/>
        <v>#N/A</v>
      </c>
      <c r="T30" s="1358" t="s">
        <v>65</v>
      </c>
      <c r="U30" s="1359" t="e">
        <f t="shared" si="13"/>
        <v>#N/A</v>
      </c>
      <c r="V30" s="1358" t="s">
        <v>65</v>
      </c>
      <c r="W30" s="1359" t="e">
        <f t="shared" si="14"/>
        <v>#N/A</v>
      </c>
      <c r="X30" s="1360"/>
      <c r="Y30" s="3625"/>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25"/>
      <c r="Q31" s="1349" t="str">
        <f t="shared" si="11"/>
        <v>建筑结构</v>
      </c>
      <c r="R31" s="1350" t="s">
        <v>65</v>
      </c>
      <c r="S31" s="1351">
        <f t="shared" si="12"/>
        <v>100</v>
      </c>
      <c r="T31" s="1350" t="s">
        <v>65</v>
      </c>
      <c r="U31" s="1351">
        <f t="shared" si="13"/>
        <v>100</v>
      </c>
      <c r="V31" s="1350" t="s">
        <v>65</v>
      </c>
      <c r="W31" s="1351">
        <f t="shared" si="14"/>
        <v>100</v>
      </c>
      <c r="X31" s="1338"/>
      <c r="Y31" s="3625"/>
      <c r="Z31" s="1352" t="str">
        <f t="shared" si="15"/>
        <v>建筑结构</v>
      </c>
      <c r="AA31" s="1353">
        <f t="shared" si="3"/>
        <v>1</v>
      </c>
      <c r="AB31" s="1353">
        <f t="shared" si="4"/>
        <v>1</v>
      </c>
      <c r="AC31" s="1353">
        <f t="shared" si="5"/>
        <v>1</v>
      </c>
    </row>
    <row r="32" spans="1:29" ht="15">
      <c r="A32" s="161"/>
      <c r="B32" s="12" t="s">
        <v>1027</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25"/>
      <c r="Q32" s="1349" t="str">
        <f t="shared" si="11"/>
        <v>公共部分装修</v>
      </c>
      <c r="R32" s="1350" t="s">
        <v>65</v>
      </c>
      <c r="S32" s="1351">
        <f t="shared" si="12"/>
        <v>100</v>
      </c>
      <c r="T32" s="1350" t="s">
        <v>65</v>
      </c>
      <c r="U32" s="1351">
        <f t="shared" si="13"/>
        <v>100</v>
      </c>
      <c r="V32" s="1350" t="s">
        <v>65</v>
      </c>
      <c r="W32" s="1351">
        <f t="shared" si="14"/>
        <v>100</v>
      </c>
      <c r="X32" s="1338"/>
      <c r="Y32" s="3625"/>
      <c r="Z32" s="1352" t="str">
        <f t="shared" si="15"/>
        <v>公共部分装修</v>
      </c>
      <c r="AA32" s="1353">
        <f t="shared" si="3"/>
        <v>1</v>
      </c>
      <c r="AB32" s="1353">
        <f t="shared" si="4"/>
        <v>1</v>
      </c>
      <c r="AC32" s="1353">
        <f t="shared" si="5"/>
        <v>1</v>
      </c>
    </row>
    <row r="33" spans="1:29" ht="15">
      <c r="A33" s="161"/>
      <c r="B33" s="12" t="s">
        <v>1028</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25"/>
      <c r="Q33" s="1349" t="str">
        <f t="shared" si="11"/>
        <v>成新度</v>
      </c>
      <c r="R33" s="1350" t="s">
        <v>65</v>
      </c>
      <c r="S33" s="1351" t="e">
        <f t="shared" si="12"/>
        <v>#N/A</v>
      </c>
      <c r="T33" s="1350" t="s">
        <v>65</v>
      </c>
      <c r="U33" s="1351" t="e">
        <f t="shared" si="13"/>
        <v>#N/A</v>
      </c>
      <c r="V33" s="1350" t="s">
        <v>65</v>
      </c>
      <c r="W33" s="1351" t="e">
        <f t="shared" si="14"/>
        <v>#N/A</v>
      </c>
      <c r="X33" s="1338"/>
      <c r="Y33" s="3625"/>
      <c r="Z33" s="1352" t="str">
        <f t="shared" si="15"/>
        <v>成新度</v>
      </c>
      <c r="AA33" s="1353" t="e">
        <f t="shared" si="3"/>
        <v>#N/A</v>
      </c>
      <c r="AB33" s="1353" t="e">
        <f t="shared" si="4"/>
        <v>#N/A</v>
      </c>
      <c r="AC33" s="1353" t="e">
        <f t="shared" si="5"/>
        <v>#N/A</v>
      </c>
    </row>
    <row r="34" spans="1:29" s="40" customFormat="1" ht="15">
      <c r="A34" s="1039"/>
      <c r="B34" s="12" t="s">
        <v>1126</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25"/>
      <c r="Q34" s="7" t="str">
        <f t="shared" si="11"/>
        <v>物业管理</v>
      </c>
      <c r="R34" s="1340" t="s">
        <v>65</v>
      </c>
      <c r="S34" s="1341">
        <f t="shared" si="12"/>
        <v>100</v>
      </c>
      <c r="T34" s="1340" t="s">
        <v>65</v>
      </c>
      <c r="U34" s="1341">
        <f t="shared" si="13"/>
        <v>100</v>
      </c>
      <c r="V34" s="1340" t="s">
        <v>65</v>
      </c>
      <c r="W34" s="1341">
        <f t="shared" si="14"/>
        <v>100</v>
      </c>
      <c r="X34" s="287"/>
      <c r="Y34" s="3625"/>
      <c r="Z34" s="288" t="str">
        <f t="shared" si="15"/>
        <v>物业管理</v>
      </c>
      <c r="AA34" s="1342">
        <f t="shared" si="3"/>
        <v>1</v>
      </c>
      <c r="AB34" s="1342">
        <f t="shared" si="4"/>
        <v>1</v>
      </c>
      <c r="AC34" s="1342">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25" t="s">
        <v>70</v>
      </c>
      <c r="Q35" s="1349" t="str">
        <f t="shared" si="11"/>
        <v>市政基础设施</v>
      </c>
      <c r="R35" s="1350" t="s">
        <v>65</v>
      </c>
      <c r="S35" s="1351">
        <f t="shared" si="12"/>
        <v>100</v>
      </c>
      <c r="T35" s="1350" t="s">
        <v>65</v>
      </c>
      <c r="U35" s="1351">
        <f t="shared" si="13"/>
        <v>100</v>
      </c>
      <c r="V35" s="1350" t="s">
        <v>65</v>
      </c>
      <c r="W35" s="1351">
        <f t="shared" si="14"/>
        <v>100</v>
      </c>
      <c r="X35" s="1338"/>
      <c r="Y35" s="3625"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25"/>
      <c r="Q36" s="1349" t="str">
        <f t="shared" si="11"/>
        <v>内部装修</v>
      </c>
      <c r="R36" s="1350" t="s">
        <v>65</v>
      </c>
      <c r="S36" s="1351">
        <f t="shared" si="12"/>
        <v>100</v>
      </c>
      <c r="T36" s="1350" t="s">
        <v>65</v>
      </c>
      <c r="U36" s="1351">
        <f t="shared" si="13"/>
        <v>100</v>
      </c>
      <c r="V36" s="1350" t="s">
        <v>65</v>
      </c>
      <c r="W36" s="1351">
        <f t="shared" si="14"/>
        <v>100</v>
      </c>
      <c r="X36" s="1338"/>
      <c r="Y36" s="3625"/>
      <c r="Z36" s="1352" t="str">
        <f t="shared" si="15"/>
        <v>内部装修</v>
      </c>
      <c r="AA36" s="1353">
        <f t="shared" si="3"/>
        <v>1</v>
      </c>
      <c r="AB36" s="1353">
        <f t="shared" si="4"/>
        <v>1</v>
      </c>
      <c r="AC36" s="1353">
        <f t="shared" si="5"/>
        <v>1</v>
      </c>
    </row>
    <row r="37" spans="1:29" ht="15">
      <c r="A37" s="161"/>
      <c r="B37" s="12" t="s">
        <v>1127</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25"/>
      <c r="Q37" s="1349" t="str">
        <f t="shared" si="11"/>
        <v>内部装修状况</v>
      </c>
      <c r="R37" s="1350" t="s">
        <v>65</v>
      </c>
      <c r="S37" s="1351">
        <f t="shared" si="12"/>
        <v>100</v>
      </c>
      <c r="T37" s="1350" t="s">
        <v>65</v>
      </c>
      <c r="U37" s="1351">
        <f t="shared" si="13"/>
        <v>100</v>
      </c>
      <c r="V37" s="1350" t="s">
        <v>65</v>
      </c>
      <c r="W37" s="1351">
        <f t="shared" si="14"/>
        <v>100</v>
      </c>
      <c r="X37" s="1338"/>
      <c r="Y37" s="3625"/>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25"/>
      <c r="Q38" s="1357">
        <f t="shared" si="11"/>
        <v>111</v>
      </c>
      <c r="R38" s="1358" t="s">
        <v>65</v>
      </c>
      <c r="S38" s="1359">
        <f t="shared" si="12"/>
        <v>100</v>
      </c>
      <c r="T38" s="1358" t="s">
        <v>65</v>
      </c>
      <c r="U38" s="1359">
        <f t="shared" si="13"/>
        <v>100</v>
      </c>
      <c r="V38" s="1358" t="s">
        <v>65</v>
      </c>
      <c r="W38" s="1359">
        <f t="shared" si="14"/>
        <v>100</v>
      </c>
      <c r="X38" s="1360"/>
      <c r="Y38" s="3625"/>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25"/>
      <c r="Q39" s="1349">
        <f t="shared" si="11"/>
        <v>111</v>
      </c>
      <c r="R39" s="1350" t="s">
        <v>65</v>
      </c>
      <c r="S39" s="1351">
        <f t="shared" si="12"/>
        <v>100</v>
      </c>
      <c r="T39" s="1350" t="s">
        <v>65</v>
      </c>
      <c r="U39" s="1351">
        <f t="shared" si="13"/>
        <v>100</v>
      </c>
      <c r="V39" s="1350" t="s">
        <v>65</v>
      </c>
      <c r="W39" s="1351">
        <f t="shared" si="14"/>
        <v>100</v>
      </c>
      <c r="X39" s="1338"/>
      <c r="Y39" s="3625"/>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26"/>
      <c r="Q40" s="1349">
        <f t="shared" si="11"/>
        <v>111</v>
      </c>
      <c r="R40" s="1350" t="s">
        <v>65</v>
      </c>
      <c r="S40" s="1351">
        <f t="shared" si="12"/>
        <v>100</v>
      </c>
      <c r="T40" s="1350" t="s">
        <v>65</v>
      </c>
      <c r="U40" s="1351">
        <f t="shared" si="13"/>
        <v>100</v>
      </c>
      <c r="V40" s="1350" t="s">
        <v>65</v>
      </c>
      <c r="W40" s="1351">
        <f t="shared" si="14"/>
        <v>100</v>
      </c>
      <c r="X40" s="1338"/>
      <c r="Y40" s="3626"/>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18" t="str">
        <f>A41</f>
        <v>成交单价（元/平方米）</v>
      </c>
      <c r="Q41" s="3618"/>
      <c r="R41" s="3619">
        <f>E41</f>
        <v>0</v>
      </c>
      <c r="S41" s="3619"/>
      <c r="T41" s="3619">
        <f>G41</f>
        <v>0</v>
      </c>
      <c r="U41" s="3619"/>
      <c r="V41" s="3619">
        <f>I41</f>
        <v>0</v>
      </c>
      <c r="W41" s="3619"/>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18" t="str">
        <f>A42</f>
        <v>比较价值（元/平方米）</v>
      </c>
      <c r="Q42" s="3618"/>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363"/>
      <c r="Y42" s="1363"/>
      <c r="Z42" s="1363"/>
      <c r="AA42" s="1363"/>
      <c r="AB42" s="1363"/>
      <c r="AC42" s="1363"/>
    </row>
    <row r="43" spans="1:29" ht="15.75" thickBot="1">
      <c r="A43" s="115" t="s">
        <v>3023</v>
      </c>
      <c r="B43" s="116"/>
      <c r="C43" s="2842" t="e">
        <f>R43</f>
        <v>#DIV/0!</v>
      </c>
      <c r="D43" s="2842"/>
      <c r="E43" s="2842"/>
      <c r="F43" s="2842"/>
      <c r="G43" s="2842"/>
      <c r="H43" s="2842"/>
      <c r="I43" s="2842"/>
      <c r="J43" s="2842"/>
      <c r="K43" s="1393"/>
      <c r="L43" s="2302"/>
      <c r="M43" s="2303"/>
      <c r="N43" s="2303"/>
      <c r="O43" s="2303"/>
      <c r="P43" s="3615" t="str">
        <f>A43</f>
        <v>估价对象XX用房的比较价值（楼面单价，元/平方米）</v>
      </c>
      <c r="Q43" s="3616"/>
      <c r="R43" s="3617" t="e">
        <f>IF(F1="售价",ROUND(AVERAGE(R42:V42),0),ROUND(AVERAGE(R42:V42),1))</f>
        <v>#DIV/0!</v>
      </c>
      <c r="S43" s="3617"/>
      <c r="T43" s="3617"/>
      <c r="U43" s="3617"/>
      <c r="V43" s="3617"/>
      <c r="W43" s="3617"/>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2798</v>
      </c>
      <c r="B52" s="847"/>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1007</v>
      </c>
      <c r="D59" s="880" t="s">
        <v>1008</v>
      </c>
      <c r="E59" s="880" t="s">
        <v>1009</v>
      </c>
      <c r="F59" s="880" t="s">
        <v>1010</v>
      </c>
      <c r="G59" s="880" t="s">
        <v>1011</v>
      </c>
      <c r="H59" s="880" t="s">
        <v>1012</v>
      </c>
      <c r="I59" s="880" t="s">
        <v>1013</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1014</v>
      </c>
      <c r="D70" s="914" t="s">
        <v>1015</v>
      </c>
      <c r="E70" s="914" t="s">
        <v>1016</v>
      </c>
      <c r="F70" s="914" t="s">
        <v>1017</v>
      </c>
      <c r="G70" s="914" t="s">
        <v>1018</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1014</v>
      </c>
      <c r="D72" s="919" t="s">
        <v>1015</v>
      </c>
      <c r="E72" s="919" t="s">
        <v>1016</v>
      </c>
      <c r="F72" s="919" t="s">
        <v>1017</v>
      </c>
      <c r="G72" s="919" t="s">
        <v>1018</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2641</v>
      </c>
      <c r="C74" s="919" t="s">
        <v>1014</v>
      </c>
      <c r="D74" s="919" t="s">
        <v>1015</v>
      </c>
      <c r="E74" s="919" t="s">
        <v>1016</v>
      </c>
      <c r="F74" s="919" t="s">
        <v>1017</v>
      </c>
      <c r="G74" s="919" t="s">
        <v>1018</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1014</v>
      </c>
      <c r="D78" s="919" t="s">
        <v>1015</v>
      </c>
      <c r="E78" s="919" t="s">
        <v>1016</v>
      </c>
      <c r="F78" s="919" t="s">
        <v>1017</v>
      </c>
      <c r="G78" s="919" t="s">
        <v>1018</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1014</v>
      </c>
      <c r="D106" s="919" t="s">
        <v>1015</v>
      </c>
      <c r="E106" s="919" t="s">
        <v>1016</v>
      </c>
      <c r="F106" s="919" t="s">
        <v>1017</v>
      </c>
      <c r="G106" s="919" t="s">
        <v>1018</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AK83"/>
  <sheetViews>
    <sheetView topLeftCell="A19" zoomScaleSheetLayoutView="90" workbookViewId="0">
      <selection activeCell="C29" sqref="C2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195</v>
      </c>
      <c r="D1" s="1272"/>
      <c r="E1" s="2584" t="s">
        <v>539</v>
      </c>
      <c r="F1" s="2585">
        <f ca="1">J53</f>
        <v>44.31</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f ca="1">C40+J29+L46</f>
        <v>3049</v>
      </c>
      <c r="C2" s="1298" t="s">
        <v>1101</v>
      </c>
      <c r="D2" s="1274"/>
      <c r="E2" s="2574"/>
      <c r="F2" s="1275"/>
      <c r="G2" s="2286"/>
      <c r="H2" s="1273"/>
      <c r="I2" s="1273"/>
      <c r="J2" s="1273"/>
      <c r="K2" s="1297"/>
      <c r="L2" s="1273"/>
      <c r="M2" s="1273"/>
    </row>
    <row r="3" spans="1:37" ht="18" customHeight="1" thickBot="1">
      <c r="A3" s="675" t="s">
        <v>346</v>
      </c>
      <c r="B3" s="1406">
        <f ca="1">IF(ISERROR(B2*10000/F43),0,ROUND(B2*10000/F43,0))</f>
        <v>1873</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374</v>
      </c>
      <c r="D5" s="2635" t="s">
        <v>2541</v>
      </c>
      <c r="E5" s="2626"/>
      <c r="F5" s="2627"/>
      <c r="G5" s="2287"/>
      <c r="H5" s="681">
        <v>1</v>
      </c>
      <c r="I5" s="682" t="s">
        <v>2338</v>
      </c>
      <c r="J5" s="2625">
        <f ca="1">J6+J10+J12</f>
        <v>0</v>
      </c>
      <c r="K5" s="2628" t="s">
        <v>2541</v>
      </c>
      <c r="L5" s="2626"/>
      <c r="M5" s="2627"/>
    </row>
    <row r="6" spans="1:37" ht="18" customHeight="1">
      <c r="A6" s="2621" t="s">
        <v>2379</v>
      </c>
      <c r="B6" s="3591" t="s">
        <v>2540</v>
      </c>
      <c r="C6" s="2630">
        <f ca="1">ROUND(F6*F8*F7*(1-F9)/10000,0)</f>
        <v>374</v>
      </c>
      <c r="D6" s="2624" t="s">
        <v>2542</v>
      </c>
      <c r="E6" s="684" t="s">
        <v>914</v>
      </c>
      <c r="F6" s="685">
        <f ca="1">INDIRECT("'数据-取费表'!u"&amp;$G$1)</f>
        <v>0.7</v>
      </c>
      <c r="G6" s="2287"/>
      <c r="H6" s="2621" t="s">
        <v>2379</v>
      </c>
      <c r="I6" s="3591" t="s">
        <v>2540</v>
      </c>
      <c r="J6" s="683">
        <f ca="1">ROUND(M6*M8*M7*(1-M9)/10000,0)</f>
        <v>0</v>
      </c>
      <c r="K6" s="2624" t="s">
        <v>2542</v>
      </c>
      <c r="L6" s="684" t="s">
        <v>914</v>
      </c>
      <c r="M6" s="685">
        <f ca="1">INDIRECT("'数据-取费表'!z"&amp;$G$1)</f>
        <v>0</v>
      </c>
    </row>
    <row r="7" spans="1:37" ht="18" customHeight="1">
      <c r="A7" s="2629"/>
      <c r="B7" s="3592"/>
      <c r="C7" s="2631"/>
      <c r="D7" s="2060"/>
      <c r="E7" s="2632" t="s">
        <v>915</v>
      </c>
      <c r="F7" s="685">
        <f ca="1">IF(INDIRECT("'数据-取费表'!ah"&amp;$G$1)="",INDIRECT("'数据-取费表'!k"&amp;$G$1),INDIRECT("'数据-取费表'!ah"&amp;$G$1))</f>
        <v>16275.059999999998</v>
      </c>
      <c r="G7" s="2287"/>
      <c r="H7" s="686"/>
      <c r="I7" s="3592"/>
      <c r="J7" s="688"/>
      <c r="K7" s="689"/>
      <c r="L7" s="684" t="s">
        <v>915</v>
      </c>
      <c r="M7" s="685">
        <f ca="1">F7</f>
        <v>16275.059999999998</v>
      </c>
    </row>
    <row r="8" spans="1:37" ht="18" customHeight="1">
      <c r="A8" s="686"/>
      <c r="B8" s="3592"/>
      <c r="C8" s="688"/>
      <c r="D8" s="689"/>
      <c r="E8" s="684" t="s">
        <v>916</v>
      </c>
      <c r="F8" s="685">
        <f ca="1">INDIRECT("'数据-取费表'!ai"&amp;$G$1)</f>
        <v>365</v>
      </c>
      <c r="G8" s="2287"/>
      <c r="H8" s="686"/>
      <c r="I8" s="3592"/>
      <c r="J8" s="688"/>
      <c r="K8" s="689"/>
      <c r="L8" s="684" t="s">
        <v>916</v>
      </c>
      <c r="M8" s="685">
        <f ca="1">INDIRECT("'数据-取费表'!ai"&amp;$G$1)</f>
        <v>365</v>
      </c>
    </row>
    <row r="9" spans="1:37" ht="18" customHeight="1">
      <c r="A9" s="686"/>
      <c r="B9" s="3593"/>
      <c r="C9" s="688"/>
      <c r="D9" s="689"/>
      <c r="E9" s="684" t="s">
        <v>917</v>
      </c>
      <c r="F9" s="694">
        <f ca="1">INDIRECT("'数据-取费表'!w"&amp;$G$1)</f>
        <v>0.1</v>
      </c>
      <c r="G9" s="2287"/>
      <c r="H9" s="686"/>
      <c r="I9" s="3593"/>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ROUND(IF(F10="押一",F6*F8*F7/12*F11,IF(F10="押二",F6*F8*F7/12*2*F11,IF(F10="押三",F6*F8*F7/12*3*F11,C11*F11)))/10000,0)</f>
        <v>0</v>
      </c>
      <c r="D10" s="2633" t="s">
        <v>2543</v>
      </c>
      <c r="E10" s="2096" t="s">
        <v>2537</v>
      </c>
      <c r="F10" s="2827" t="s">
        <v>2699</v>
      </c>
      <c r="G10" s="2287"/>
      <c r="H10" s="2621" t="s">
        <v>2386</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6567</v>
      </c>
      <c r="D13" s="2667" t="s">
        <v>919</v>
      </c>
      <c r="E13" s="2667" t="s">
        <v>920</v>
      </c>
      <c r="F13" s="2668">
        <f ca="1">INDIRECT("'数据-取费表'!y"&amp;$G$1)</f>
        <v>0.98299999999999998</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4677</v>
      </c>
      <c r="D14" s="3359" t="s">
        <v>921</v>
      </c>
      <c r="E14" s="3358"/>
      <c r="F14" s="703"/>
      <c r="G14" s="2287"/>
      <c r="H14" s="2437" t="s">
        <v>2379</v>
      </c>
      <c r="I14" s="684" t="s">
        <v>922</v>
      </c>
      <c r="J14" s="313">
        <f ca="1">C29</f>
        <v>6681</v>
      </c>
      <c r="K14" s="303"/>
      <c r="L14" s="700"/>
      <c r="M14" s="701"/>
    </row>
    <row r="15" spans="1:37" s="706" customFormat="1" ht="18" customHeight="1" thickBot="1">
      <c r="A15" s="2437" t="s">
        <v>2612</v>
      </c>
      <c r="B15" s="684" t="s">
        <v>360</v>
      </c>
      <c r="C15" s="313">
        <f ca="1">ROUND(C14*F15,0)</f>
        <v>140</v>
      </c>
      <c r="D15" s="704" t="s">
        <v>923</v>
      </c>
      <c r="E15" s="704" t="s">
        <v>370</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370</v>
      </c>
      <c r="F16" s="707">
        <f ca="1">IF(INDIRECT("'数据-取费表'!c"&amp;$G$1)="住宅",'数据-取费表'!B34,0)</f>
        <v>0</v>
      </c>
      <c r="G16" s="2287"/>
      <c r="H16" s="2665" t="s">
        <v>2344</v>
      </c>
      <c r="I16" s="2666" t="s">
        <v>925</v>
      </c>
      <c r="J16" s="692">
        <f ca="1">ROUND(J17+J22+J23+J24,0)</f>
        <v>190</v>
      </c>
      <c r="K16" s="2675" t="s">
        <v>926</v>
      </c>
      <c r="L16" s="2676"/>
      <c r="M16" s="2627"/>
    </row>
    <row r="17" spans="1:37" s="706" customFormat="1" ht="18" customHeight="1">
      <c r="A17" s="2437" t="s">
        <v>2614</v>
      </c>
      <c r="B17" s="684" t="s">
        <v>362</v>
      </c>
      <c r="C17" s="313">
        <f ca="1">ROUND(F17*(F43+INDIRECT("'数据-取费表'!S"&amp;$G$1))/10000,0)</f>
        <v>334</v>
      </c>
      <c r="D17" s="684" t="s">
        <v>927</v>
      </c>
      <c r="E17" s="684" t="s">
        <v>928</v>
      </c>
      <c r="F17" s="315">
        <f>'数据-取费表'!B35</f>
        <v>200</v>
      </c>
      <c r="G17" s="2288"/>
      <c r="H17" s="2437" t="s">
        <v>2379</v>
      </c>
      <c r="I17" s="684" t="s">
        <v>363</v>
      </c>
      <c r="J17" s="313">
        <f ca="1">ROUND(IF(项目基本情况!B11="自然人",J5*M17,J18+J19+J20),1)</f>
        <v>56.6</v>
      </c>
      <c r="K17" s="3359" t="s">
        <v>929</v>
      </c>
      <c r="L17" s="3360"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70</v>
      </c>
      <c r="D18" s="684" t="s">
        <v>923</v>
      </c>
      <c r="E18" s="684" t="s">
        <v>370</v>
      </c>
      <c r="F18" s="707">
        <f>'数据-取费表'!B36</f>
        <v>1.4999999999999999E-2</v>
      </c>
      <c r="G18" s="2288"/>
      <c r="H18" s="2437" t="s">
        <v>2376</v>
      </c>
      <c r="I18" s="684" t="s">
        <v>931</v>
      </c>
      <c r="J18" s="313">
        <f ca="1">ROUND(J5*M18/(1+'数据-取费表'!C42),2)</f>
        <v>0</v>
      </c>
      <c r="K18" s="3360" t="s">
        <v>932</v>
      </c>
      <c r="L18" s="684" t="s">
        <v>370</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5221</v>
      </c>
      <c r="D19" s="471" t="s">
        <v>933</v>
      </c>
      <c r="E19" s="3362"/>
      <c r="F19" s="315"/>
      <c r="G19" s="2287"/>
      <c r="H19" s="2437" t="s">
        <v>2612</v>
      </c>
      <c r="I19" s="684" t="s">
        <v>934</v>
      </c>
      <c r="J19" s="313">
        <f ca="1">IF(K19="按租金收入计税",ROUND(J5*M19,2),ROUND(C29*M19*0.7,2))</f>
        <v>56.12</v>
      </c>
      <c r="K19" s="1299" t="s">
        <v>2419</v>
      </c>
      <c r="L19" s="684" t="s">
        <v>370</v>
      </c>
      <c r="M19" s="707">
        <f>IF(K19="按租金收入计税",'数据-取费表'!B51,'数据-取费表'!B50)</f>
        <v>1.2E-2</v>
      </c>
    </row>
    <row r="20" spans="1:37" s="706" customFormat="1" ht="18" customHeight="1">
      <c r="A20" s="2437" t="s">
        <v>2616</v>
      </c>
      <c r="B20" s="684" t="s">
        <v>367</v>
      </c>
      <c r="C20" s="313">
        <f ca="1">ROUND(C19*F20,0)</f>
        <v>104</v>
      </c>
      <c r="D20" s="709" t="s">
        <v>935</v>
      </c>
      <c r="E20" s="684" t="s">
        <v>370</v>
      </c>
      <c r="F20" s="707">
        <f>'数据-取费表'!B37</f>
        <v>0.02</v>
      </c>
      <c r="G20" s="2288"/>
      <c r="H20" s="2437" t="s">
        <v>2613</v>
      </c>
      <c r="I20" s="496" t="s">
        <v>936</v>
      </c>
      <c r="J20" s="314">
        <f ca="1">ROUND(M20*M21/10000,2)</f>
        <v>0.45</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3013.3300000000004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3362"/>
      <c r="F22" s="315"/>
      <c r="G22" s="2287"/>
      <c r="H22" s="2437" t="s">
        <v>2386</v>
      </c>
      <c r="I22" s="684" t="s">
        <v>944</v>
      </c>
      <c r="J22" s="313">
        <f ca="1">ROUND(J14*M22,1)</f>
        <v>133.6</v>
      </c>
      <c r="K22" s="3360" t="s">
        <v>945</v>
      </c>
      <c r="L22" s="684" t="s">
        <v>370</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318</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3360" t="s">
        <v>947</v>
      </c>
      <c r="L23" s="684" t="s">
        <v>370</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371</v>
      </c>
      <c r="L24" s="2678" t="s">
        <v>370</v>
      </c>
      <c r="M24" s="2674">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3362"/>
      <c r="F25" s="315"/>
      <c r="G25" s="2287"/>
      <c r="H25" s="2665" t="s">
        <v>2359</v>
      </c>
      <c r="I25" s="2682" t="s">
        <v>952</v>
      </c>
      <c r="J25" s="692">
        <f ca="1">J5-J16</f>
        <v>-190</v>
      </c>
      <c r="K25" s="2683" t="s">
        <v>378</v>
      </c>
      <c r="L25" s="2684"/>
      <c r="M25" s="2685"/>
    </row>
    <row r="26" spans="1:37" ht="18" customHeight="1">
      <c r="A26" s="2437" t="s">
        <v>2376</v>
      </c>
      <c r="B26" s="684" t="s">
        <v>2533</v>
      </c>
      <c r="C26" s="313">
        <f ca="1">ROUND((C19+C20)*F26,0)</f>
        <v>533</v>
      </c>
      <c r="D26" s="709" t="s">
        <v>954</v>
      </c>
      <c r="E26" s="695" t="s">
        <v>955</v>
      </c>
      <c r="F26" s="694">
        <f ca="1">INDIRECT("'数据-取费表'!q"&amp;$G$1)</f>
        <v>0.1</v>
      </c>
      <c r="G26" s="2287"/>
      <c r="H26" s="681" t="s">
        <v>2362</v>
      </c>
      <c r="I26" s="682" t="s">
        <v>956</v>
      </c>
      <c r="J26" s="683">
        <f ca="1">IF(J5&lt;&gt;0,ROUND(J25*(1-((1+M28)/(1+M26))^M27)/(M26-M28),0),0)</f>
        <v>0</v>
      </c>
      <c r="K26" s="710" t="s">
        <v>373</v>
      </c>
      <c r="L26" s="684" t="s">
        <v>374</v>
      </c>
      <c r="M26" s="694">
        <f ca="1">INDIRECT("'数据-取费表'!I"&amp;$G$1)</f>
        <v>0.05</v>
      </c>
    </row>
    <row r="27" spans="1:37" ht="18" customHeight="1">
      <c r="A27" s="2437" t="s">
        <v>2382</v>
      </c>
      <c r="B27" s="684" t="s">
        <v>375</v>
      </c>
      <c r="C27" s="313">
        <f ca="1">ROUND(F21*F26,4)</f>
        <v>2E-3</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370</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6681</v>
      </c>
      <c r="D29" s="2680"/>
      <c r="E29" s="2678"/>
      <c r="F29" s="2681"/>
      <c r="G29" s="2288"/>
      <c r="H29" s="720" t="s">
        <v>2369</v>
      </c>
      <c r="I29" s="721" t="s">
        <v>960</v>
      </c>
      <c r="J29" s="722">
        <f ca="1">ROUND(J26/(1+F40)^F41,0)</f>
        <v>0</v>
      </c>
      <c r="K29" s="723" t="s">
        <v>961</v>
      </c>
      <c r="L29" s="724"/>
      <c r="M29" s="725">
        <f ca="1">INDIRECT("'数据-取费表'!k"&amp;$G$1)</f>
        <v>16275.059999999998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229</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ROUND(IF(项目基本情况!B11="自然人",C5*F31,C32+C33+C34),1)</f>
        <v>76.2</v>
      </c>
      <c r="D31" s="3359" t="s">
        <v>929</v>
      </c>
      <c r="E31" s="3360"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2376</v>
      </c>
      <c r="B32" s="684" t="s">
        <v>931</v>
      </c>
      <c r="C32" s="313">
        <f ca="1">IF(项目基本情况!B11="自然人","——",ROUND(C5*F32/(1+'数据-取费表'!C42),2))</f>
        <v>19.59</v>
      </c>
      <c r="D32" s="3360" t="s">
        <v>932</v>
      </c>
      <c r="E32" s="684" t="s">
        <v>370</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56.12</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IF(项目基本情况!B11="自然人","——",ROUND(F34*F35/10000,2))</f>
        <v>0.45</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3013.3300000000004</v>
      </c>
      <c r="G35" s="2287"/>
      <c r="H35" s="1276"/>
      <c r="I35" s="2880"/>
      <c r="J35" s="2881"/>
      <c r="K35" s="1289"/>
      <c r="L35" s="1288"/>
      <c r="M35" s="1288"/>
    </row>
    <row r="36" spans="1:18" ht="18" customHeight="1">
      <c r="A36" s="2694" t="s">
        <v>2386</v>
      </c>
      <c r="B36" s="684" t="s">
        <v>944</v>
      </c>
      <c r="C36" s="313">
        <f ca="1">ROUND(C29*F36,1)</f>
        <v>133.6</v>
      </c>
      <c r="D36" s="3360" t="s">
        <v>974</v>
      </c>
      <c r="E36" s="684" t="s">
        <v>370</v>
      </c>
      <c r="F36" s="714">
        <f ca="1">INDIRECT("'数据-取费表'!Ak"&amp;$G$1)</f>
        <v>0.02</v>
      </c>
      <c r="G36" s="2287"/>
      <c r="H36" s="1288"/>
      <c r="I36" s="2880"/>
      <c r="J36" s="2881"/>
      <c r="K36" s="1292"/>
      <c r="L36" s="1288"/>
      <c r="M36" s="1288"/>
    </row>
    <row r="37" spans="1:18" ht="18" customHeight="1">
      <c r="A37" s="2437" t="s">
        <v>2617</v>
      </c>
      <c r="B37" s="684" t="s">
        <v>368</v>
      </c>
      <c r="C37" s="313">
        <f ca="1">ROUND(C13*F37,1)</f>
        <v>13.1</v>
      </c>
      <c r="D37" s="3360"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5.6</v>
      </c>
      <c r="D38" s="2680" t="s">
        <v>371</v>
      </c>
      <c r="E38" s="2678" t="s">
        <v>370</v>
      </c>
      <c r="F38" s="2674">
        <f ca="1">INDIRECT("'数据-取费表'!Am"&amp;$G$1)</f>
        <v>1.4999999999999999E-2</v>
      </c>
      <c r="G38" s="2287"/>
      <c r="H38" s="1288"/>
      <c r="I38" s="2880"/>
      <c r="J38" s="2881"/>
      <c r="K38" s="1293"/>
      <c r="L38" s="1288"/>
      <c r="M38" s="1288"/>
    </row>
    <row r="39" spans="1:18" ht="24.6" customHeight="1" thickTop="1">
      <c r="A39" s="2665" t="s">
        <v>2359</v>
      </c>
      <c r="B39" s="2682" t="s">
        <v>377</v>
      </c>
      <c r="C39" s="692">
        <f ca="1">C5-C30</f>
        <v>145</v>
      </c>
      <c r="D39" s="2683" t="s">
        <v>378</v>
      </c>
      <c r="E39" s="2684"/>
      <c r="F39" s="2685"/>
      <c r="G39" s="2287"/>
      <c r="H39" s="1288"/>
      <c r="I39" s="2880"/>
      <c r="J39" s="2881"/>
      <c r="K39" s="1293"/>
      <c r="L39" s="1288"/>
      <c r="M39" s="1288"/>
    </row>
    <row r="40" spans="1:18" ht="18" customHeight="1">
      <c r="A40" s="681" t="s">
        <v>2362</v>
      </c>
      <c r="B40" s="682" t="s">
        <v>379</v>
      </c>
      <c r="C40" s="683">
        <f ca="1">ROUND(C39*(1-((1+F42)/(1+F40))^F41)/(F40-F42),0)</f>
        <v>2977</v>
      </c>
      <c r="D40" s="710" t="s">
        <v>373</v>
      </c>
      <c r="E40" s="684" t="s">
        <v>374</v>
      </c>
      <c r="F40" s="694">
        <f ca="1">INDIRECT("'数据-取费表'!I"&amp;$G$1)</f>
        <v>0.05</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44.31</v>
      </c>
      <c r="G41" s="2287"/>
      <c r="H41" s="1190"/>
      <c r="I41" s="2880"/>
      <c r="J41" s="2881"/>
      <c r="K41" s="1292"/>
      <c r="L41" s="1190"/>
      <c r="M41" s="1190"/>
    </row>
    <row r="42" spans="1:18" ht="18" customHeight="1">
      <c r="A42" s="690"/>
      <c r="B42" s="691"/>
      <c r="C42" s="692"/>
      <c r="D42" s="713"/>
      <c r="E42" s="684" t="s">
        <v>382</v>
      </c>
      <c r="F42" s="694">
        <f ca="1">INDIRECT("'数据-取费表'!v"&amp;$G$1)</f>
        <v>0.01</v>
      </c>
      <c r="G42" s="2287"/>
      <c r="H42" s="1190"/>
      <c r="I42" s="2880"/>
      <c r="J42" s="2881"/>
      <c r="K42" s="1292"/>
      <c r="L42" s="1190"/>
      <c r="M42" s="1190"/>
    </row>
    <row r="43" spans="1:18" ht="18" customHeight="1" thickBot="1">
      <c r="A43" s="720" t="s">
        <v>2369</v>
      </c>
      <c r="B43" s="721" t="s">
        <v>383</v>
      </c>
      <c r="C43" s="722">
        <f ca="1">ROUND(C40*10000/F43,0)</f>
        <v>1829</v>
      </c>
      <c r="D43" s="723" t="s">
        <v>384</v>
      </c>
      <c r="E43" s="724" t="s">
        <v>385</v>
      </c>
      <c r="F43" s="725">
        <f ca="1">INDIRECT("'数据-取费表'!k"&amp;$G$1)</f>
        <v>16275.059999999998</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-6570</v>
      </c>
      <c r="D46" s="2725" t="str">
        <f>C2</f>
        <v>万元</v>
      </c>
      <c r="E46" s="1431"/>
      <c r="F46" s="1431"/>
      <c r="I46" s="2577" t="s">
        <v>2427</v>
      </c>
      <c r="J46" s="2578"/>
      <c r="K46" s="2579"/>
      <c r="L46" s="2581">
        <f ca="1">IF(M47="住宅",0,IF(L48&gt;J51,L60,J60))</f>
        <v>72</v>
      </c>
      <c r="O46" s="2593" t="s">
        <v>2470</v>
      </c>
      <c r="P46" s="2594" t="s">
        <v>2471</v>
      </c>
      <c r="Q46" s="2595" t="s">
        <v>2469</v>
      </c>
      <c r="R46" s="2595" t="s">
        <v>2472</v>
      </c>
    </row>
    <row r="47" spans="1:18" s="1453" customFormat="1" ht="15.75" thickBot="1">
      <c r="A47" s="2397" t="s">
        <v>909</v>
      </c>
      <c r="B47" s="2433" t="s">
        <v>910</v>
      </c>
      <c r="C47" s="2729" t="s">
        <v>911</v>
      </c>
      <c r="D47" s="2433" t="s">
        <v>912</v>
      </c>
      <c r="E47" s="2536" t="s">
        <v>913</v>
      </c>
      <c r="F47" s="2537"/>
      <c r="G47" s="1455"/>
      <c r="I47" s="2552" t="s">
        <v>2420</v>
      </c>
      <c r="J47" s="2553" t="s">
        <v>3114</v>
      </c>
      <c r="K47" s="2562" t="s">
        <v>2443</v>
      </c>
      <c r="L47" s="2563">
        <f ca="1">INDIRECT("'数据-取费表'!d"&amp;$G$1)</f>
        <v>50</v>
      </c>
      <c r="M47" s="2583" t="str">
        <f>IF(ISNUMBER(FIND("住宅",C1)),"住宅","非住宅")</f>
        <v>非住宅</v>
      </c>
      <c r="O47" s="2586" t="s">
        <v>2455</v>
      </c>
      <c r="P47" s="2596" t="s">
        <v>2473</v>
      </c>
      <c r="Q47" s="2587">
        <f ca="1">C40+J29</f>
        <v>2977</v>
      </c>
      <c r="R47" s="2587" t="s">
        <v>2474</v>
      </c>
    </row>
    <row r="48" spans="1:18" s="1453" customFormat="1" ht="47.25" thickBot="1">
      <c r="A48" s="2710" t="s">
        <v>2623</v>
      </c>
      <c r="B48" s="682" t="s">
        <v>2338</v>
      </c>
      <c r="C48" s="3361">
        <f ca="1">C49+C53+C55</f>
        <v>0</v>
      </c>
      <c r="D48" s="2714"/>
      <c r="E48" s="2715"/>
      <c r="F48" s="2417"/>
      <c r="G48" s="1455"/>
      <c r="H48" s="1456"/>
      <c r="I48" s="2543" t="s">
        <v>2421</v>
      </c>
      <c r="J48" s="2554" t="s">
        <v>2422</v>
      </c>
      <c r="K48" s="2564" t="s">
        <v>2444</v>
      </c>
      <c r="L48" s="2167">
        <f ca="1">INDIRECT("'数据-取费表'!f"&amp;$G$1)</f>
        <v>44.31</v>
      </c>
      <c r="O48" s="2586" t="s">
        <v>2456</v>
      </c>
      <c r="P48" s="2596" t="s">
        <v>2475</v>
      </c>
      <c r="Q48" s="2587">
        <f ca="1">J60</f>
        <v>72</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2016</v>
      </c>
      <c r="K49" s="2565" t="s">
        <v>2446</v>
      </c>
      <c r="L49" s="2566"/>
      <c r="O49" s="2588" t="s">
        <v>2457</v>
      </c>
      <c r="P49" s="2596" t="s">
        <v>2476</v>
      </c>
      <c r="Q49" s="2587">
        <f ca="1">C29</f>
        <v>6681</v>
      </c>
      <c r="R49" s="2587" t="s">
        <v>2474</v>
      </c>
    </row>
    <row r="50" spans="1:18" s="1453" customFormat="1" ht="15.75" thickBot="1">
      <c r="A50" s="2431"/>
      <c r="B50" s="2434"/>
      <c r="C50" s="2730"/>
      <c r="D50" s="2404"/>
      <c r="E50" s="2533" t="s">
        <v>915</v>
      </c>
      <c r="F50" s="2534">
        <f ca="1">F7</f>
        <v>16275.059999999998</v>
      </c>
      <c r="H50" s="1456"/>
      <c r="I50" s="2543" t="s">
        <v>2423</v>
      </c>
      <c r="J50" s="2556">
        <f>SUMPRODUCT((I63:I65=J47)*(J62:L62=J48)*(J63:L65))</f>
        <v>60</v>
      </c>
      <c r="K50" s="2565" t="s">
        <v>2447</v>
      </c>
      <c r="L50" s="2566"/>
      <c r="M50" s="2560"/>
      <c r="O50" s="2588" t="s">
        <v>2458</v>
      </c>
      <c r="P50" s="2596" t="s">
        <v>2484</v>
      </c>
      <c r="Q50" s="2589">
        <f ca="1">J58</f>
        <v>0.4</v>
      </c>
      <c r="R50" s="2587"/>
    </row>
    <row r="51" spans="1:18" s="1453" customFormat="1" ht="15.75" thickBot="1">
      <c r="A51" s="2432"/>
      <c r="B51" s="2434"/>
      <c r="C51" s="2435"/>
      <c r="D51" s="2404"/>
      <c r="E51" s="2436" t="s">
        <v>916</v>
      </c>
      <c r="F51" s="685">
        <f ca="1">F8</f>
        <v>365</v>
      </c>
      <c r="I51" s="2557" t="s">
        <v>2428</v>
      </c>
      <c r="J51" s="2558">
        <f>IF(J49="",J50,J49+J50-YEAR('数据-取费表'!B2))</f>
        <v>59</v>
      </c>
      <c r="K51" s="2567" t="s">
        <v>2448</v>
      </c>
      <c r="L51" s="2580">
        <f ca="1">ROUND(-PV(INDIRECT("'数据-取费表'!h"&amp;$G$1),L48,(C39-C13*C76),0),0)</f>
        <v>-7250</v>
      </c>
      <c r="M51" s="2561"/>
      <c r="O51" s="2588" t="s">
        <v>2459</v>
      </c>
      <c r="P51" s="2596" t="s">
        <v>2485</v>
      </c>
      <c r="Q51" s="2589">
        <f>J52</f>
        <v>8.5000000000000006E-2</v>
      </c>
      <c r="R51" s="2587"/>
    </row>
    <row r="52" spans="1:18" s="1453" customFormat="1" ht="15.75" thickBot="1">
      <c r="A52" s="2432"/>
      <c r="B52" s="2434"/>
      <c r="C52" s="2435"/>
      <c r="D52" s="2404"/>
      <c r="E52" s="2436" t="s">
        <v>917</v>
      </c>
      <c r="F52" s="2531"/>
      <c r="I52" s="2559" t="s">
        <v>2451</v>
      </c>
      <c r="J52" s="2573">
        <v>8.5000000000000006E-2</v>
      </c>
      <c r="K52" s="2559" t="s">
        <v>2436</v>
      </c>
      <c r="L52" s="2573"/>
      <c r="M52" s="2396"/>
      <c r="O52" s="2588" t="s">
        <v>2460</v>
      </c>
      <c r="P52" s="2596" t="s">
        <v>2477</v>
      </c>
      <c r="Q52" s="2587">
        <f ca="1">J53</f>
        <v>44.31</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44.31</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0"/>
      <c r="O53" s="2586" t="s">
        <v>2461</v>
      </c>
      <c r="P53" s="2596" t="s">
        <v>2479</v>
      </c>
      <c r="Q53" s="2587">
        <f ca="1">Q47+Q48</f>
        <v>3049</v>
      </c>
      <c r="R53" s="2587" t="s">
        <v>2462</v>
      </c>
    </row>
    <row r="54" spans="1:18" s="1453" customFormat="1" ht="16.5" thickBot="1">
      <c r="A54" s="2826"/>
      <c r="B54" s="2623" t="s">
        <v>2702</v>
      </c>
      <c r="C54" s="2414"/>
      <c r="D54" s="2633"/>
      <c r="E54" s="335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3357"/>
      <c r="F55" s="2539"/>
      <c r="I55" s="3317" t="s">
        <v>2429</v>
      </c>
      <c r="J55" s="3316">
        <f ca="1">ROUND(IF(J47="钢混",J57/J50,1-(1-2%)*(J50-J57)/J50),3)</f>
        <v>0.245</v>
      </c>
      <c r="K55" s="2550" t="s">
        <v>2430</v>
      </c>
      <c r="L55" s="2572"/>
      <c r="O55" s="2593" t="s">
        <v>2470</v>
      </c>
      <c r="P55" s="2594" t="s">
        <v>2471</v>
      </c>
      <c r="Q55" s="2595" t="s">
        <v>2469</v>
      </c>
      <c r="R55" s="2595" t="s">
        <v>2472</v>
      </c>
    </row>
    <row r="56" spans="1:18" s="1453" customFormat="1" ht="44.25" thickTop="1" thickBot="1">
      <c r="A56" s="2408">
        <v>2</v>
      </c>
      <c r="B56" s="2409" t="s">
        <v>918</v>
      </c>
      <c r="C56" s="608">
        <f ca="1">C13</f>
        <v>6567</v>
      </c>
      <c r="D56" s="2697"/>
      <c r="E56" s="2410"/>
      <c r="F56" s="2539"/>
      <c r="I56" s="2542" t="s">
        <v>2431</v>
      </c>
      <c r="J56" s="2571" t="s">
        <v>41</v>
      </c>
      <c r="K56" s="2543" t="s">
        <v>2435</v>
      </c>
      <c r="L56" s="2167" t="str">
        <f ca="1">IF(L48&lt;J51,"——",L48-J51)</f>
        <v>——</v>
      </c>
      <c r="O56" s="2586" t="s">
        <v>2455</v>
      </c>
      <c r="P56" s="2596" t="s">
        <v>2473</v>
      </c>
      <c r="Q56" s="2587">
        <f ca="1">C40+J29</f>
        <v>2977</v>
      </c>
      <c r="R56" s="2587" t="s">
        <v>2474</v>
      </c>
    </row>
    <row r="57" spans="1:18" s="1453" customFormat="1" ht="29.25" thickBot="1">
      <c r="A57" s="2540"/>
      <c r="B57" s="2401" t="s">
        <v>967</v>
      </c>
      <c r="C57" s="614">
        <f ca="1">C29</f>
        <v>6681</v>
      </c>
      <c r="D57" s="2412"/>
      <c r="E57" s="2413"/>
      <c r="F57" s="2541"/>
      <c r="I57" s="2544" t="s">
        <v>2452</v>
      </c>
      <c r="J57" s="2548">
        <f ca="1">IF(OR(M47="住宅",J51&lt;L48,J56="是"),"——",J51-L48)</f>
        <v>14.689999999999998</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925</v>
      </c>
      <c r="C58" s="698">
        <f ca="1">ROUND(C59+C64+C65+C66,0)</f>
        <v>203</v>
      </c>
      <c r="D58" s="2415" t="s">
        <v>926</v>
      </c>
      <c r="E58" s="2416"/>
      <c r="F58" s="2417"/>
      <c r="I58" s="2544" t="s">
        <v>2432</v>
      </c>
      <c r="J58" s="3318">
        <f ca="1">IF(J55&lt;0.4,0.4,J55)</f>
        <v>0.4</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56.6</v>
      </c>
      <c r="D59" s="2418" t="s">
        <v>929</v>
      </c>
      <c r="E59" s="2419" t="s">
        <v>930</v>
      </c>
      <c r="F59" s="708">
        <f ca="1">IF(项目基本情况!B11="企业","",IF(INDIRECT("'数据-取费表'!c"&amp;$G$1)="住宅",5%,IF(F49*F50*F51/12/(1+'数据-取费表'!C42)&gt;20000,12%,7%)))</f>
        <v>7.0000000000000007E-2</v>
      </c>
      <c r="I59" s="2544" t="s">
        <v>2433</v>
      </c>
      <c r="J59" s="2548">
        <f ca="1">IF(OR(M47="住宅",J51&lt;L48,J56="是"),"——",ROUND(C29*J58,0))</f>
        <v>2672</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IF(项目基本情况!B11="自然人","——",ROUND(C48*F60/(1+'数据-取费表'!C42),2))</f>
        <v>0</v>
      </c>
      <c r="D60" s="2419" t="s">
        <v>932</v>
      </c>
      <c r="E60" s="2401" t="s">
        <v>370</v>
      </c>
      <c r="F60" s="717">
        <f t="shared" ref="F60:F66" si="0">F32</f>
        <v>5.5000000000000007E-2</v>
      </c>
      <c r="I60" s="2545" t="s">
        <v>2434</v>
      </c>
      <c r="J60" s="2549">
        <f ca="1">IF(OR(M47="住宅",J51&lt;L48,J56="是"),"0",ROUND(J59/(1+J52)^J53,0))</f>
        <v>72</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IF(项目基本情况!B11="自然人","——",IF(D61="按租金收入计税",ROUND(C48*F61,2),IF(D61="按房产原值计税",ROUND(C57*F61*0.7,2),INDIRECT("'数据-取费表'!Aj"&amp;$G$1))))</f>
        <v>56.12</v>
      </c>
      <c r="D61" s="1299" t="s">
        <v>2419</v>
      </c>
      <c r="E61" s="2401" t="s">
        <v>370</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IF(项目基本情况!B11="自然人","——",ROUND(F62*F63/10000,2))</f>
        <v>0.45</v>
      </c>
      <c r="D62" s="2420" t="s">
        <v>937</v>
      </c>
      <c r="E62" s="2401" t="s">
        <v>938</v>
      </c>
      <c r="F62" s="711">
        <f t="shared" si="0"/>
        <v>1.5</v>
      </c>
      <c r="I62" s="2546" t="s">
        <v>2424</v>
      </c>
      <c r="J62" s="2547" t="s">
        <v>2425</v>
      </c>
      <c r="K62" s="2547" t="s">
        <v>2426</v>
      </c>
      <c r="L62" s="2547" t="s">
        <v>2422</v>
      </c>
      <c r="M62" s="3319" t="s">
        <v>3041</v>
      </c>
      <c r="O62" s="2586" t="s">
        <v>2461</v>
      </c>
      <c r="P62" s="2596" t="s">
        <v>2479</v>
      </c>
      <c r="Q62" s="2587">
        <f ca="1">Q56+Q57</f>
        <v>2977</v>
      </c>
      <c r="R62" s="2587" t="s">
        <v>2462</v>
      </c>
    </row>
    <row r="63" spans="1:18" s="1453" customFormat="1" ht="16.5" thickBot="1">
      <c r="A63" s="712"/>
      <c r="B63" s="2407"/>
      <c r="C63" s="318"/>
      <c r="D63" s="2421"/>
      <c r="E63" s="2401" t="s">
        <v>942</v>
      </c>
      <c r="F63" s="685">
        <f t="shared" ca="1" si="0"/>
        <v>3013.3300000000004</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ROUND(C57*F64,1)</f>
        <v>133.6</v>
      </c>
      <c r="D64" s="2419" t="s">
        <v>974</v>
      </c>
      <c r="E64" s="2401" t="s">
        <v>370</v>
      </c>
      <c r="F64" s="714">
        <f t="shared" ca="1" si="0"/>
        <v>0.02</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13.1</v>
      </c>
      <c r="D65" s="2419" t="s">
        <v>947</v>
      </c>
      <c r="E65" s="2401" t="s">
        <v>370</v>
      </c>
      <c r="F65" s="716">
        <f t="shared" ca="1" si="0"/>
        <v>2E-3</v>
      </c>
      <c r="I65" s="2546" t="s">
        <v>2440</v>
      </c>
      <c r="J65" s="3322">
        <v>40</v>
      </c>
      <c r="K65" s="3322">
        <v>30</v>
      </c>
      <c r="L65" s="3322">
        <v>50</v>
      </c>
      <c r="M65" s="3320">
        <v>0.02</v>
      </c>
      <c r="O65" s="2586" t="s">
        <v>2455</v>
      </c>
      <c r="P65" s="2596" t="s">
        <v>2473</v>
      </c>
      <c r="Q65" s="2587">
        <f ca="1">C40+J29</f>
        <v>2977</v>
      </c>
      <c r="R65" s="2587" t="s">
        <v>2474</v>
      </c>
    </row>
    <row r="66" spans="1:18" s="1453" customFormat="1" ht="20.25" thickBot="1">
      <c r="A66" s="2437" t="s">
        <v>2381</v>
      </c>
      <c r="B66" s="2401" t="s">
        <v>367</v>
      </c>
      <c r="C66" s="313">
        <f ca="1">ROUND(C48*F66,1)</f>
        <v>0</v>
      </c>
      <c r="D66" s="2419" t="s">
        <v>371</v>
      </c>
      <c r="E66" s="2401" t="s">
        <v>370</v>
      </c>
      <c r="F66" s="694">
        <f t="shared" ca="1" si="0"/>
        <v>1.4999999999999999E-2</v>
      </c>
      <c r="O66" s="2586" t="s">
        <v>2456</v>
      </c>
      <c r="P66" s="2596" t="s">
        <v>2480</v>
      </c>
      <c r="Q66" s="2587">
        <f ca="1">L60</f>
        <v>0</v>
      </c>
      <c r="R66" s="2587" t="s">
        <v>2463</v>
      </c>
    </row>
    <row r="67" spans="1:18" s="1453" customFormat="1" ht="24.75" thickBot="1">
      <c r="A67" s="2408" t="s">
        <v>2359</v>
      </c>
      <c r="B67" s="2422" t="s">
        <v>952</v>
      </c>
      <c r="C67" s="698">
        <f ca="1">C48-C58</f>
        <v>-203</v>
      </c>
      <c r="D67" s="2418" t="s">
        <v>378</v>
      </c>
      <c r="E67" s="2423"/>
      <c r="F67" s="2424"/>
      <c r="O67" s="2588" t="s">
        <v>2457</v>
      </c>
      <c r="P67" s="2596" t="s">
        <v>2487</v>
      </c>
      <c r="Q67" s="2591">
        <f ca="1">L51</f>
        <v>-7250</v>
      </c>
      <c r="R67" s="2592" t="s">
        <v>2497</v>
      </c>
    </row>
    <row r="68" spans="1:18" s="1453" customFormat="1" ht="20.25" thickBot="1">
      <c r="A68" s="2398" t="s">
        <v>2362</v>
      </c>
      <c r="B68" s="2399" t="s">
        <v>379</v>
      </c>
      <c r="C68" s="683">
        <f ca="1">ROUND(C67*(1-((1+F70)/(1+F68))^F69)/(F68-F70),0)</f>
        <v>-3593</v>
      </c>
      <c r="D68" s="2420" t="s">
        <v>373</v>
      </c>
      <c r="E68" s="2401" t="s">
        <v>374</v>
      </c>
      <c r="F68" s="694">
        <f ca="1">F40</f>
        <v>0.05</v>
      </c>
      <c r="O68" s="2588" t="s">
        <v>2458</v>
      </c>
      <c r="P68" s="2597" t="s">
        <v>2491</v>
      </c>
      <c r="Q68" s="2587">
        <f ca="1">ROUND(Q69-Q70*Q71,0)</f>
        <v>-380</v>
      </c>
      <c r="R68" s="2587" t="s">
        <v>2496</v>
      </c>
    </row>
    <row r="69" spans="1:18" s="1453" customFormat="1" ht="15.75" thickBot="1">
      <c r="A69" s="2402"/>
      <c r="B69" s="2403"/>
      <c r="C69" s="688"/>
      <c r="D69" s="2425" t="s">
        <v>959</v>
      </c>
      <c r="E69" s="2401" t="s">
        <v>381</v>
      </c>
      <c r="F69" s="719">
        <f ca="1">F41</f>
        <v>44.31</v>
      </c>
      <c r="O69" s="2588" t="s">
        <v>2466</v>
      </c>
      <c r="P69" s="2597" t="s">
        <v>2481</v>
      </c>
      <c r="Q69" s="2587">
        <f ca="1">C39</f>
        <v>145</v>
      </c>
      <c r="R69" s="2587" t="s">
        <v>2474</v>
      </c>
    </row>
    <row r="70" spans="1:18" s="1453" customFormat="1" ht="15.75" thickBot="1">
      <c r="A70" s="2405"/>
      <c r="B70" s="2406"/>
      <c r="C70" s="692"/>
      <c r="D70" s="2421"/>
      <c r="E70" s="2401" t="s">
        <v>382</v>
      </c>
      <c r="F70" s="2531"/>
      <c r="O70" s="2588" t="s">
        <v>2467</v>
      </c>
      <c r="P70" s="2597" t="s">
        <v>2482</v>
      </c>
      <c r="Q70" s="2587">
        <f ca="1">C13</f>
        <v>6567</v>
      </c>
      <c r="R70" s="2587" t="s">
        <v>2474</v>
      </c>
    </row>
    <row r="71" spans="1:18" s="1453" customFormat="1" ht="15.75" thickBot="1">
      <c r="A71" s="2426" t="s">
        <v>2369</v>
      </c>
      <c r="B71" s="2427" t="s">
        <v>2370</v>
      </c>
      <c r="C71" s="722">
        <f ca="1">ROUND(C68*10000/F71,0)</f>
        <v>-2208</v>
      </c>
      <c r="D71" s="2428" t="s">
        <v>384</v>
      </c>
      <c r="E71" s="2429" t="s">
        <v>2372</v>
      </c>
      <c r="F71" s="725">
        <f ca="1">F43</f>
        <v>16275.059999999998</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525</v>
      </c>
      <c r="D75" s="1453"/>
      <c r="E75" s="1453"/>
      <c r="F75" s="1453"/>
      <c r="K75" s="1454"/>
      <c r="L75" s="1453"/>
      <c r="O75" s="2586" t="s">
        <v>2461</v>
      </c>
      <c r="P75" s="2596" t="s">
        <v>2479</v>
      </c>
      <c r="Q75" s="2587">
        <f ca="1">Q65+Q66</f>
        <v>2977</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962</v>
      </c>
      <c r="C78" s="735"/>
    </row>
    <row r="79" spans="1:18">
      <c r="B79" s="2872" t="s">
        <v>2707</v>
      </c>
      <c r="C79" s="650">
        <f ca="1">1-C80</f>
        <v>-2.621</v>
      </c>
    </row>
    <row r="80" spans="1:18">
      <c r="B80" s="2872" t="s">
        <v>2706</v>
      </c>
      <c r="C80" s="650">
        <f ca="1">ROUND(C75/C39,3)</f>
        <v>3.621</v>
      </c>
    </row>
    <row r="81" spans="2:3">
      <c r="B81" s="646" t="s">
        <v>387</v>
      </c>
      <c r="C81" s="647"/>
    </row>
    <row r="82" spans="2:3">
      <c r="B82" s="2871" t="s">
        <v>2705</v>
      </c>
      <c r="C82" s="651">
        <f ca="1">1-C83</f>
        <v>-1.206</v>
      </c>
    </row>
    <row r="83" spans="2:3">
      <c r="B83" s="2871" t="s">
        <v>2704</v>
      </c>
      <c r="C83" s="650">
        <f ca="1">ROUND(C13/C40,3)</f>
        <v>2.206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0" priority="4">
      <formula>$L$48&gt;$J$51</formula>
    </cfRule>
  </conditionalFormatting>
  <conditionalFormatting sqref="I55 I60">
    <cfRule type="expression" dxfId="59" priority="5">
      <formula>$J$51&gt;$L$48</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22" zoomScale="93" zoomScaleNormal="93" workbookViewId="0">
      <selection activeCell="G37" sqref="G3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t="s">
        <v>3047</v>
      </c>
      <c r="C1" s="3121" t="s">
        <v>444</v>
      </c>
      <c r="D1" s="3122" t="s">
        <v>195</v>
      </c>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#REF!</v>
      </c>
      <c r="C2" s="3096"/>
      <c r="D2" s="2341" t="e">
        <f ca="1">SUMIF(INDIRECT("'"&amp;F2&amp;"'"&amp;"!A:A"),"承租人权益价值",INDIRECT("'"&amp;F2&amp;"'"&amp;"!c:c"))</f>
        <v>#REF!</v>
      </c>
      <c r="E2" s="3097" t="s">
        <v>866</v>
      </c>
      <c r="F2" s="3098"/>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1" customFormat="1" ht="28.5" customHeight="1" thickBot="1">
      <c r="A3" s="579" t="s">
        <v>447</v>
      </c>
      <c r="B3" s="950" t="e">
        <f ca="1">IF(AND(C2="——",B37="元/平方米"),C39,ROUND(B2*10000/D3,0))</f>
        <v>#REF!</v>
      </c>
      <c r="C3" s="743" t="s">
        <v>448</v>
      </c>
      <c r="D3" s="742">
        <f>SUMIF('数据-汇总表'!$C19:$C33,D1,'数据-汇总表'!$E19:$E33)</f>
        <v>16275.059999999998</v>
      </c>
      <c r="E3" s="743" t="s">
        <v>2137</v>
      </c>
      <c r="F3" s="742">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4" t="s">
        <v>449</v>
      </c>
      <c r="B4" s="745"/>
      <c r="C4" s="3689" t="s">
        <v>450</v>
      </c>
      <c r="D4" s="3690"/>
      <c r="E4" s="3691" t="s">
        <v>451</v>
      </c>
      <c r="F4" s="3692"/>
      <c r="G4" s="3689" t="s">
        <v>452</v>
      </c>
      <c r="H4" s="3690"/>
      <c r="I4" s="3689" t="s">
        <v>453</v>
      </c>
      <c r="J4" s="3690"/>
      <c r="K4" s="951" t="s">
        <v>454</v>
      </c>
      <c r="L4" s="2347"/>
      <c r="M4" s="2348"/>
      <c r="N4" s="2348"/>
      <c r="O4" s="2348"/>
      <c r="P4" s="3693" t="s">
        <v>455</v>
      </c>
      <c r="Q4" s="3694"/>
      <c r="R4" s="3699" t="s">
        <v>451</v>
      </c>
      <c r="S4" s="3700"/>
      <c r="T4" s="3699" t="s">
        <v>452</v>
      </c>
      <c r="U4" s="3700"/>
      <c r="V4" s="3705" t="s">
        <v>453</v>
      </c>
      <c r="W4" s="3705"/>
      <c r="X4" s="2829"/>
      <c r="Y4" s="3699" t="s">
        <v>455</v>
      </c>
      <c r="Z4" s="3700"/>
      <c r="AA4" s="3686" t="s">
        <v>451</v>
      </c>
      <c r="AB4" s="3687" t="s">
        <v>452</v>
      </c>
      <c r="AC4" s="3686" t="s">
        <v>453</v>
      </c>
    </row>
    <row r="5" spans="1:29" ht="15">
      <c r="A5" s="747"/>
      <c r="B5" s="748"/>
      <c r="C5" s="3712" t="s">
        <v>3024</v>
      </c>
      <c r="D5" s="3708"/>
      <c r="E5" s="3659" t="s">
        <v>3099</v>
      </c>
      <c r="F5" s="3715"/>
      <c r="G5" s="3652" t="s">
        <v>3100</v>
      </c>
      <c r="H5" s="3708"/>
      <c r="I5" s="3652" t="s">
        <v>3112</v>
      </c>
      <c r="J5" s="3708"/>
      <c r="K5" s="951"/>
      <c r="L5" s="2347"/>
      <c r="M5" s="2348"/>
      <c r="N5" s="2348"/>
      <c r="O5" s="2348"/>
      <c r="P5" s="3695"/>
      <c r="Q5" s="3696"/>
      <c r="R5" s="3701"/>
      <c r="S5" s="3702"/>
      <c r="T5" s="3701"/>
      <c r="U5" s="3702"/>
      <c r="V5" s="3705"/>
      <c r="W5" s="3705"/>
      <c r="X5" s="2829"/>
      <c r="Y5" s="3701"/>
      <c r="Z5" s="3702"/>
      <c r="AA5" s="3687"/>
      <c r="AB5" s="3687"/>
      <c r="AC5" s="3687"/>
    </row>
    <row r="6" spans="1:29" ht="15.75" thickBot="1">
      <c r="A6" s="749"/>
      <c r="B6" s="750"/>
      <c r="C6" s="3706" t="s">
        <v>3025</v>
      </c>
      <c r="D6" s="3707"/>
      <c r="E6" s="3713" t="s">
        <v>3025</v>
      </c>
      <c r="F6" s="3714"/>
      <c r="G6" s="3706" t="s">
        <v>3025</v>
      </c>
      <c r="H6" s="3707"/>
      <c r="I6" s="3706" t="s">
        <v>3025</v>
      </c>
      <c r="J6" s="3707"/>
      <c r="K6" s="951" t="s">
        <v>397</v>
      </c>
      <c r="L6" s="2347"/>
      <c r="M6" s="2348"/>
      <c r="N6" s="2348"/>
      <c r="O6" s="2348"/>
      <c r="P6" s="3697"/>
      <c r="Q6" s="3698"/>
      <c r="R6" s="3701"/>
      <c r="S6" s="3702"/>
      <c r="T6" s="3703"/>
      <c r="U6" s="3704"/>
      <c r="V6" s="3705"/>
      <c r="W6" s="3705"/>
      <c r="X6" s="2829"/>
      <c r="Y6" s="3703"/>
      <c r="Z6" s="3704"/>
      <c r="AA6" s="3688"/>
      <c r="AB6" s="3688"/>
      <c r="AC6" s="3688"/>
    </row>
    <row r="7" spans="1:29" s="407" customFormat="1" ht="15.75" thickBot="1">
      <c r="A7" s="751" t="s">
        <v>398</v>
      </c>
      <c r="B7" s="752"/>
      <c r="C7" s="753">
        <f>'数据-取费表'!B2</f>
        <v>42962</v>
      </c>
      <c r="D7" s="754">
        <v>100</v>
      </c>
      <c r="E7" s="755">
        <v>42921</v>
      </c>
      <c r="F7" s="756">
        <f>SUMIF(48:48,YEAR(E7)&amp;"-"&amp;MONTH(E7),49:49)</f>
        <v>99</v>
      </c>
      <c r="G7" s="755">
        <v>42952</v>
      </c>
      <c r="H7" s="754">
        <f>SUMIF(48:48,YEAR(G7)&amp;"-"&amp;MONTH(G7),49:49)</f>
        <v>100</v>
      </c>
      <c r="I7" s="755">
        <v>42891</v>
      </c>
      <c r="J7" s="754">
        <f>SUMIF(48:48,YEAR(I7)&amp;"-"&amp;MONTH(I7),49:49)</f>
        <v>98</v>
      </c>
      <c r="K7" s="952"/>
      <c r="L7" s="2349"/>
      <c r="M7" s="2350"/>
      <c r="N7" s="2350"/>
      <c r="O7" s="2350"/>
      <c r="P7" s="3709" t="s">
        <v>399</v>
      </c>
      <c r="Q7" s="3711"/>
      <c r="R7" s="1317" t="s">
        <v>65</v>
      </c>
      <c r="S7" s="1318">
        <f t="shared" ref="S7:S14" si="0">F7</f>
        <v>99</v>
      </c>
      <c r="T7" s="1317" t="s">
        <v>65</v>
      </c>
      <c r="U7" s="1318">
        <f t="shared" ref="U7:U14" si="1">H7</f>
        <v>100</v>
      </c>
      <c r="V7" s="1317" t="s">
        <v>65</v>
      </c>
      <c r="W7" s="1318">
        <f t="shared" ref="W7:W14" si="2">J7</f>
        <v>98</v>
      </c>
      <c r="X7" s="1319"/>
      <c r="Y7" s="3709" t="s">
        <v>399</v>
      </c>
      <c r="Z7" s="3710"/>
      <c r="AA7" s="1320">
        <f>D7/F7</f>
        <v>1.0101010101010102</v>
      </c>
      <c r="AB7" s="1320">
        <f>D7/H7</f>
        <v>1</v>
      </c>
      <c r="AC7" s="1320">
        <f>D7/J7</f>
        <v>1.0204081632653061</v>
      </c>
    </row>
    <row r="8" spans="1:29" s="407" customFormat="1" ht="15.75" thickBot="1">
      <c r="A8" s="751" t="s">
        <v>400</v>
      </c>
      <c r="B8" s="752"/>
      <c r="C8" s="757" t="s">
        <v>417</v>
      </c>
      <c r="D8" s="754">
        <v>100</v>
      </c>
      <c r="E8" s="757" t="s">
        <v>417</v>
      </c>
      <c r="F8" s="756">
        <f>SUMIF(51:51,E8,52:52)-SUMIF(51:51,C8,52:52)+100</f>
        <v>100</v>
      </c>
      <c r="G8" s="757" t="s">
        <v>417</v>
      </c>
      <c r="H8" s="754">
        <f>SUMIF(51:51,G8,52:52)-SUMIF(51:51,C8,52:52)+100</f>
        <v>100</v>
      </c>
      <c r="I8" s="757" t="s">
        <v>417</v>
      </c>
      <c r="J8" s="754">
        <f>SUMIF(51:51,I8,52:52)-SUMIF(51:51,C8,52:52)+100</f>
        <v>100</v>
      </c>
      <c r="K8" s="952"/>
      <c r="L8" s="2349"/>
      <c r="M8" s="2350"/>
      <c r="N8" s="2350"/>
      <c r="O8" s="2350"/>
      <c r="P8" s="3709" t="s">
        <v>435</v>
      </c>
      <c r="Q8" s="3710"/>
      <c r="R8" s="1317" t="s">
        <v>65</v>
      </c>
      <c r="S8" s="1318">
        <f t="shared" si="0"/>
        <v>100</v>
      </c>
      <c r="T8" s="1317" t="s">
        <v>65</v>
      </c>
      <c r="U8" s="1318">
        <f t="shared" si="1"/>
        <v>100</v>
      </c>
      <c r="V8" s="1317" t="s">
        <v>65</v>
      </c>
      <c r="W8" s="1318">
        <f t="shared" si="2"/>
        <v>100</v>
      </c>
      <c r="X8" s="1319"/>
      <c r="Y8" s="3709" t="s">
        <v>435</v>
      </c>
      <c r="Z8" s="3710"/>
      <c r="AA8" s="1320">
        <f t="shared" ref="AA8:AA36" si="3">D8/F8</f>
        <v>1</v>
      </c>
      <c r="AB8" s="1320">
        <f t="shared" ref="AB8:AB36" si="4">D8/H8</f>
        <v>1</v>
      </c>
      <c r="AC8" s="1320">
        <f t="shared" ref="AC8:AC36" si="5">D8/J8</f>
        <v>1</v>
      </c>
    </row>
    <row r="9" spans="1:29" s="407" customFormat="1">
      <c r="A9" s="358" t="s">
        <v>401</v>
      </c>
      <c r="B9" s="981" t="s">
        <v>419</v>
      </c>
      <c r="C9" s="3363" t="s">
        <v>3101</v>
      </c>
      <c r="D9" s="425">
        <v>100</v>
      </c>
      <c r="E9" s="3363" t="s">
        <v>3101</v>
      </c>
      <c r="F9" s="425">
        <f>SUMIF(53:53,E9,54:54)-SUMIF(53:53,C9,54:54)+100</f>
        <v>100</v>
      </c>
      <c r="G9" s="3363" t="s">
        <v>3101</v>
      </c>
      <c r="H9" s="425">
        <f>SUMIF(53:53,G9,54:54)-SUMIF(53:53,C9,54:54)+100</f>
        <v>100</v>
      </c>
      <c r="I9" s="3363" t="s">
        <v>3101</v>
      </c>
      <c r="J9" s="425">
        <f>SUMIF(53:53,I9,54:54)-SUMIF(53:53,C9,54:54)+100</f>
        <v>100</v>
      </c>
      <c r="K9" s="952"/>
      <c r="L9" s="2349"/>
      <c r="M9" s="2350"/>
      <c r="N9" s="2350"/>
      <c r="O9" s="2350"/>
      <c r="P9" s="3677" t="s">
        <v>402</v>
      </c>
      <c r="Q9" s="2828" t="str">
        <f t="shared" ref="Q9:Q14" si="6">B9</f>
        <v>用途</v>
      </c>
      <c r="R9" s="1317" t="s">
        <v>65</v>
      </c>
      <c r="S9" s="1318">
        <f t="shared" si="0"/>
        <v>100</v>
      </c>
      <c r="T9" s="1317" t="s">
        <v>65</v>
      </c>
      <c r="U9" s="1318">
        <f t="shared" si="1"/>
        <v>100</v>
      </c>
      <c r="V9" s="1317" t="s">
        <v>65</v>
      </c>
      <c r="W9" s="1318">
        <f t="shared" si="2"/>
        <v>100</v>
      </c>
      <c r="X9" s="1319"/>
      <c r="Y9" s="3461" t="s">
        <v>403</v>
      </c>
      <c r="Z9" s="344" t="str">
        <f t="shared" ref="Z9:Z14" si="7">Q9</f>
        <v>用途</v>
      </c>
      <c r="AA9" s="1320">
        <f t="shared" si="3"/>
        <v>1</v>
      </c>
      <c r="AB9" s="1320">
        <f t="shared" si="4"/>
        <v>1</v>
      </c>
      <c r="AC9" s="1320">
        <f t="shared" si="5"/>
        <v>1</v>
      </c>
    </row>
    <row r="10" spans="1:29" s="768" customFormat="1" ht="27">
      <c r="A10" s="982"/>
      <c r="B10" s="983" t="s">
        <v>404</v>
      </c>
      <c r="C10" s="764" t="s">
        <v>3102</v>
      </c>
      <c r="D10" s="426">
        <v>100</v>
      </c>
      <c r="E10" s="764" t="s">
        <v>3102</v>
      </c>
      <c r="F10" s="426">
        <f>SUMIF(55:55,E10,56:56)-SUMIF(55:55,C10,56:56)+100</f>
        <v>100</v>
      </c>
      <c r="G10" s="765" t="s">
        <v>3102</v>
      </c>
      <c r="H10" s="426">
        <f>SUMIF(55:55,G10,56:56)-SUMIF(55:55,C10,56:56)+100</f>
        <v>100</v>
      </c>
      <c r="I10" s="764" t="s">
        <v>3102</v>
      </c>
      <c r="J10" s="426">
        <f>SUMIF(55:55,I10,56:56)-SUMIF(55:55,C10,56:56)+100</f>
        <v>100</v>
      </c>
      <c r="K10" s="953"/>
      <c r="L10" s="2352"/>
      <c r="M10" s="2353"/>
      <c r="N10" s="2353"/>
      <c r="O10" s="2353"/>
      <c r="P10" s="3677"/>
      <c r="Q10" s="2828" t="str">
        <f t="shared" si="6"/>
        <v>土地使用年限（年）</v>
      </c>
      <c r="R10" s="1317" t="s">
        <v>65</v>
      </c>
      <c r="S10" s="1318">
        <f t="shared" si="0"/>
        <v>100</v>
      </c>
      <c r="T10" s="1317" t="s">
        <v>65</v>
      </c>
      <c r="U10" s="1318">
        <f t="shared" si="1"/>
        <v>100</v>
      </c>
      <c r="V10" s="1317" t="s">
        <v>65</v>
      </c>
      <c r="W10" s="1318">
        <f t="shared" si="2"/>
        <v>100</v>
      </c>
      <c r="X10" s="1319"/>
      <c r="Y10" s="3461"/>
      <c r="Z10" s="344" t="str">
        <f t="shared" si="7"/>
        <v>土地使用年限（年）</v>
      </c>
      <c r="AA10" s="1320">
        <f t="shared" si="3"/>
        <v>1</v>
      </c>
      <c r="AB10" s="1320">
        <f t="shared" si="4"/>
        <v>1</v>
      </c>
      <c r="AC10" s="1320">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5"/>
      <c r="M11" s="2348"/>
      <c r="N11" s="2348"/>
      <c r="O11" s="2348"/>
      <c r="P11" s="3677"/>
      <c r="Q11" s="2828">
        <f t="shared" si="6"/>
        <v>111</v>
      </c>
      <c r="R11" s="1317" t="s">
        <v>65</v>
      </c>
      <c r="S11" s="1318">
        <f t="shared" si="0"/>
        <v>100</v>
      </c>
      <c r="T11" s="1317" t="s">
        <v>65</v>
      </c>
      <c r="U11" s="1318">
        <f t="shared" si="1"/>
        <v>100</v>
      </c>
      <c r="V11" s="1317" t="s">
        <v>65</v>
      </c>
      <c r="W11" s="1318">
        <f t="shared" si="2"/>
        <v>100</v>
      </c>
      <c r="X11" s="1319"/>
      <c r="Y11" s="3461"/>
      <c r="Z11" s="344">
        <f t="shared" si="7"/>
        <v>111</v>
      </c>
      <c r="AA11" s="1320">
        <f t="shared" si="3"/>
        <v>1</v>
      </c>
      <c r="AB11" s="1320">
        <f t="shared" si="4"/>
        <v>1</v>
      </c>
      <c r="AC11" s="1320">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9"/>
      <c r="M12" s="2350"/>
      <c r="N12" s="2350"/>
      <c r="O12" s="2350"/>
      <c r="P12" s="3677"/>
      <c r="Q12" s="2828">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7"/>
      <c r="M13" s="2348"/>
      <c r="N13" s="2348"/>
      <c r="O13" s="2348"/>
      <c r="P13" s="3677"/>
      <c r="Q13" s="2828">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81">
      <c r="A14" s="744" t="s">
        <v>406</v>
      </c>
      <c r="B14" s="970" t="s">
        <v>456</v>
      </c>
      <c r="C14" s="212" t="str">
        <f>IF(B1="工业",估价对象房地状况!G4,估价对象房地状况!C6)</f>
        <v>估价对象周边有房2内路、周边无地铁，路网密集程度一般，交通便捷度一般</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82" t="s">
        <v>407</v>
      </c>
      <c r="Q14" s="2830" t="str">
        <f t="shared" si="6"/>
        <v>交通便捷度</v>
      </c>
      <c r="R14" s="1322" t="s">
        <v>65</v>
      </c>
      <c r="S14" s="1323">
        <f t="shared" si="0"/>
        <v>100</v>
      </c>
      <c r="T14" s="1322" t="s">
        <v>65</v>
      </c>
      <c r="U14" s="1323">
        <f t="shared" si="1"/>
        <v>100</v>
      </c>
      <c r="V14" s="1322" t="s">
        <v>65</v>
      </c>
      <c r="W14" s="1323">
        <f t="shared" si="2"/>
        <v>100</v>
      </c>
      <c r="X14" s="2829"/>
      <c r="Y14" s="3682" t="s">
        <v>407</v>
      </c>
      <c r="Z14" s="2831" t="str">
        <f t="shared" si="7"/>
        <v>交通便捷度</v>
      </c>
      <c r="AA14" s="1325">
        <f t="shared" si="3"/>
        <v>1</v>
      </c>
      <c r="AB14" s="1325">
        <f t="shared" si="4"/>
        <v>1</v>
      </c>
      <c r="AC14" s="1325">
        <f t="shared" si="5"/>
        <v>1</v>
      </c>
    </row>
    <row r="15" spans="1:29" ht="15">
      <c r="A15" s="747"/>
      <c r="B15" s="988"/>
      <c r="C15" s="97" t="s">
        <v>3093</v>
      </c>
      <c r="D15" s="789"/>
      <c r="E15" s="97" t="s">
        <v>3093</v>
      </c>
      <c r="F15" s="790"/>
      <c r="G15" s="97" t="s">
        <v>3093</v>
      </c>
      <c r="H15" s="791"/>
      <c r="I15" s="97" t="s">
        <v>3093</v>
      </c>
      <c r="J15" s="789"/>
      <c r="K15" s="956"/>
      <c r="L15" s="2357"/>
      <c r="M15" s="2348"/>
      <c r="N15" s="2348"/>
      <c r="O15" s="2348"/>
      <c r="P15" s="3683"/>
      <c r="Q15" s="2830"/>
      <c r="R15" s="1322"/>
      <c r="S15" s="1323"/>
      <c r="T15" s="1322"/>
      <c r="U15" s="1323"/>
      <c r="V15" s="1322"/>
      <c r="W15" s="1323"/>
      <c r="X15" s="2829"/>
      <c r="Y15" s="3683"/>
      <c r="Z15" s="2831"/>
      <c r="AA15" s="1325">
        <v>1</v>
      </c>
      <c r="AB15" s="1325">
        <v>1</v>
      </c>
      <c r="AC15" s="1325">
        <v>1</v>
      </c>
    </row>
    <row r="16" spans="1:29" ht="108">
      <c r="A16" s="747"/>
      <c r="B16" s="1032" t="s">
        <v>2670</v>
      </c>
      <c r="C16" s="158" t="str">
        <f>IF(B1="工业",估价对象房地状况!G5,估价对象房地状况!C7)</f>
        <v>估价对象所在区域公共配套设施齐备情况较好：蓝色未来幼儿园、北京市房山区第一医院良乡分部</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83"/>
      <c r="Q16" s="2830" t="str">
        <f>B16</f>
        <v>公共配套设施</v>
      </c>
      <c r="R16" s="1322" t="s">
        <v>65</v>
      </c>
      <c r="S16" s="1323">
        <f>F16</f>
        <v>100</v>
      </c>
      <c r="T16" s="1322" t="s">
        <v>65</v>
      </c>
      <c r="U16" s="1323">
        <f>H16</f>
        <v>100</v>
      </c>
      <c r="V16" s="1322" t="s">
        <v>65</v>
      </c>
      <c r="W16" s="1323">
        <f>J16</f>
        <v>100</v>
      </c>
      <c r="X16" s="2829"/>
      <c r="Y16" s="3683"/>
      <c r="Z16" s="2831" t="str">
        <f>Q16</f>
        <v>公共配套设施</v>
      </c>
      <c r="AA16" s="1325">
        <f t="shared" si="3"/>
        <v>1</v>
      </c>
      <c r="AB16" s="1325">
        <f t="shared" si="4"/>
        <v>1</v>
      </c>
      <c r="AC16" s="1325">
        <f t="shared" si="5"/>
        <v>1</v>
      </c>
    </row>
    <row r="17" spans="1:29" ht="15">
      <c r="A17" s="747"/>
      <c r="B17" s="973"/>
      <c r="C17" s="102" t="s">
        <v>3092</v>
      </c>
      <c r="D17" s="789"/>
      <c r="E17" s="102" t="s">
        <v>3092</v>
      </c>
      <c r="F17" s="790"/>
      <c r="G17" s="102" t="s">
        <v>3092</v>
      </c>
      <c r="H17" s="789"/>
      <c r="I17" s="102" t="s">
        <v>3092</v>
      </c>
      <c r="J17" s="789"/>
      <c r="K17" s="956"/>
      <c r="L17" s="2357"/>
      <c r="M17" s="2348"/>
      <c r="N17" s="2348"/>
      <c r="O17" s="2348"/>
      <c r="P17" s="3683"/>
      <c r="Q17" s="2830"/>
      <c r="R17" s="1322"/>
      <c r="S17" s="1323"/>
      <c r="T17" s="1322"/>
      <c r="U17" s="1323"/>
      <c r="V17" s="1322"/>
      <c r="W17" s="1323"/>
      <c r="X17" s="2829"/>
      <c r="Y17" s="3683"/>
      <c r="Z17" s="2831"/>
      <c r="AA17" s="1325">
        <v>1</v>
      </c>
      <c r="AB17" s="1325">
        <v>1</v>
      </c>
      <c r="AC17" s="1325">
        <v>1</v>
      </c>
    </row>
    <row r="18" spans="1:29" ht="40.5">
      <c r="A18" s="747"/>
      <c r="B18" s="1034" t="s">
        <v>2669</v>
      </c>
      <c r="C18" s="158" t="str">
        <f>IF(B1="工业",估价对象房地状况!G6,估价对象房地状况!C8)</f>
        <v>估价对象所在区域基础设施水平：七通</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83"/>
      <c r="Q18" s="2830" t="str">
        <f>B18</f>
        <v>基础设施水平</v>
      </c>
      <c r="R18" s="1322" t="s">
        <v>65</v>
      </c>
      <c r="S18" s="1323">
        <f>F18</f>
        <v>100</v>
      </c>
      <c r="T18" s="1322" t="s">
        <v>65</v>
      </c>
      <c r="U18" s="1323">
        <f>H18</f>
        <v>100</v>
      </c>
      <c r="V18" s="1322" t="s">
        <v>65</v>
      </c>
      <c r="W18" s="1323">
        <f>J18</f>
        <v>100</v>
      </c>
      <c r="X18" s="2829"/>
      <c r="Y18" s="3683"/>
      <c r="Z18" s="2831" t="str">
        <f>Q18</f>
        <v>基础设施水平</v>
      </c>
      <c r="AA18" s="1325">
        <f t="shared" ref="AA18" si="8">D18/F18</f>
        <v>1</v>
      </c>
      <c r="AB18" s="1325">
        <f t="shared" ref="AB18" si="9">D18/H18</f>
        <v>1</v>
      </c>
      <c r="AC18" s="1325">
        <f t="shared" ref="AC18" si="10">D18/J18</f>
        <v>1</v>
      </c>
    </row>
    <row r="19" spans="1:29" ht="15">
      <c r="A19" s="747"/>
      <c r="B19" s="974"/>
      <c r="C19" s="102" t="s">
        <v>3104</v>
      </c>
      <c r="D19" s="791"/>
      <c r="E19" s="102" t="s">
        <v>3104</v>
      </c>
      <c r="F19" s="794"/>
      <c r="G19" s="102" t="s">
        <v>3104</v>
      </c>
      <c r="H19" s="789"/>
      <c r="I19" s="102" t="s">
        <v>3104</v>
      </c>
      <c r="J19" s="789"/>
      <c r="K19" s="2766"/>
      <c r="L19" s="2357"/>
      <c r="M19" s="2348"/>
      <c r="N19" s="2348"/>
      <c r="O19" s="2348"/>
      <c r="P19" s="3683"/>
      <c r="Q19" s="2830"/>
      <c r="R19" s="1322"/>
      <c r="S19" s="1323"/>
      <c r="T19" s="1322"/>
      <c r="U19" s="1323"/>
      <c r="V19" s="1322"/>
      <c r="W19" s="1323"/>
      <c r="X19" s="2829"/>
      <c r="Y19" s="3683"/>
      <c r="Z19" s="2831"/>
      <c r="AA19" s="1325">
        <v>1</v>
      </c>
      <c r="AB19" s="1325">
        <v>1</v>
      </c>
      <c r="AC19" s="1325">
        <v>1</v>
      </c>
    </row>
    <row r="20" spans="1:29" ht="81">
      <c r="A20" s="747"/>
      <c r="B20" s="972" t="s">
        <v>457</v>
      </c>
      <c r="C20" s="158" t="str">
        <f>IF(B1="工业",估价对象房地状况!G7,估价对象房地状况!C9)</f>
        <v>区域自然环境：良乡塔；人文环境：良乡文化广场；综合评价环境状况一般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83"/>
      <c r="Q20" s="2830" t="str">
        <f>B20</f>
        <v>自然及人文环境</v>
      </c>
      <c r="R20" s="1322" t="s">
        <v>65</v>
      </c>
      <c r="S20" s="1323">
        <f>F20</f>
        <v>100</v>
      </c>
      <c r="T20" s="1322" t="s">
        <v>65</v>
      </c>
      <c r="U20" s="1323">
        <f>H20</f>
        <v>100</v>
      </c>
      <c r="V20" s="1322" t="s">
        <v>65</v>
      </c>
      <c r="W20" s="1323">
        <f>J20</f>
        <v>100</v>
      </c>
      <c r="X20" s="2829"/>
      <c r="Y20" s="3683"/>
      <c r="Z20" s="2831" t="str">
        <f>Q20</f>
        <v>自然及人文环境</v>
      </c>
      <c r="AA20" s="1325">
        <f t="shared" si="3"/>
        <v>1</v>
      </c>
      <c r="AB20" s="1325">
        <f t="shared" si="4"/>
        <v>1</v>
      </c>
      <c r="AC20" s="1325">
        <f t="shared" si="5"/>
        <v>1</v>
      </c>
    </row>
    <row r="21" spans="1:29" ht="15">
      <c r="A21" s="747"/>
      <c r="B21" s="973"/>
      <c r="C21" s="788" t="s">
        <v>3093</v>
      </c>
      <c r="D21" s="789"/>
      <c r="E21" s="788" t="s">
        <v>3093</v>
      </c>
      <c r="F21" s="790"/>
      <c r="G21" s="788" t="s">
        <v>3093</v>
      </c>
      <c r="H21" s="789"/>
      <c r="I21" s="788" t="s">
        <v>3093</v>
      </c>
      <c r="J21" s="789"/>
      <c r="K21" s="956"/>
      <c r="L21" s="2357"/>
      <c r="M21" s="2348"/>
      <c r="N21" s="2348"/>
      <c r="O21" s="2348"/>
      <c r="P21" s="3683"/>
      <c r="Q21" s="2830"/>
      <c r="R21" s="1322"/>
      <c r="S21" s="1323"/>
      <c r="T21" s="1322"/>
      <c r="U21" s="1323"/>
      <c r="V21" s="1322"/>
      <c r="W21" s="1323"/>
      <c r="X21" s="2829"/>
      <c r="Y21" s="3683"/>
      <c r="Z21" s="2831"/>
      <c r="AA21" s="1325">
        <v>1</v>
      </c>
      <c r="AB21" s="1325">
        <v>1</v>
      </c>
      <c r="AC21" s="1325">
        <v>1</v>
      </c>
    </row>
    <row r="22" spans="1:29" ht="15">
      <c r="A22" s="747"/>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83"/>
      <c r="Q22" s="2830" t="str">
        <f>B22</f>
        <v>楼层</v>
      </c>
      <c r="R22" s="1322" t="s">
        <v>65</v>
      </c>
      <c r="S22" s="1323">
        <f>F22</f>
        <v>100</v>
      </c>
      <c r="T22" s="1322" t="s">
        <v>65</v>
      </c>
      <c r="U22" s="1323">
        <f>H22</f>
        <v>100</v>
      </c>
      <c r="V22" s="1322" t="s">
        <v>65</v>
      </c>
      <c r="W22" s="1323">
        <f>J22</f>
        <v>100</v>
      </c>
      <c r="X22" s="2829"/>
      <c r="Y22" s="3683"/>
      <c r="Z22" s="2831" t="str">
        <f>Q22</f>
        <v>楼层</v>
      </c>
      <c r="AA22" s="1325">
        <f t="shared" si="3"/>
        <v>1</v>
      </c>
      <c r="AB22" s="1325">
        <f t="shared" si="4"/>
        <v>1</v>
      </c>
      <c r="AC22" s="1325">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83"/>
      <c r="Q23" s="2830">
        <f>B23</f>
        <v>111</v>
      </c>
      <c r="R23" s="1322" t="s">
        <v>65</v>
      </c>
      <c r="S23" s="1323">
        <f>F23</f>
        <v>100</v>
      </c>
      <c r="T23" s="1322" t="s">
        <v>65</v>
      </c>
      <c r="U23" s="1323">
        <f>H23</f>
        <v>100</v>
      </c>
      <c r="V23" s="1322" t="s">
        <v>65</v>
      </c>
      <c r="W23" s="1323">
        <f>J23</f>
        <v>100</v>
      </c>
      <c r="X23" s="2829"/>
      <c r="Y23" s="3683"/>
      <c r="Z23" s="2831">
        <f>Q23</f>
        <v>111</v>
      </c>
      <c r="AA23" s="1325">
        <f t="shared" si="3"/>
        <v>1</v>
      </c>
      <c r="AB23" s="1325">
        <f t="shared" si="4"/>
        <v>1</v>
      </c>
      <c r="AC23" s="1325">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83"/>
      <c r="Q24" s="2830">
        <f t="shared" ref="Q24:Q36" si="11">B24</f>
        <v>111</v>
      </c>
      <c r="R24" s="1322" t="s">
        <v>65</v>
      </c>
      <c r="S24" s="1323">
        <f>F24</f>
        <v>100</v>
      </c>
      <c r="T24" s="1322" t="s">
        <v>65</v>
      </c>
      <c r="U24" s="1323">
        <f>H24</f>
        <v>100</v>
      </c>
      <c r="V24" s="1322" t="s">
        <v>65</v>
      </c>
      <c r="W24" s="1323">
        <f>J24</f>
        <v>100</v>
      </c>
      <c r="X24" s="2829"/>
      <c r="Y24" s="3683"/>
      <c r="Z24" s="2831">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83"/>
      <c r="Q25" s="2828">
        <f t="shared" si="11"/>
        <v>111</v>
      </c>
      <c r="R25" s="1317" t="s">
        <v>65</v>
      </c>
      <c r="S25" s="1318">
        <f>F25</f>
        <v>100</v>
      </c>
      <c r="T25" s="1317" t="s">
        <v>65</v>
      </c>
      <c r="U25" s="1318">
        <f>H25</f>
        <v>100</v>
      </c>
      <c r="V25" s="1317" t="s">
        <v>65</v>
      </c>
      <c r="W25" s="1318">
        <f>J25</f>
        <v>100</v>
      </c>
      <c r="X25" s="1319"/>
      <c r="Y25" s="3683"/>
      <c r="Z25" s="344">
        <f>Q25</f>
        <v>111</v>
      </c>
      <c r="AA25" s="1325">
        <f>D25/F25</f>
        <v>1</v>
      </c>
      <c r="AB25" s="1325">
        <f>D25/H25</f>
        <v>1</v>
      </c>
      <c r="AC25" s="1325">
        <f>D25/J25</f>
        <v>1</v>
      </c>
    </row>
    <row r="26" spans="1:29" ht="15">
      <c r="A26" s="993" t="s">
        <v>408</v>
      </c>
      <c r="B26" s="360" t="s">
        <v>459</v>
      </c>
      <c r="C26" s="2767" t="str">
        <f>B1</f>
        <v>商业</v>
      </c>
      <c r="D26" s="789">
        <v>100</v>
      </c>
      <c r="E26" s="788" t="s">
        <v>141</v>
      </c>
      <c r="F26" s="790">
        <f>SUMIF(79:79,E26,80:80)-SUMIF(79:79,C26,80:80)+100</f>
        <v>98</v>
      </c>
      <c r="G26" s="788" t="s">
        <v>40</v>
      </c>
      <c r="H26" s="789">
        <f>SUMIF(79:79,G26,80:80)-SUMIF(79:79,C26,80:80)+100</f>
        <v>96</v>
      </c>
      <c r="I26" s="788" t="s">
        <v>40</v>
      </c>
      <c r="J26" s="789">
        <f>SUMIF(79:79,I26,80:80)-SUMIF(79:79,C26,80:80)+100</f>
        <v>96</v>
      </c>
      <c r="K26" s="953">
        <v>2</v>
      </c>
      <c r="L26" s="2357"/>
      <c r="M26" s="2348"/>
      <c r="N26" s="2348"/>
      <c r="O26" s="2348"/>
      <c r="P26" s="3684" t="s">
        <v>409</v>
      </c>
      <c r="Q26" s="2830" t="str">
        <f t="shared" si="11"/>
        <v>配套类型</v>
      </c>
      <c r="R26" s="1322" t="s">
        <v>65</v>
      </c>
      <c r="S26" s="1323">
        <f t="shared" ref="S26:S36" si="12">F26</f>
        <v>98</v>
      </c>
      <c r="T26" s="1322" t="s">
        <v>65</v>
      </c>
      <c r="U26" s="1323">
        <f t="shared" ref="U26:U36" si="13">H26</f>
        <v>96</v>
      </c>
      <c r="V26" s="1322" t="s">
        <v>65</v>
      </c>
      <c r="W26" s="1323">
        <f t="shared" ref="W26:W36" si="14">J26</f>
        <v>96</v>
      </c>
      <c r="X26" s="2829"/>
      <c r="Y26" s="3685" t="s">
        <v>409</v>
      </c>
      <c r="Z26" s="2831" t="str">
        <f t="shared" ref="Z26:Z36" si="15">Q26</f>
        <v>配套类型</v>
      </c>
      <c r="AA26" s="1325">
        <f t="shared" si="3"/>
        <v>1.0204081632653061</v>
      </c>
      <c r="AB26" s="1325">
        <f t="shared" si="4"/>
        <v>1.0416666666666667</v>
      </c>
      <c r="AC26" s="1325">
        <f t="shared" si="5"/>
        <v>1.0416666666666667</v>
      </c>
    </row>
    <row r="27" spans="1:29" s="812" customFormat="1" ht="15">
      <c r="A27" s="994"/>
      <c r="B27" s="995" t="s">
        <v>460</v>
      </c>
      <c r="C27" s="996"/>
      <c r="D27" s="426">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85"/>
      <c r="Q27" s="1326" t="str">
        <f t="shared" si="11"/>
        <v>项目停车位配比</v>
      </c>
      <c r="R27" s="1327" t="s">
        <v>65</v>
      </c>
      <c r="S27" s="1328">
        <f t="shared" si="12"/>
        <v>100</v>
      </c>
      <c r="T27" s="1327" t="s">
        <v>65</v>
      </c>
      <c r="U27" s="1328">
        <f t="shared" si="13"/>
        <v>100</v>
      </c>
      <c r="V27" s="1327" t="s">
        <v>65</v>
      </c>
      <c r="W27" s="1328">
        <f t="shared" si="14"/>
        <v>100</v>
      </c>
      <c r="X27" s="1329"/>
      <c r="Y27" s="3685"/>
      <c r="Z27" s="1330" t="str">
        <f t="shared" si="15"/>
        <v>项目停车位配比</v>
      </c>
      <c r="AA27" s="1325">
        <f t="shared" si="3"/>
        <v>1</v>
      </c>
      <c r="AB27" s="1325">
        <f t="shared" si="4"/>
        <v>1</v>
      </c>
      <c r="AC27" s="1325">
        <f t="shared" si="5"/>
        <v>1</v>
      </c>
    </row>
    <row r="28" spans="1:29" ht="15">
      <c r="A28" s="997"/>
      <c r="B28" s="995" t="s">
        <v>461</v>
      </c>
      <c r="C28" s="801" t="s">
        <v>3110</v>
      </c>
      <c r="D28" s="776">
        <v>100</v>
      </c>
      <c r="E28" s="801" t="s">
        <v>3110</v>
      </c>
      <c r="F28" s="802">
        <f>SUMIF(83:83,E28,84:84)-SUMIF(83:83,C28,84:84)+100</f>
        <v>100</v>
      </c>
      <c r="G28" s="801" t="s">
        <v>3110</v>
      </c>
      <c r="H28" s="776">
        <f>SUMIF(83:83,G28,84:84)-SUMIF(83:83,C28,84:84)+100</f>
        <v>100</v>
      </c>
      <c r="I28" s="801" t="s">
        <v>3110</v>
      </c>
      <c r="J28" s="776">
        <f>SUMIF(83:83,I28,84:84)-SUMIF(83:83,C28,84:84)+100</f>
        <v>100</v>
      </c>
      <c r="K28" s="953"/>
      <c r="L28" s="2357"/>
      <c r="M28" s="2348"/>
      <c r="N28" s="2348"/>
      <c r="O28" s="2348"/>
      <c r="P28" s="3685"/>
      <c r="Q28" s="2830" t="str">
        <f t="shared" si="11"/>
        <v>公共部分装修</v>
      </c>
      <c r="R28" s="1322" t="s">
        <v>65</v>
      </c>
      <c r="S28" s="1323">
        <f t="shared" si="12"/>
        <v>100</v>
      </c>
      <c r="T28" s="1322" t="s">
        <v>65</v>
      </c>
      <c r="U28" s="1323">
        <f t="shared" si="13"/>
        <v>100</v>
      </c>
      <c r="V28" s="1322" t="s">
        <v>65</v>
      </c>
      <c r="W28" s="1323">
        <f t="shared" si="14"/>
        <v>100</v>
      </c>
      <c r="X28" s="2829"/>
      <c r="Y28" s="3685"/>
      <c r="Z28" s="2831" t="str">
        <f t="shared" si="15"/>
        <v>公共部分装修</v>
      </c>
      <c r="AA28" s="1325">
        <f t="shared" si="3"/>
        <v>1</v>
      </c>
      <c r="AB28" s="1325">
        <f t="shared" si="4"/>
        <v>1</v>
      </c>
      <c r="AC28" s="1325">
        <f t="shared" si="5"/>
        <v>1</v>
      </c>
    </row>
    <row r="29" spans="1:29" ht="15">
      <c r="A29" s="997"/>
      <c r="B29" s="995" t="s">
        <v>462</v>
      </c>
      <c r="C29" s="810">
        <v>100</v>
      </c>
      <c r="D29" s="776">
        <v>100</v>
      </c>
      <c r="E29" s="815">
        <v>0.95</v>
      </c>
      <c r="F29" s="802">
        <f>LOOKUP(E29,86:86,87:87)-LOOKUP(C29,86:86,87:87)+100</f>
        <v>100</v>
      </c>
      <c r="G29" s="815">
        <v>0.92</v>
      </c>
      <c r="H29" s="802">
        <f>LOOKUP(G29,86:86,87:87)-LOOKUP(C29,86:86,87:87)+100</f>
        <v>100</v>
      </c>
      <c r="I29" s="815">
        <v>0.93</v>
      </c>
      <c r="J29" s="776">
        <f>LOOKUP(I29,86:86,87:87)-LOOKUP(C29,86:86,87:87)+100</f>
        <v>100</v>
      </c>
      <c r="K29" s="953"/>
      <c r="L29" s="2357"/>
      <c r="M29" s="2348"/>
      <c r="N29" s="2348"/>
      <c r="O29" s="2348"/>
      <c r="P29" s="3685"/>
      <c r="Q29" s="2830" t="str">
        <f t="shared" si="11"/>
        <v>成新率</v>
      </c>
      <c r="R29" s="1322" t="s">
        <v>65</v>
      </c>
      <c r="S29" s="1323">
        <f t="shared" si="12"/>
        <v>100</v>
      </c>
      <c r="T29" s="1322" t="s">
        <v>65</v>
      </c>
      <c r="U29" s="1323">
        <f t="shared" si="13"/>
        <v>100</v>
      </c>
      <c r="V29" s="1322" t="s">
        <v>65</v>
      </c>
      <c r="W29" s="1323">
        <f t="shared" si="14"/>
        <v>100</v>
      </c>
      <c r="X29" s="2829"/>
      <c r="Y29" s="3685"/>
      <c r="Z29" s="2831" t="str">
        <f t="shared" si="15"/>
        <v>成新率</v>
      </c>
      <c r="AA29" s="1325">
        <f t="shared" si="3"/>
        <v>1</v>
      </c>
      <c r="AB29" s="1325">
        <f t="shared" si="4"/>
        <v>1</v>
      </c>
      <c r="AC29" s="1325">
        <f t="shared" si="5"/>
        <v>1</v>
      </c>
    </row>
    <row r="30" spans="1:29" ht="15">
      <c r="A30" s="997"/>
      <c r="B30" s="995" t="s">
        <v>463</v>
      </c>
      <c r="C30" s="998" t="s">
        <v>3092</v>
      </c>
      <c r="D30" s="776">
        <v>100</v>
      </c>
      <c r="E30" s="998" t="s">
        <v>3092</v>
      </c>
      <c r="F30" s="802">
        <f>SUMIF(88:88,E30,89:89)-SUMIF(88:88,C30,89:89)+100</f>
        <v>100</v>
      </c>
      <c r="G30" s="998" t="s">
        <v>3092</v>
      </c>
      <c r="H30" s="776">
        <f>SUMIF(88:88,E30,89:89)-SUMIF(88:88,C30,89:89)+100</f>
        <v>100</v>
      </c>
      <c r="I30" s="998" t="s">
        <v>3092</v>
      </c>
      <c r="J30" s="776">
        <f>SUMIF(88:88,E30,89:89)-SUMIF(88:88,C30,89:89)+100</f>
        <v>100</v>
      </c>
      <c r="K30" s="953"/>
      <c r="L30" s="2357"/>
      <c r="M30" s="2348"/>
      <c r="N30" s="2348"/>
      <c r="O30" s="2348"/>
      <c r="P30" s="3685"/>
      <c r="Q30" s="2830" t="str">
        <f t="shared" si="11"/>
        <v>物业等级</v>
      </c>
      <c r="R30" s="1322" t="s">
        <v>65</v>
      </c>
      <c r="S30" s="1323">
        <f t="shared" si="12"/>
        <v>100</v>
      </c>
      <c r="T30" s="1322" t="s">
        <v>65</v>
      </c>
      <c r="U30" s="1323">
        <f t="shared" si="13"/>
        <v>100</v>
      </c>
      <c r="V30" s="1322" t="s">
        <v>65</v>
      </c>
      <c r="W30" s="1323">
        <f t="shared" si="14"/>
        <v>100</v>
      </c>
      <c r="X30" s="2829"/>
      <c r="Y30" s="3685"/>
      <c r="Z30" s="2831" t="str">
        <f t="shared" si="15"/>
        <v>物业等级</v>
      </c>
      <c r="AA30" s="1325">
        <f t="shared" si="3"/>
        <v>1</v>
      </c>
      <c r="AB30" s="1325">
        <f t="shared" si="4"/>
        <v>1</v>
      </c>
      <c r="AC30" s="1325">
        <f t="shared" si="5"/>
        <v>1</v>
      </c>
    </row>
    <row r="31" spans="1:29" s="407" customFormat="1" ht="15">
      <c r="A31" s="999"/>
      <c r="B31" s="995" t="s">
        <v>464</v>
      </c>
      <c r="C31" s="810">
        <v>45</v>
      </c>
      <c r="D31" s="426">
        <v>100</v>
      </c>
      <c r="E31" s="810">
        <v>14</v>
      </c>
      <c r="F31" s="802">
        <f>LOOKUP(E31,91:91,92:92)-LOOKUP(C31,91:91,92:92)+100</f>
        <v>98</v>
      </c>
      <c r="G31" s="810">
        <v>10</v>
      </c>
      <c r="H31" s="776">
        <f>LOOKUP(G31,91:91,92:92)-LOOKUP(C31,91:91,92:92)+100</f>
        <v>98</v>
      </c>
      <c r="I31" s="810">
        <v>15</v>
      </c>
      <c r="J31" s="776">
        <f>LOOKUP(I31,91:91,92:92)-LOOKUP(C31,91:91,92:92)+100</f>
        <v>98</v>
      </c>
      <c r="K31" s="953"/>
      <c r="L31" s="2349"/>
      <c r="M31" s="2350"/>
      <c r="N31" s="2350"/>
      <c r="O31" s="2350"/>
      <c r="P31" s="3685"/>
      <c r="Q31" s="2828" t="str">
        <f t="shared" si="11"/>
        <v>停车位面积</v>
      </c>
      <c r="R31" s="1317" t="s">
        <v>65</v>
      </c>
      <c r="S31" s="1318">
        <f t="shared" si="12"/>
        <v>98</v>
      </c>
      <c r="T31" s="1317" t="s">
        <v>65</v>
      </c>
      <c r="U31" s="1318">
        <f t="shared" si="13"/>
        <v>98</v>
      </c>
      <c r="V31" s="1317" t="s">
        <v>65</v>
      </c>
      <c r="W31" s="1318">
        <f t="shared" si="14"/>
        <v>98</v>
      </c>
      <c r="X31" s="1319"/>
      <c r="Y31" s="3685"/>
      <c r="Z31" s="344" t="str">
        <f t="shared" si="15"/>
        <v>停车位面积</v>
      </c>
      <c r="AA31" s="1320">
        <f t="shared" si="3"/>
        <v>1.0204081632653061</v>
      </c>
      <c r="AB31" s="1320">
        <f t="shared" si="4"/>
        <v>1.0204081632653061</v>
      </c>
      <c r="AC31" s="1320">
        <f t="shared" si="5"/>
        <v>1.0204081632653061</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85" t="s">
        <v>409</v>
      </c>
      <c r="Q32" s="2830" t="str">
        <f t="shared" si="11"/>
        <v>车位类型</v>
      </c>
      <c r="R32" s="1322" t="s">
        <v>65</v>
      </c>
      <c r="S32" s="1323">
        <f t="shared" si="12"/>
        <v>100</v>
      </c>
      <c r="T32" s="1322" t="s">
        <v>65</v>
      </c>
      <c r="U32" s="1323">
        <f t="shared" si="13"/>
        <v>100</v>
      </c>
      <c r="V32" s="1322" t="s">
        <v>65</v>
      </c>
      <c r="W32" s="1323">
        <f t="shared" si="14"/>
        <v>100</v>
      </c>
      <c r="X32" s="2829"/>
      <c r="Y32" s="3685" t="s">
        <v>409</v>
      </c>
      <c r="Z32" s="2831" t="str">
        <f t="shared" si="15"/>
        <v>车位类型</v>
      </c>
      <c r="AA32" s="1325">
        <f t="shared" si="3"/>
        <v>1</v>
      </c>
      <c r="AB32" s="1325">
        <f t="shared" si="4"/>
        <v>1</v>
      </c>
      <c r="AC32" s="1325">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85"/>
      <c r="Q33" s="2830" t="str">
        <f t="shared" si="11"/>
        <v>是否直接入户</v>
      </c>
      <c r="R33" s="1322" t="s">
        <v>65</v>
      </c>
      <c r="S33" s="1323">
        <f t="shared" si="12"/>
        <v>100</v>
      </c>
      <c r="T33" s="1322" t="s">
        <v>65</v>
      </c>
      <c r="U33" s="1323">
        <f t="shared" si="13"/>
        <v>100</v>
      </c>
      <c r="V33" s="1322" t="s">
        <v>65</v>
      </c>
      <c r="W33" s="1323">
        <f t="shared" si="14"/>
        <v>100</v>
      </c>
      <c r="X33" s="2829"/>
      <c r="Y33" s="3685"/>
      <c r="Z33" s="2831"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85"/>
      <c r="Q34" s="2830">
        <f t="shared" si="11"/>
        <v>111</v>
      </c>
      <c r="R34" s="1322" t="s">
        <v>65</v>
      </c>
      <c r="S34" s="1323">
        <f t="shared" si="12"/>
        <v>100</v>
      </c>
      <c r="T34" s="1322" t="s">
        <v>65</v>
      </c>
      <c r="U34" s="1323">
        <f t="shared" si="13"/>
        <v>100</v>
      </c>
      <c r="V34" s="1322" t="s">
        <v>65</v>
      </c>
      <c r="W34" s="1323">
        <f t="shared" si="14"/>
        <v>100</v>
      </c>
      <c r="X34" s="2829"/>
      <c r="Y34" s="3685"/>
      <c r="Z34" s="2831">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85"/>
      <c r="Q35" s="1326">
        <f t="shared" si="11"/>
        <v>111</v>
      </c>
      <c r="R35" s="1327" t="s">
        <v>65</v>
      </c>
      <c r="S35" s="1328">
        <f t="shared" si="12"/>
        <v>100</v>
      </c>
      <c r="T35" s="1327" t="s">
        <v>65</v>
      </c>
      <c r="U35" s="1328">
        <f t="shared" si="13"/>
        <v>100</v>
      </c>
      <c r="V35" s="1327" t="s">
        <v>65</v>
      </c>
      <c r="W35" s="1328">
        <f t="shared" si="14"/>
        <v>100</v>
      </c>
      <c r="X35" s="1329"/>
      <c r="Y35" s="3685"/>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85"/>
      <c r="Q36" s="2830">
        <f t="shared" si="11"/>
        <v>111</v>
      </c>
      <c r="R36" s="1322" t="s">
        <v>65</v>
      </c>
      <c r="S36" s="1323">
        <f t="shared" si="12"/>
        <v>100</v>
      </c>
      <c r="T36" s="1322" t="s">
        <v>65</v>
      </c>
      <c r="U36" s="1323">
        <f t="shared" si="13"/>
        <v>100</v>
      </c>
      <c r="V36" s="1322" t="s">
        <v>65</v>
      </c>
      <c r="W36" s="1323">
        <f t="shared" si="14"/>
        <v>100</v>
      </c>
      <c r="X36" s="2829"/>
      <c r="Y36" s="3685"/>
      <c r="Z36" s="2831">
        <f t="shared" si="15"/>
        <v>111</v>
      </c>
      <c r="AA36" s="1325">
        <f t="shared" si="3"/>
        <v>1</v>
      </c>
      <c r="AB36" s="1325">
        <f t="shared" si="4"/>
        <v>1</v>
      </c>
      <c r="AC36" s="1325">
        <f t="shared" si="5"/>
        <v>1</v>
      </c>
    </row>
    <row r="37" spans="1:29" ht="15">
      <c r="A37" s="163" t="s">
        <v>2138</v>
      </c>
      <c r="B37" s="2098" t="s">
        <v>2677</v>
      </c>
      <c r="C37" s="2832" t="s">
        <v>23</v>
      </c>
      <c r="D37" s="2833"/>
      <c r="E37" s="2834">
        <v>0.43</v>
      </c>
      <c r="F37" s="2835"/>
      <c r="G37" s="2836">
        <v>0.48</v>
      </c>
      <c r="H37" s="2837"/>
      <c r="I37" s="2834">
        <v>0.42</v>
      </c>
      <c r="J37" s="2837"/>
      <c r="K37" s="960"/>
      <c r="L37" s="2360"/>
      <c r="M37" s="2361"/>
      <c r="N37" s="2348"/>
      <c r="O37" s="2361"/>
      <c r="P37" s="3677" t="str">
        <f>A37</f>
        <v>成交单价</v>
      </c>
      <c r="Q37" s="3677"/>
      <c r="R37" s="3678">
        <f>E37</f>
        <v>0.43</v>
      </c>
      <c r="S37" s="3678"/>
      <c r="T37" s="3678">
        <f>G37</f>
        <v>0.48</v>
      </c>
      <c r="U37" s="3678"/>
      <c r="V37" s="3678">
        <f>I37</f>
        <v>0.42</v>
      </c>
      <c r="W37" s="3678"/>
      <c r="X37" s="1305"/>
      <c r="Y37" s="1331"/>
      <c r="Z37" s="1305"/>
      <c r="AA37" s="1305"/>
      <c r="AB37" s="1305"/>
      <c r="AC37" s="1305"/>
    </row>
    <row r="38" spans="1:29" ht="15.75" thickBot="1">
      <c r="A38" s="827" t="s">
        <v>411</v>
      </c>
      <c r="B38" s="166" t="str">
        <f>B37</f>
        <v>元/平方米</v>
      </c>
      <c r="C38" s="2838">
        <f>R39</f>
        <v>0.5</v>
      </c>
      <c r="D38" s="2839"/>
      <c r="E38" s="2840">
        <f>R38</f>
        <v>0.5</v>
      </c>
      <c r="F38" s="2840"/>
      <c r="G38" s="2838">
        <f>T38</f>
        <v>0.5</v>
      </c>
      <c r="H38" s="2839"/>
      <c r="I38" s="2840">
        <f>V38</f>
        <v>0.5</v>
      </c>
      <c r="J38" s="2839"/>
      <c r="K38" s="961"/>
      <c r="L38" s="2360"/>
      <c r="M38" s="2361"/>
      <c r="N38" s="2361"/>
      <c r="O38" s="2361"/>
      <c r="P38" s="3677" t="str">
        <f>A38</f>
        <v>比较价值（元/平方米）</v>
      </c>
      <c r="Q38" s="3677"/>
      <c r="R38" s="3678">
        <f>IF(F1="售价",ROUND(PRODUCT(R37,AA7:AA36),0),ROUND(PRODUCT(R37,AA7:AA36),1))</f>
        <v>0.5</v>
      </c>
      <c r="S38" s="3678"/>
      <c r="T38" s="3678">
        <f>IF(F1="售价",ROUND(PRODUCT(T37,AB7:AB36),0),ROUND(PRODUCT(T37,AB7:AB36),1))</f>
        <v>0.5</v>
      </c>
      <c r="U38" s="3678"/>
      <c r="V38" s="3678">
        <f>IF(F1="售价",ROUND(PRODUCT(V37,AC7:AC36),0),ROUND(PRODUCT(V37,AC7:AC36),1))</f>
        <v>0.5</v>
      </c>
      <c r="W38" s="3678"/>
      <c r="X38" s="1305"/>
      <c r="Y38" s="1305"/>
      <c r="Z38" s="1305"/>
      <c r="AA38" s="1305"/>
      <c r="AB38" s="1305"/>
      <c r="AC38" s="1305"/>
    </row>
    <row r="39" spans="1:29" ht="15.75" thickBot="1">
      <c r="A39" s="833" t="s">
        <v>3026</v>
      </c>
      <c r="B39" s="834"/>
      <c r="C39" s="2842">
        <f>R39</f>
        <v>0.5</v>
      </c>
      <c r="D39" s="2842"/>
      <c r="E39" s="2842"/>
      <c r="F39" s="2842"/>
      <c r="G39" s="2842"/>
      <c r="H39" s="2842"/>
      <c r="I39" s="2842"/>
      <c r="J39" s="2842"/>
      <c r="K39" s="962"/>
      <c r="L39" s="2360"/>
      <c r="M39" s="2361"/>
      <c r="N39" s="2361"/>
      <c r="O39" s="2361"/>
      <c r="P39" s="3679" t="str">
        <f>A39</f>
        <v>估价对象XX用房的比较价值（楼面单价，元/平方米）</v>
      </c>
      <c r="Q39" s="3680"/>
      <c r="R39" s="3681">
        <f>IF(F1="售价",ROUND(AVERAGE(R38:V38),0),ROUND(AVERAGE(R38:V38),1))</f>
        <v>0.5</v>
      </c>
      <c r="S39" s="3681"/>
      <c r="T39" s="3681"/>
      <c r="U39" s="3681"/>
      <c r="V39" s="3681"/>
      <c r="W39" s="3681"/>
      <c r="X39" s="1305"/>
      <c r="Y39" s="1305"/>
      <c r="Z39" s="1305"/>
      <c r="AA39" s="1305"/>
      <c r="AB39" s="1305"/>
      <c r="AC39" s="1305"/>
    </row>
    <row r="40" spans="1:29">
      <c r="A40" s="2361"/>
      <c r="B40" s="2361"/>
      <c r="C40" s="2361"/>
      <c r="D40" s="2361"/>
      <c r="E40" s="2361">
        <v>14</v>
      </c>
      <c r="F40" s="2361"/>
      <c r="G40" s="2364">
        <v>0.1</v>
      </c>
      <c r="H40" s="2361"/>
      <c r="I40" s="2361">
        <v>31</v>
      </c>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412</v>
      </c>
      <c r="D42" s="839"/>
      <c r="E42" s="840">
        <f>IF(E37&lt;E38,E38/E37-1,E37/E38-1)</f>
        <v>0.16279069767441867</v>
      </c>
      <c r="F42" s="841" t="str">
        <f>IF(OR(E42&gt;=0.3,E42&lt;=-0.3),"超过30%","")</f>
        <v/>
      </c>
      <c r="G42" s="840">
        <f>IF(G37&lt;G38,G38/G37-1,G37/G38-1)</f>
        <v>4.1666666666666741E-2</v>
      </c>
      <c r="H42" s="841" t="str">
        <f>IF(OR(G42&gt;=0.3,G42&lt;=-0.3),"超过30%","")</f>
        <v/>
      </c>
      <c r="I42" s="840">
        <f>IF(I37&lt;I38,I38/I37-1,I37/I38-1)</f>
        <v>0.19047619047619047</v>
      </c>
      <c r="J42" s="841"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413</v>
      </c>
      <c r="D43" s="842"/>
      <c r="E43" s="840">
        <f>IF(E38&lt;G38,G38/E38-1,E38/G38-1)</f>
        <v>0</v>
      </c>
      <c r="F43" s="841" t="str">
        <f>IF(OR(E43&gt;=0.2,E43&lt;=-0.2),"超过20%","")</f>
        <v/>
      </c>
      <c r="G43" s="840">
        <f>IF(G38&lt;I38,I38/G38-1,G38/I38-1)</f>
        <v>0</v>
      </c>
      <c r="H43" s="841" t="str">
        <f>IF(OR(G43&gt;=0.2,G43&lt;=-0.2),"超过20%","")</f>
        <v/>
      </c>
      <c r="I43" s="840">
        <f>IF(I38&lt;E38,E38/I38-1,I38/E38-1)</f>
        <v>0</v>
      </c>
      <c r="J43" s="841"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414</v>
      </c>
      <c r="D44" s="842"/>
      <c r="E44" s="840">
        <f>IF(E37&lt;G37,G37/E37-1,E37/G37-1)</f>
        <v>0.11627906976744184</v>
      </c>
      <c r="F44" s="841" t="str">
        <f>IF(OR(E44&gt;=0.3,E44&lt;=-0.3),"超过30%","")</f>
        <v/>
      </c>
      <c r="G44" s="840">
        <f>IF(G37&lt;I37,I37/G37-1,G37/I37-1)</f>
        <v>0.14285714285714279</v>
      </c>
      <c r="H44" s="841" t="str">
        <f>IF(OR(G44&gt;=0.3,G44&lt;=-0.3),"超过30%","")</f>
        <v/>
      </c>
      <c r="I44" s="840">
        <f>IF(I37&lt;E37,E37/I37-1,I37/E37-1)</f>
        <v>2.3809523809523725E-2</v>
      </c>
      <c r="J44" s="841"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2798</v>
      </c>
      <c r="B48" s="847"/>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0"/>
      <c r="B49" s="851"/>
      <c r="C49" s="3029">
        <v>100</v>
      </c>
      <c r="D49" s="853">
        <v>99</v>
      </c>
      <c r="E49" s="853">
        <v>98</v>
      </c>
      <c r="F49" s="853">
        <v>97</v>
      </c>
      <c r="G49" s="853">
        <v>96</v>
      </c>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7" customFormat="1" ht="15.75" thickBot="1">
      <c r="A50" s="856" t="s">
        <v>416</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7" customFormat="1" ht="15">
      <c r="A51" s="862" t="s">
        <v>400</v>
      </c>
      <c r="B51" s="851"/>
      <c r="C51" s="863" t="s">
        <v>417</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7"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418</v>
      </c>
      <c r="B53" s="869" t="s">
        <v>419</v>
      </c>
      <c r="C53" s="870" t="str">
        <f>C9</f>
        <v>车库</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2641</v>
      </c>
      <c r="C65" s="919" t="s">
        <v>425</v>
      </c>
      <c r="D65" s="919" t="s">
        <v>426</v>
      </c>
      <c r="E65" s="919" t="s">
        <v>427</v>
      </c>
      <c r="F65" s="919" t="s">
        <v>428</v>
      </c>
      <c r="G65" s="919" t="s">
        <v>429</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2671</v>
      </c>
      <c r="C67" s="213" t="s">
        <v>2661</v>
      </c>
      <c r="D67" s="213" t="s">
        <v>2662</v>
      </c>
      <c r="E67" s="213" t="s">
        <v>2663</v>
      </c>
      <c r="F67" s="213" t="s">
        <v>2664</v>
      </c>
      <c r="G67" s="213" t="s">
        <v>2665</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432</v>
      </c>
      <c r="C69" s="919" t="s">
        <v>425</v>
      </c>
      <c r="D69" s="919" t="s">
        <v>426</v>
      </c>
      <c r="E69" s="919" t="s">
        <v>427</v>
      </c>
      <c r="F69" s="919" t="s">
        <v>428</v>
      </c>
      <c r="G69" s="919" t="s">
        <v>429</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433</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7"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7"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7"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7"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408</v>
      </c>
      <c r="B79" s="869" t="s">
        <v>467</v>
      </c>
      <c r="C79" s="870" t="str">
        <f>C26</f>
        <v>商业</v>
      </c>
      <c r="D79" s="3364" t="s">
        <v>3105</v>
      </c>
      <c r="E79" s="3364" t="s">
        <v>3106</v>
      </c>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98</v>
      </c>
      <c r="E80" s="885">
        <f t="shared" si="17"/>
        <v>96</v>
      </c>
      <c r="F80" s="885">
        <f t="shared" si="17"/>
        <v>94</v>
      </c>
      <c r="G80" s="885">
        <f t="shared" si="17"/>
        <v>92</v>
      </c>
      <c r="H80" s="885">
        <f t="shared" si="17"/>
        <v>90</v>
      </c>
      <c r="I80" s="885">
        <f t="shared" si="17"/>
        <v>88</v>
      </c>
      <c r="J80" s="885">
        <f t="shared" si="17"/>
        <v>86</v>
      </c>
      <c r="K80" s="885">
        <f t="shared" si="17"/>
        <v>84</v>
      </c>
      <c r="L80" s="885">
        <f t="shared" si="17"/>
        <v>82</v>
      </c>
      <c r="M80" s="886">
        <f t="shared" si="17"/>
        <v>80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468</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434</v>
      </c>
      <c r="C83" s="3365" t="s">
        <v>3111</v>
      </c>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470</v>
      </c>
      <c r="C88" s="3364" t="s">
        <v>3107</v>
      </c>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22.5" customHeight="1" thickTop="1">
      <c r="A90" s="934"/>
      <c r="B90" s="879" t="s">
        <v>471</v>
      </c>
      <c r="C90" s="919" t="str">
        <f>C91&amp;"(含)"&amp;"-"&amp;D91</f>
        <v>0(含)-20</v>
      </c>
      <c r="D90" s="919" t="str">
        <f t="shared" ref="D90:L90" si="21">D91&amp;"(含)"&amp;"-"&amp;E91</f>
        <v>20(含)-40</v>
      </c>
      <c r="E90" s="919" t="str">
        <f t="shared" si="21"/>
        <v>40(含)-60</v>
      </c>
      <c r="F90" s="919" t="str">
        <f t="shared" si="21"/>
        <v>60(含)-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v>0</v>
      </c>
      <c r="D91" s="936">
        <v>20</v>
      </c>
      <c r="E91" s="936">
        <v>40</v>
      </c>
      <c r="F91" s="936">
        <v>60</v>
      </c>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v>98</v>
      </c>
      <c r="D92" s="877">
        <v>99</v>
      </c>
      <c r="E92" s="877">
        <v>100</v>
      </c>
      <c r="F92" s="877">
        <v>101</v>
      </c>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472</v>
      </c>
      <c r="C93" s="3365" t="s">
        <v>3108</v>
      </c>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473</v>
      </c>
      <c r="C95" s="3364" t="s">
        <v>3109</v>
      </c>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866</v>
      </c>
      <c r="F2" s="3098"/>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447</v>
      </c>
      <c r="B3" s="950" t="e">
        <f ca="1">IF(C2="——",C37,ROUND(B2*10000/D3,0))</f>
        <v>#DIV/0!</v>
      </c>
      <c r="C3" s="743" t="s">
        <v>448</v>
      </c>
      <c r="D3" s="742">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449</v>
      </c>
      <c r="B4" s="745"/>
      <c r="C4" s="3689" t="s">
        <v>450</v>
      </c>
      <c r="D4" s="3690"/>
      <c r="E4" s="3691" t="s">
        <v>451</v>
      </c>
      <c r="F4" s="3692"/>
      <c r="G4" s="3689" t="s">
        <v>452</v>
      </c>
      <c r="H4" s="3690"/>
      <c r="I4" s="3689" t="s">
        <v>453</v>
      </c>
      <c r="J4" s="3690"/>
      <c r="K4" s="951" t="s">
        <v>454</v>
      </c>
      <c r="L4" s="2347"/>
      <c r="M4" s="2348"/>
      <c r="N4" s="2348"/>
      <c r="O4" s="2348"/>
      <c r="P4" s="3693" t="s">
        <v>455</v>
      </c>
      <c r="Q4" s="3694"/>
      <c r="R4" s="3699" t="s">
        <v>451</v>
      </c>
      <c r="S4" s="3700"/>
      <c r="T4" s="3699" t="s">
        <v>452</v>
      </c>
      <c r="U4" s="3700"/>
      <c r="V4" s="3705" t="s">
        <v>453</v>
      </c>
      <c r="W4" s="3705"/>
      <c r="X4" s="1316"/>
      <c r="Y4" s="3699" t="s">
        <v>455</v>
      </c>
      <c r="Z4" s="3700"/>
      <c r="AA4" s="3686" t="s">
        <v>451</v>
      </c>
      <c r="AB4" s="3687" t="s">
        <v>452</v>
      </c>
      <c r="AC4" s="3686" t="s">
        <v>453</v>
      </c>
    </row>
    <row r="5" spans="1:29" ht="15">
      <c r="A5" s="747"/>
      <c r="B5" s="748"/>
      <c r="C5" s="3652" t="s">
        <v>1128</v>
      </c>
      <c r="D5" s="3653"/>
      <c r="E5" s="3659" t="s">
        <v>1129</v>
      </c>
      <c r="F5" s="3660"/>
      <c r="G5" s="3652" t="s">
        <v>61</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29" ht="15.75" thickBot="1">
      <c r="A6" s="749"/>
      <c r="B6" s="750"/>
      <c r="C6" s="3650" t="s">
        <v>1131</v>
      </c>
      <c r="D6" s="3651"/>
      <c r="E6" s="3657" t="s">
        <v>1131</v>
      </c>
      <c r="F6" s="3658"/>
      <c r="G6" s="3650" t="s">
        <v>1131</v>
      </c>
      <c r="H6" s="3651"/>
      <c r="I6" s="3650" t="s">
        <v>1131</v>
      </c>
      <c r="J6" s="3651"/>
      <c r="K6" s="951" t="s">
        <v>397</v>
      </c>
      <c r="L6" s="2347"/>
      <c r="M6" s="2348"/>
      <c r="N6" s="2348"/>
      <c r="O6" s="2348"/>
      <c r="P6" s="3697"/>
      <c r="Q6" s="3698"/>
      <c r="R6" s="3701"/>
      <c r="S6" s="3702"/>
      <c r="T6" s="3703"/>
      <c r="U6" s="3704"/>
      <c r="V6" s="3705"/>
      <c r="W6" s="3705"/>
      <c r="X6" s="1316"/>
      <c r="Y6" s="3703"/>
      <c r="Z6" s="3704"/>
      <c r="AA6" s="3688"/>
      <c r="AB6" s="3688"/>
      <c r="AC6" s="3688"/>
    </row>
    <row r="7" spans="1:29" s="407" customFormat="1" ht="15.75" thickBot="1">
      <c r="A7" s="751" t="s">
        <v>398</v>
      </c>
      <c r="B7" s="752"/>
      <c r="C7" s="753">
        <f>'数据-取费表'!B2</f>
        <v>42962</v>
      </c>
      <c r="D7" s="754">
        <v>100</v>
      </c>
      <c r="E7" s="1015"/>
      <c r="F7" s="756">
        <f>SUMIF(46:46,YEAR(E7)&amp;"-"&amp;MONTH(E7),47:47)</f>
        <v>0</v>
      </c>
      <c r="G7" s="1016"/>
      <c r="H7" s="754">
        <f>SUMIF(46:46,YEAR(G7)&amp;"-"&amp;MONTH(G7),47:47)</f>
        <v>0</v>
      </c>
      <c r="I7" s="1015"/>
      <c r="J7" s="754">
        <f>SUMIF(46:46,YEAR(I7)&amp;"-"&amp;MONTH(I7),47:47)</f>
        <v>0</v>
      </c>
      <c r="K7" s="952"/>
      <c r="L7" s="2349"/>
      <c r="M7" s="2350"/>
      <c r="N7" s="2350"/>
      <c r="O7" s="2350"/>
      <c r="P7" s="3709" t="s">
        <v>399</v>
      </c>
      <c r="Q7" s="3711"/>
      <c r="R7" s="1317" t="s">
        <v>65</v>
      </c>
      <c r="S7" s="1318">
        <f t="shared" ref="S7:S14" si="0">F7</f>
        <v>0</v>
      </c>
      <c r="T7" s="1317" t="s">
        <v>65</v>
      </c>
      <c r="U7" s="1318">
        <f t="shared" ref="U7:U14" si="1">H7</f>
        <v>0</v>
      </c>
      <c r="V7" s="1317" t="s">
        <v>65</v>
      </c>
      <c r="W7" s="1318">
        <f t="shared" ref="W7:W14" si="2">J7</f>
        <v>0</v>
      </c>
      <c r="X7" s="1319"/>
      <c r="Y7" s="3709" t="s">
        <v>399</v>
      </c>
      <c r="Z7" s="3710"/>
      <c r="AA7" s="1320" t="e">
        <f>D7/F7</f>
        <v>#DIV/0!</v>
      </c>
      <c r="AB7" s="1320" t="e">
        <f>D7/H7</f>
        <v>#DIV/0!</v>
      </c>
      <c r="AC7" s="1320"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34" si="3">D8/F8</f>
        <v>#DIV/0!</v>
      </c>
      <c r="AB8" s="1320" t="e">
        <f t="shared" ref="AB8:AB34" si="4">D8/H8</f>
        <v>#DIV/0!</v>
      </c>
      <c r="AC8" s="1320" t="e">
        <f t="shared" ref="AC8:AC34" si="5">D8/J8</f>
        <v>#DIV/0!</v>
      </c>
    </row>
    <row r="9" spans="1:29" s="407" customFormat="1">
      <c r="A9" s="758" t="s">
        <v>401</v>
      </c>
      <c r="B9" s="361" t="s">
        <v>419</v>
      </c>
      <c r="C9" s="1344"/>
      <c r="D9" s="425">
        <v>100</v>
      </c>
      <c r="E9" s="760"/>
      <c r="F9" s="759">
        <f>SUMIF(51:51,E9,52:52)-SUMIF(51:51,C9,52:52)+100</f>
        <v>100</v>
      </c>
      <c r="G9" s="760"/>
      <c r="H9" s="425">
        <f>SUMIF(51:51,G9,52:52)-SUMIF(51:51,C9,52:52)+100</f>
        <v>100</v>
      </c>
      <c r="I9" s="760"/>
      <c r="J9" s="425">
        <f>SUMIF(51:51,I9,52:52)-SUMIF(51:51,C9,52:52)+100</f>
        <v>100</v>
      </c>
      <c r="K9" s="952"/>
      <c r="L9" s="2349"/>
      <c r="M9" s="2350"/>
      <c r="N9" s="2350"/>
      <c r="O9" s="2351"/>
      <c r="P9" s="3677" t="s">
        <v>402</v>
      </c>
      <c r="Q9" s="296" t="str">
        <f t="shared" ref="Q9:Q14" si="6">B9</f>
        <v>用途</v>
      </c>
      <c r="R9" s="1317" t="s">
        <v>65</v>
      </c>
      <c r="S9" s="1318">
        <f t="shared" si="0"/>
        <v>100</v>
      </c>
      <c r="T9" s="1317" t="s">
        <v>65</v>
      </c>
      <c r="U9" s="1318">
        <f t="shared" si="1"/>
        <v>100</v>
      </c>
      <c r="V9" s="1317" t="s">
        <v>65</v>
      </c>
      <c r="W9" s="1318">
        <f t="shared" si="2"/>
        <v>100</v>
      </c>
      <c r="X9" s="1319"/>
      <c r="Y9" s="3461" t="s">
        <v>403</v>
      </c>
      <c r="Z9" s="344" t="str">
        <f t="shared" ref="Z9:Z14" si="7">Q9</f>
        <v>用途</v>
      </c>
      <c r="AA9" s="1320">
        <f t="shared" si="3"/>
        <v>1</v>
      </c>
      <c r="AB9" s="1320">
        <f t="shared" si="4"/>
        <v>1</v>
      </c>
      <c r="AC9" s="1320">
        <f t="shared" si="5"/>
        <v>1</v>
      </c>
    </row>
    <row r="10" spans="1:29" s="768" customFormat="1" ht="27">
      <c r="A10" s="762"/>
      <c r="B10" s="763" t="s">
        <v>404</v>
      </c>
      <c r="C10" s="764"/>
      <c r="D10" s="426">
        <v>100</v>
      </c>
      <c r="E10" s="764"/>
      <c r="F10" s="766">
        <f>SUMIF(53:53,E10,54:54)-SUMIF(53:53,C10,54:54)+100</f>
        <v>100</v>
      </c>
      <c r="G10" s="764"/>
      <c r="H10" s="426">
        <f>SUMIF(53:53,G10,54:54)-SUMIF(53:53,C10,54:54)+100</f>
        <v>100</v>
      </c>
      <c r="I10" s="764"/>
      <c r="J10" s="426">
        <f>SUMIF(53:53,I10,54:54)-SUMIF(53:53,C10,54:54)+100</f>
        <v>100</v>
      </c>
      <c r="K10" s="953"/>
      <c r="L10" s="2352"/>
      <c r="M10" s="2353"/>
      <c r="N10" s="2353"/>
      <c r="O10" s="2354"/>
      <c r="P10" s="3677"/>
      <c r="Q10" s="296" t="str">
        <f t="shared" si="6"/>
        <v>土地使用年限（年）</v>
      </c>
      <c r="R10" s="1317" t="s">
        <v>65</v>
      </c>
      <c r="S10" s="1318">
        <f t="shared" si="0"/>
        <v>100</v>
      </c>
      <c r="T10" s="1317" t="s">
        <v>65</v>
      </c>
      <c r="U10" s="1318">
        <f t="shared" si="1"/>
        <v>100</v>
      </c>
      <c r="V10" s="1317" t="s">
        <v>65</v>
      </c>
      <c r="W10" s="1318">
        <f t="shared" si="2"/>
        <v>100</v>
      </c>
      <c r="X10" s="1319"/>
      <c r="Y10" s="3461"/>
      <c r="Z10" s="344" t="str">
        <f t="shared" si="7"/>
        <v>土地使用年限（年）</v>
      </c>
      <c r="AA10" s="1320">
        <f t="shared" si="3"/>
        <v>1</v>
      </c>
      <c r="AB10" s="1320">
        <f t="shared" si="4"/>
        <v>1</v>
      </c>
      <c r="AC10" s="1320">
        <f t="shared" si="5"/>
        <v>1</v>
      </c>
    </row>
    <row r="11" spans="1:29" ht="15">
      <c r="A11" s="769"/>
      <c r="B11" s="1029">
        <v>111</v>
      </c>
      <c r="C11" s="1022"/>
      <c r="D11" s="426">
        <v>100</v>
      </c>
      <c r="E11" s="1356"/>
      <c r="F11" s="766">
        <f>SUMIF(55:55,E11,56:56)-SUMIF(55:55,C11,56:56)+100</f>
        <v>100</v>
      </c>
      <c r="G11" s="1356"/>
      <c r="H11" s="426">
        <f>SUMIF(55:55,G11,56:56)-SUMIF(55:55,C11,56:56)+100</f>
        <v>100</v>
      </c>
      <c r="I11" s="1356"/>
      <c r="J11" s="426">
        <f>SUMIF(55:55,I11,56:56)-SUMIF(55:55,C11,56:56)+100</f>
        <v>100</v>
      </c>
      <c r="K11" s="954"/>
      <c r="L11" s="2355"/>
      <c r="M11" s="2348"/>
      <c r="N11" s="2348"/>
      <c r="O11" s="2356"/>
      <c r="P11" s="3677"/>
      <c r="Q11" s="296">
        <f t="shared" si="6"/>
        <v>111</v>
      </c>
      <c r="R11" s="1317" t="s">
        <v>65</v>
      </c>
      <c r="S11" s="1318">
        <f t="shared" si="0"/>
        <v>100</v>
      </c>
      <c r="T11" s="1317" t="s">
        <v>65</v>
      </c>
      <c r="U11" s="1318">
        <f t="shared" si="1"/>
        <v>100</v>
      </c>
      <c r="V11" s="1317" t="s">
        <v>65</v>
      </c>
      <c r="W11" s="1318">
        <f t="shared" si="2"/>
        <v>100</v>
      </c>
      <c r="X11" s="1319"/>
      <c r="Y11" s="3461"/>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6">
        <f>SUMIF(57:57,G12,58:58)-SUMIF(57:57,C12,58:58)+100</f>
        <v>100</v>
      </c>
      <c r="I12" s="1356"/>
      <c r="J12" s="426">
        <f>SUMIF(57:57,I12,58:58)-SUMIF(57:57,C12,58:58)+100</f>
        <v>100</v>
      </c>
      <c r="K12" s="954"/>
      <c r="L12" s="2349"/>
      <c r="M12" s="2350"/>
      <c r="N12" s="2350"/>
      <c r="O12" s="2351"/>
      <c r="P12" s="3677"/>
      <c r="Q12" s="296">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81">
      <c r="A14" s="781" t="s">
        <v>406</v>
      </c>
      <c r="B14" s="359" t="s">
        <v>456</v>
      </c>
      <c r="C14" s="212" t="str">
        <f>IF(B1="工业",估价对象房地状况!G4,估价对象房地状况!C6)</f>
        <v>估价对象周边有房2内路、周边无地铁，路网密集程度一般，交通便捷度一般</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82" t="s">
        <v>407</v>
      </c>
      <c r="Q14" s="1321" t="str">
        <f t="shared" si="6"/>
        <v>交通便捷度</v>
      </c>
      <c r="R14" s="1322" t="s">
        <v>65</v>
      </c>
      <c r="S14" s="1323">
        <f t="shared" si="0"/>
        <v>100</v>
      </c>
      <c r="T14" s="1322" t="s">
        <v>65</v>
      </c>
      <c r="U14" s="1323">
        <f t="shared" si="1"/>
        <v>100</v>
      </c>
      <c r="V14" s="1322" t="s">
        <v>65</v>
      </c>
      <c r="W14" s="1323">
        <f t="shared" si="2"/>
        <v>100</v>
      </c>
      <c r="X14" s="1316"/>
      <c r="Y14" s="3682" t="s">
        <v>407</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683"/>
      <c r="Q15" s="1321"/>
      <c r="R15" s="1322"/>
      <c r="S15" s="1323"/>
      <c r="T15" s="1322"/>
      <c r="U15" s="1323"/>
      <c r="V15" s="1322"/>
      <c r="W15" s="1323"/>
      <c r="X15" s="1316"/>
      <c r="Y15" s="3683"/>
      <c r="Z15" s="1324"/>
      <c r="AA15" s="1325">
        <v>1</v>
      </c>
      <c r="AB15" s="1325">
        <v>1</v>
      </c>
      <c r="AC15" s="1325">
        <v>1</v>
      </c>
    </row>
    <row r="16" spans="1:29" ht="108">
      <c r="A16" s="769"/>
      <c r="B16" s="1354" t="s">
        <v>2670</v>
      </c>
      <c r="C16" s="158" t="str">
        <f>IF(B1="工业",估价对象房地状况!G5,估价对象房地状况!C7)</f>
        <v>估价对象所在区域公共配套设施齐备情况较好：蓝色未来幼儿园、北京市房山区第一医院良乡分部</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83"/>
      <c r="Q16" s="1321" t="str">
        <f>B16</f>
        <v>公共配套设施</v>
      </c>
      <c r="R16" s="1322" t="s">
        <v>65</v>
      </c>
      <c r="S16" s="1323">
        <f>F16</f>
        <v>100</v>
      </c>
      <c r="T16" s="1322" t="s">
        <v>65</v>
      </c>
      <c r="U16" s="1323">
        <f>H16</f>
        <v>100</v>
      </c>
      <c r="V16" s="1322" t="s">
        <v>65</v>
      </c>
      <c r="W16" s="1323">
        <f>J16</f>
        <v>100</v>
      </c>
      <c r="X16" s="1316"/>
      <c r="Y16" s="3683"/>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683"/>
      <c r="Q17" s="1321"/>
      <c r="R17" s="1322"/>
      <c r="S17" s="1323"/>
      <c r="T17" s="1322"/>
      <c r="U17" s="1323"/>
      <c r="V17" s="1322"/>
      <c r="W17" s="1323"/>
      <c r="X17" s="1316"/>
      <c r="Y17" s="3683"/>
      <c r="Z17" s="1324"/>
      <c r="AA17" s="1325">
        <v>1</v>
      </c>
      <c r="AB17" s="1325">
        <v>1</v>
      </c>
      <c r="AC17" s="1325">
        <v>1</v>
      </c>
    </row>
    <row r="18" spans="1:29" ht="40.5">
      <c r="A18" s="769"/>
      <c r="B18" s="1410" t="s">
        <v>2672</v>
      </c>
      <c r="C18" s="158" t="str">
        <f>IF(B1="工业",估价对象房地状况!G6,估价对象房地状况!C8)</f>
        <v>估价对象所在区域基础设施水平：七通</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83"/>
      <c r="Q18" s="2748" t="str">
        <f>B18</f>
        <v>基础设施水平</v>
      </c>
      <c r="R18" s="1322" t="s">
        <v>65</v>
      </c>
      <c r="S18" s="1323">
        <f>F18</f>
        <v>100</v>
      </c>
      <c r="T18" s="1322" t="s">
        <v>65</v>
      </c>
      <c r="U18" s="1323">
        <f>H18</f>
        <v>100</v>
      </c>
      <c r="V18" s="1322" t="s">
        <v>65</v>
      </c>
      <c r="W18" s="1323">
        <f>J18</f>
        <v>100</v>
      </c>
      <c r="X18" s="2750"/>
      <c r="Y18" s="3683"/>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683"/>
      <c r="Q19" s="2748"/>
      <c r="R19" s="1322"/>
      <c r="S19" s="1323"/>
      <c r="T19" s="1322"/>
      <c r="U19" s="1323"/>
      <c r="V19" s="1322"/>
      <c r="W19" s="1323"/>
      <c r="X19" s="2750"/>
      <c r="Y19" s="3683"/>
      <c r="Z19" s="2749"/>
      <c r="AA19" s="1325">
        <v>1</v>
      </c>
      <c r="AB19" s="1325">
        <v>1</v>
      </c>
      <c r="AC19" s="1325">
        <v>1</v>
      </c>
    </row>
    <row r="20" spans="1:29" ht="81">
      <c r="A20" s="769"/>
      <c r="B20" s="792" t="s">
        <v>457</v>
      </c>
      <c r="C20" s="158" t="str">
        <f>IF(B1="工业",估价对象房地状况!G7,估价对象房地状况!C9)</f>
        <v>区域自然环境：良乡塔；人文环境：良乡文化广场；综合评价环境状况一般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83"/>
      <c r="Q20" s="1321" t="str">
        <f>B20</f>
        <v>自然及人文环境</v>
      </c>
      <c r="R20" s="1322" t="s">
        <v>65</v>
      </c>
      <c r="S20" s="1323">
        <f>F20</f>
        <v>100</v>
      </c>
      <c r="T20" s="1322" t="s">
        <v>65</v>
      </c>
      <c r="U20" s="1323">
        <f>H20</f>
        <v>100</v>
      </c>
      <c r="V20" s="1322" t="s">
        <v>65</v>
      </c>
      <c r="W20" s="1323">
        <f>J20</f>
        <v>100</v>
      </c>
      <c r="X20" s="1316"/>
      <c r="Y20" s="3683"/>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683"/>
      <c r="Q21" s="1321"/>
      <c r="R21" s="1322"/>
      <c r="S21" s="1323"/>
      <c r="T21" s="1322"/>
      <c r="U21" s="1323"/>
      <c r="V21" s="1322"/>
      <c r="W21" s="1323"/>
      <c r="X21" s="1316"/>
      <c r="Y21" s="3683"/>
      <c r="Z21" s="1324"/>
      <c r="AA21" s="1325">
        <v>1</v>
      </c>
      <c r="AB21" s="1325">
        <v>1</v>
      </c>
      <c r="AC21" s="1325">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83"/>
      <c r="Q22" s="1321" t="str">
        <f>B22</f>
        <v>楼层</v>
      </c>
      <c r="R22" s="1322" t="s">
        <v>65</v>
      </c>
      <c r="S22" s="1323">
        <f>F22</f>
        <v>100</v>
      </c>
      <c r="T22" s="1322" t="s">
        <v>65</v>
      </c>
      <c r="U22" s="1323">
        <f>H22</f>
        <v>100</v>
      </c>
      <c r="V22" s="1322" t="s">
        <v>65</v>
      </c>
      <c r="W22" s="1323">
        <f>J22</f>
        <v>100</v>
      </c>
      <c r="X22" s="1316"/>
      <c r="Y22" s="3683"/>
      <c r="Z22" s="1324" t="str">
        <f>Q22</f>
        <v>楼层</v>
      </c>
      <c r="AA22" s="1325">
        <f t="shared" si="3"/>
        <v>1</v>
      </c>
      <c r="AB22" s="1325">
        <f t="shared" si="4"/>
        <v>1</v>
      </c>
      <c r="AC22" s="1325">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83"/>
      <c r="Q23" s="1321">
        <f>B23</f>
        <v>111</v>
      </c>
      <c r="R23" s="1322" t="s">
        <v>65</v>
      </c>
      <c r="S23" s="1323">
        <f>F23</f>
        <v>100</v>
      </c>
      <c r="T23" s="1322" t="s">
        <v>65</v>
      </c>
      <c r="U23" s="1323">
        <f>H23</f>
        <v>100</v>
      </c>
      <c r="V23" s="1322" t="s">
        <v>65</v>
      </c>
      <c r="W23" s="1323">
        <f>J23</f>
        <v>100</v>
      </c>
      <c r="X23" s="1316"/>
      <c r="Y23" s="3683"/>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83"/>
      <c r="Q24" s="1321">
        <f t="shared" ref="Q24:Q34" si="11">B24</f>
        <v>111</v>
      </c>
      <c r="R24" s="1322" t="s">
        <v>65</v>
      </c>
      <c r="S24" s="1323">
        <f>F24</f>
        <v>100</v>
      </c>
      <c r="T24" s="1322" t="s">
        <v>65</v>
      </c>
      <c r="U24" s="1323">
        <f>H24</f>
        <v>100</v>
      </c>
      <c r="V24" s="1322" t="s">
        <v>65</v>
      </c>
      <c r="W24" s="1323">
        <f>J24</f>
        <v>100</v>
      </c>
      <c r="X24" s="1316"/>
      <c r="Y24" s="3683"/>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683"/>
      <c r="Q25" s="296">
        <f t="shared" si="11"/>
        <v>111</v>
      </c>
      <c r="R25" s="1317" t="s">
        <v>65</v>
      </c>
      <c r="S25" s="1318">
        <f>F25</f>
        <v>100</v>
      </c>
      <c r="T25" s="1317" t="s">
        <v>65</v>
      </c>
      <c r="U25" s="1318">
        <f>H25</f>
        <v>100</v>
      </c>
      <c r="V25" s="1317" t="s">
        <v>65</v>
      </c>
      <c r="W25" s="1318">
        <f>J25</f>
        <v>100</v>
      </c>
      <c r="X25" s="1319"/>
      <c r="Y25" s="3683"/>
      <c r="Z25" s="344">
        <f>Q25</f>
        <v>111</v>
      </c>
      <c r="AA25" s="1325">
        <f>D25/F25</f>
        <v>1</v>
      </c>
      <c r="AB25" s="1325">
        <f>D25/H25</f>
        <v>1</v>
      </c>
      <c r="AC25" s="1325">
        <f>D25/J25</f>
        <v>1</v>
      </c>
    </row>
    <row r="26" spans="1:29" ht="15">
      <c r="A26" s="807" t="s">
        <v>408</v>
      </c>
      <c r="B26" s="361" t="s">
        <v>461</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684"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5" t="s">
        <v>474</v>
      </c>
      <c r="Z26" s="1324" t="str">
        <f t="shared" ref="Z26:Z34" si="15">Q26</f>
        <v>公共部分装修</v>
      </c>
      <c r="AA26" s="1325">
        <f t="shared" si="3"/>
        <v>1</v>
      </c>
      <c r="AB26" s="1325">
        <f t="shared" si="4"/>
        <v>1</v>
      </c>
      <c r="AC26" s="1325">
        <f t="shared" si="5"/>
        <v>1</v>
      </c>
    </row>
    <row r="27" spans="1:29" s="812" customFormat="1" ht="15">
      <c r="A27" s="809"/>
      <c r="B27" s="763" t="s">
        <v>462</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85"/>
      <c r="Q27" s="1326" t="str">
        <f t="shared" si="11"/>
        <v>成新率</v>
      </c>
      <c r="R27" s="1327" t="s">
        <v>65</v>
      </c>
      <c r="S27" s="1328" t="e">
        <f t="shared" si="12"/>
        <v>#N/A</v>
      </c>
      <c r="T27" s="1327" t="s">
        <v>65</v>
      </c>
      <c r="U27" s="1328" t="e">
        <f t="shared" si="13"/>
        <v>#N/A</v>
      </c>
      <c r="V27" s="1327" t="s">
        <v>65</v>
      </c>
      <c r="W27" s="1328" t="e">
        <f t="shared" si="14"/>
        <v>#N/A</v>
      </c>
      <c r="X27" s="1329"/>
      <c r="Y27" s="3685"/>
      <c r="Z27" s="1330" t="str">
        <f t="shared" si="15"/>
        <v>成新率</v>
      </c>
      <c r="AA27" s="1325" t="e">
        <f t="shared" si="3"/>
        <v>#N/A</v>
      </c>
      <c r="AB27" s="1325" t="e">
        <f t="shared" si="4"/>
        <v>#N/A</v>
      </c>
      <c r="AC27" s="1325"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85"/>
      <c r="Q28" s="1321" t="str">
        <f t="shared" si="11"/>
        <v>物业等级</v>
      </c>
      <c r="R28" s="1322" t="s">
        <v>65</v>
      </c>
      <c r="S28" s="1323">
        <f t="shared" si="12"/>
        <v>100</v>
      </c>
      <c r="T28" s="1322" t="s">
        <v>65</v>
      </c>
      <c r="U28" s="1323">
        <f t="shared" si="13"/>
        <v>100</v>
      </c>
      <c r="V28" s="1322" t="s">
        <v>65</v>
      </c>
      <c r="W28" s="1323">
        <f t="shared" si="14"/>
        <v>100</v>
      </c>
      <c r="X28" s="1316"/>
      <c r="Y28" s="3685"/>
      <c r="Z28" s="1324" t="str">
        <f t="shared" si="15"/>
        <v>物业等级</v>
      </c>
      <c r="AA28" s="1325">
        <f t="shared" si="3"/>
        <v>1</v>
      </c>
      <c r="AB28" s="1325">
        <f t="shared" si="4"/>
        <v>1</v>
      </c>
      <c r="AC28" s="1325">
        <f t="shared" si="5"/>
        <v>1</v>
      </c>
    </row>
    <row r="29" spans="1:29" ht="15">
      <c r="A29" s="813"/>
      <c r="B29" s="763" t="s">
        <v>475</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685"/>
      <c r="Q29" s="1321" t="str">
        <f t="shared" si="11"/>
        <v>有无电梯</v>
      </c>
      <c r="R29" s="1322" t="s">
        <v>65</v>
      </c>
      <c r="S29" s="1323">
        <f t="shared" si="12"/>
        <v>100</v>
      </c>
      <c r="T29" s="1322" t="s">
        <v>65</v>
      </c>
      <c r="U29" s="1323">
        <f t="shared" si="13"/>
        <v>100</v>
      </c>
      <c r="V29" s="1322" t="s">
        <v>65</v>
      </c>
      <c r="W29" s="1323">
        <f t="shared" si="14"/>
        <v>100</v>
      </c>
      <c r="X29" s="1316"/>
      <c r="Y29" s="3685"/>
      <c r="Z29" s="1324" t="str">
        <f t="shared" si="15"/>
        <v>有无电梯</v>
      </c>
      <c r="AA29" s="1325">
        <f t="shared" si="3"/>
        <v>1</v>
      </c>
      <c r="AB29" s="1325">
        <f t="shared" si="4"/>
        <v>1</v>
      </c>
      <c r="AC29" s="1325">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85"/>
      <c r="Q30" s="1321" t="str">
        <f t="shared" si="11"/>
        <v>建筑面积</v>
      </c>
      <c r="R30" s="1322" t="s">
        <v>65</v>
      </c>
      <c r="S30" s="1323" t="e">
        <f t="shared" si="12"/>
        <v>#N/A</v>
      </c>
      <c r="T30" s="1322" t="s">
        <v>65</v>
      </c>
      <c r="U30" s="1323" t="e">
        <f t="shared" si="13"/>
        <v>#N/A</v>
      </c>
      <c r="V30" s="1322" t="s">
        <v>65</v>
      </c>
      <c r="W30" s="1323" t="e">
        <f t="shared" si="14"/>
        <v>#N/A</v>
      </c>
      <c r="X30" s="1316"/>
      <c r="Y30" s="3685"/>
      <c r="Z30" s="1324" t="str">
        <f t="shared" si="15"/>
        <v>建筑面积</v>
      </c>
      <c r="AA30" s="1325" t="e">
        <f t="shared" si="3"/>
        <v>#N/A</v>
      </c>
      <c r="AB30" s="1325" t="e">
        <f t="shared" si="4"/>
        <v>#N/A</v>
      </c>
      <c r="AC30" s="1325" t="e">
        <f t="shared" si="5"/>
        <v>#N/A</v>
      </c>
    </row>
    <row r="31" spans="1:29" s="407" customFormat="1" ht="15">
      <c r="A31" s="814"/>
      <c r="B31" s="763" t="s">
        <v>477</v>
      </c>
      <c r="C31" s="1411"/>
      <c r="D31" s="426">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685"/>
      <c r="Q31" s="296" t="str">
        <f t="shared" si="11"/>
        <v>是否封闭</v>
      </c>
      <c r="R31" s="1317" t="s">
        <v>65</v>
      </c>
      <c r="S31" s="1318">
        <f t="shared" si="12"/>
        <v>100</v>
      </c>
      <c r="T31" s="1317" t="s">
        <v>65</v>
      </c>
      <c r="U31" s="1318">
        <f t="shared" si="13"/>
        <v>100</v>
      </c>
      <c r="V31" s="1317" t="s">
        <v>65</v>
      </c>
      <c r="W31" s="1318">
        <f t="shared" si="14"/>
        <v>100</v>
      </c>
      <c r="X31" s="1319"/>
      <c r="Y31" s="3685"/>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685" t="s">
        <v>409</v>
      </c>
      <c r="Q32" s="1321">
        <f t="shared" si="11"/>
        <v>111</v>
      </c>
      <c r="R32" s="1322" t="s">
        <v>65</v>
      </c>
      <c r="S32" s="1323">
        <f t="shared" si="12"/>
        <v>100</v>
      </c>
      <c r="T32" s="1322" t="s">
        <v>65</v>
      </c>
      <c r="U32" s="1323">
        <f t="shared" si="13"/>
        <v>100</v>
      </c>
      <c r="V32" s="1322" t="s">
        <v>65</v>
      </c>
      <c r="W32" s="1323">
        <f t="shared" si="14"/>
        <v>100</v>
      </c>
      <c r="X32" s="1316"/>
      <c r="Y32" s="3685" t="s">
        <v>409</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685"/>
      <c r="Q33" s="1321">
        <f t="shared" si="11"/>
        <v>111</v>
      </c>
      <c r="R33" s="1322" t="s">
        <v>65</v>
      </c>
      <c r="S33" s="1323">
        <f t="shared" si="12"/>
        <v>100</v>
      </c>
      <c r="T33" s="1322" t="s">
        <v>65</v>
      </c>
      <c r="U33" s="1323">
        <f t="shared" si="13"/>
        <v>100</v>
      </c>
      <c r="V33" s="1322" t="s">
        <v>65</v>
      </c>
      <c r="W33" s="1323">
        <f t="shared" si="14"/>
        <v>100</v>
      </c>
      <c r="X33" s="1316"/>
      <c r="Y33" s="3685"/>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685"/>
      <c r="Q34" s="1321">
        <f t="shared" si="11"/>
        <v>111</v>
      </c>
      <c r="R34" s="1322" t="s">
        <v>65</v>
      </c>
      <c r="S34" s="1323">
        <f t="shared" si="12"/>
        <v>100</v>
      </c>
      <c r="T34" s="1322" t="s">
        <v>65</v>
      </c>
      <c r="U34" s="1323">
        <f t="shared" si="13"/>
        <v>100</v>
      </c>
      <c r="V34" s="1322" t="s">
        <v>65</v>
      </c>
      <c r="W34" s="1323">
        <f t="shared" si="14"/>
        <v>100</v>
      </c>
      <c r="X34" s="1316"/>
      <c r="Y34" s="3685"/>
      <c r="Z34" s="1324">
        <f t="shared" si="15"/>
        <v>111</v>
      </c>
      <c r="AA34" s="1325">
        <f t="shared" si="3"/>
        <v>1</v>
      </c>
      <c r="AB34" s="1325">
        <f t="shared" si="4"/>
        <v>1</v>
      </c>
      <c r="AC34" s="1325">
        <f t="shared" si="5"/>
        <v>1</v>
      </c>
    </row>
    <row r="35" spans="1:29" ht="15">
      <c r="A35" s="820" t="s">
        <v>410</v>
      </c>
      <c r="B35" s="821"/>
      <c r="C35" s="2832" t="s">
        <v>23</v>
      </c>
      <c r="D35" s="2833"/>
      <c r="E35" s="2834"/>
      <c r="F35" s="2835"/>
      <c r="G35" s="2836"/>
      <c r="H35" s="2837"/>
      <c r="I35" s="2834"/>
      <c r="J35" s="2837"/>
      <c r="K35" s="1398"/>
      <c r="L35" s="2360"/>
      <c r="M35" s="2361"/>
      <c r="N35" s="2348"/>
      <c r="O35" s="2361"/>
      <c r="P35" s="3677" t="str">
        <f>A35</f>
        <v>成交单价（元/平方米）</v>
      </c>
      <c r="Q35" s="3677"/>
      <c r="R35" s="3678">
        <f>E35</f>
        <v>0</v>
      </c>
      <c r="S35" s="3678"/>
      <c r="T35" s="3678">
        <f>G35</f>
        <v>0</v>
      </c>
      <c r="U35" s="3678"/>
      <c r="V35" s="3678">
        <f>I35</f>
        <v>0</v>
      </c>
      <c r="W35" s="3678"/>
      <c r="X35" s="1305"/>
      <c r="Y35" s="1331"/>
      <c r="Z35" s="1305"/>
      <c r="AA35" s="1305"/>
      <c r="AB35" s="1305"/>
      <c r="AC35" s="1305"/>
    </row>
    <row r="36" spans="1:29" ht="15.75" thickBot="1">
      <c r="A36" s="827" t="s">
        <v>411</v>
      </c>
      <c r="B36" s="828"/>
      <c r="C36" s="2838" t="e">
        <f>R37</f>
        <v>#DIV/0!</v>
      </c>
      <c r="D36" s="2839"/>
      <c r="E36" s="2840" t="e">
        <f>R36</f>
        <v>#DIV/0!</v>
      </c>
      <c r="F36" s="2840"/>
      <c r="G36" s="2838" t="e">
        <f>T36</f>
        <v>#DIV/0!</v>
      </c>
      <c r="H36" s="2839"/>
      <c r="I36" s="2840" t="e">
        <f>V36</f>
        <v>#DIV/0!</v>
      </c>
      <c r="J36" s="2839"/>
      <c r="K36" s="1399"/>
      <c r="L36" s="2360"/>
      <c r="M36" s="2361"/>
      <c r="N36" s="2348"/>
      <c r="O36" s="2361"/>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305"/>
      <c r="Y36" s="1305"/>
      <c r="Z36" s="1305"/>
      <c r="AA36" s="1305"/>
      <c r="AB36" s="1305"/>
      <c r="AC36" s="1305"/>
    </row>
    <row r="37" spans="1:29" ht="15.75" thickBot="1">
      <c r="A37" s="115" t="s">
        <v>3023</v>
      </c>
      <c r="B37" s="834"/>
      <c r="C37" s="2842" t="e">
        <f>R37</f>
        <v>#DIV/0!</v>
      </c>
      <c r="D37" s="2842"/>
      <c r="E37" s="2842"/>
      <c r="F37" s="2842"/>
      <c r="G37" s="2842"/>
      <c r="H37" s="2842"/>
      <c r="I37" s="2842"/>
      <c r="J37" s="2842"/>
      <c r="K37" s="1400"/>
      <c r="L37" s="2360"/>
      <c r="M37" s="2361"/>
      <c r="N37" s="2361"/>
      <c r="O37" s="2361"/>
      <c r="P37" s="3679" t="str">
        <f>A37</f>
        <v>估价对象XX用房的比较价值（楼面单价，元/平方米）</v>
      </c>
      <c r="Q37" s="3680"/>
      <c r="R37" s="3681" t="e">
        <f>IF(F1="售价",ROUND(AVERAGE(R36:V36),0),ROUND(AVERAGE(R36:V36),1))</f>
        <v>#DIV/0!</v>
      </c>
      <c r="S37" s="3681"/>
      <c r="T37" s="3681"/>
      <c r="U37" s="3681"/>
      <c r="V37" s="3681"/>
      <c r="W37" s="3681"/>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415</v>
      </c>
      <c r="B45" s="1305"/>
      <c r="C45" s="1310"/>
      <c r="D45" s="1310"/>
      <c r="E45" s="1310"/>
      <c r="F45" s="1311"/>
      <c r="G45" s="1311"/>
      <c r="H45" s="1310"/>
      <c r="I45" s="1310"/>
      <c r="J45" s="1310"/>
      <c r="K45" s="1312"/>
      <c r="L45" s="1313"/>
      <c r="M45" s="1310"/>
      <c r="N45" s="1310"/>
      <c r="O45" s="1310"/>
      <c r="P45" s="844"/>
      <c r="Q45" s="845"/>
    </row>
    <row r="46" spans="1:29" s="849" customFormat="1" ht="15">
      <c r="A46" s="846" t="s">
        <v>398</v>
      </c>
      <c r="B46" s="847"/>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416</v>
      </c>
      <c r="B48" s="857"/>
      <c r="C48" s="858"/>
      <c r="D48" s="859"/>
      <c r="E48" s="859"/>
      <c r="F48" s="859"/>
      <c r="G48" s="859"/>
      <c r="H48" s="859"/>
      <c r="I48" s="859"/>
      <c r="J48" s="859"/>
      <c r="K48" s="859"/>
      <c r="L48" s="859"/>
      <c r="M48" s="860"/>
      <c r="N48" s="859"/>
      <c r="O48" s="861"/>
      <c r="P48" s="845"/>
      <c r="Q48" s="845"/>
    </row>
    <row r="49" spans="1:17" s="407" customFormat="1" ht="15">
      <c r="A49" s="862" t="s">
        <v>400</v>
      </c>
      <c r="B49" s="851"/>
      <c r="C49" s="863" t="s">
        <v>417</v>
      </c>
      <c r="D49" s="140"/>
      <c r="E49" s="140"/>
      <c r="F49" s="140"/>
      <c r="G49" s="140"/>
      <c r="H49" s="140"/>
      <c r="I49" s="140"/>
      <c r="J49" s="140"/>
      <c r="K49" s="140"/>
      <c r="L49" s="141"/>
      <c r="M49" s="1049"/>
      <c r="N49" s="2368"/>
      <c r="O49" s="2368"/>
      <c r="P49" s="867"/>
      <c r="Q49" s="845"/>
    </row>
    <row r="50" spans="1:17" s="407"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418</v>
      </c>
      <c r="B51" s="869" t="s">
        <v>419</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433</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7" customFormat="1" ht="15.75" thickTop="1">
      <c r="A71" s="920"/>
      <c r="B71" s="1052">
        <f>B23</f>
        <v>111</v>
      </c>
      <c r="C71" s="126"/>
      <c r="D71" s="126"/>
      <c r="E71" s="126"/>
      <c r="F71" s="126"/>
      <c r="G71" s="139"/>
      <c r="H71" s="139"/>
      <c r="I71" s="139"/>
      <c r="J71" s="139"/>
      <c r="K71" s="139"/>
      <c r="L71" s="1382"/>
      <c r="M71" s="1383"/>
      <c r="N71" s="2368"/>
      <c r="O71" s="2368"/>
      <c r="P71" s="334"/>
      <c r="Q71" s="845"/>
    </row>
    <row r="72" spans="1:17" s="407" customFormat="1" ht="15.75" thickBot="1">
      <c r="A72" s="920"/>
      <c r="B72" s="1053"/>
      <c r="C72" s="901"/>
      <c r="D72" s="877"/>
      <c r="E72" s="877"/>
      <c r="F72" s="877"/>
      <c r="G72" s="877"/>
      <c r="H72" s="877"/>
      <c r="I72" s="877"/>
      <c r="J72" s="877"/>
      <c r="K72" s="877"/>
      <c r="L72" s="877"/>
      <c r="M72" s="878"/>
      <c r="N72" s="2370"/>
      <c r="O72" s="2370"/>
      <c r="P72" s="334"/>
      <c r="Q72" s="845"/>
    </row>
    <row r="73" spans="1:17" s="407" customFormat="1" ht="15.75" thickTop="1">
      <c r="A73" s="920"/>
      <c r="B73" s="1052">
        <f>B24</f>
        <v>111</v>
      </c>
      <c r="C73" s="126"/>
      <c r="D73" s="126"/>
      <c r="E73" s="126"/>
      <c r="F73" s="126"/>
      <c r="G73" s="139"/>
      <c r="H73" s="139"/>
      <c r="I73" s="139"/>
      <c r="J73" s="139"/>
      <c r="K73" s="139"/>
      <c r="L73" s="139"/>
      <c r="M73" s="1383"/>
      <c r="N73" s="2368"/>
      <c r="O73" s="2368"/>
      <c r="P73" s="334"/>
      <c r="Q73" s="845"/>
    </row>
    <row r="74" spans="1:17" s="407"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408</v>
      </c>
      <c r="B77" s="869" t="s">
        <v>434</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470</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478</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480</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345</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40"/>
    </row>
    <row r="3" spans="1:30"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4" t="s">
        <v>390</v>
      </c>
      <c r="B4" s="745"/>
      <c r="C4" s="3689" t="s">
        <v>391</v>
      </c>
      <c r="D4" s="3690"/>
      <c r="E4" s="3691" t="s">
        <v>392</v>
      </c>
      <c r="F4" s="3692"/>
      <c r="G4" s="3689" t="s">
        <v>393</v>
      </c>
      <c r="H4" s="3690"/>
      <c r="I4" s="3689" t="s">
        <v>394</v>
      </c>
      <c r="J4" s="3690"/>
      <c r="K4" s="951" t="s">
        <v>395</v>
      </c>
      <c r="L4" s="2347"/>
      <c r="M4" s="2348"/>
      <c r="N4" s="2348"/>
      <c r="O4" s="2348"/>
      <c r="P4" s="3693" t="s">
        <v>396</v>
      </c>
      <c r="Q4" s="3694"/>
      <c r="R4" s="3699" t="s">
        <v>392</v>
      </c>
      <c r="S4" s="3700"/>
      <c r="T4" s="3699" t="s">
        <v>393</v>
      </c>
      <c r="U4" s="3700"/>
      <c r="V4" s="3705" t="s">
        <v>394</v>
      </c>
      <c r="W4" s="3705"/>
      <c r="X4" s="1316"/>
      <c r="Y4" s="3699" t="s">
        <v>396</v>
      </c>
      <c r="Z4" s="3700"/>
      <c r="AA4" s="3686" t="s">
        <v>392</v>
      </c>
      <c r="AB4" s="3687" t="s">
        <v>393</v>
      </c>
      <c r="AC4" s="3686" t="s">
        <v>394</v>
      </c>
    </row>
    <row r="5" spans="1:30" ht="15">
      <c r="A5" s="747"/>
      <c r="B5" s="748"/>
      <c r="C5" s="3652" t="s">
        <v>1128</v>
      </c>
      <c r="D5" s="3653"/>
      <c r="E5" s="3659" t="s">
        <v>1129</v>
      </c>
      <c r="F5" s="3660"/>
      <c r="G5" s="3652" t="s">
        <v>1132</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30" ht="15.75" thickBot="1">
      <c r="A6" s="749"/>
      <c r="B6" s="750"/>
      <c r="C6" s="3650" t="s">
        <v>1131</v>
      </c>
      <c r="D6" s="3651"/>
      <c r="E6" s="3657" t="s">
        <v>1131</v>
      </c>
      <c r="F6" s="3658"/>
      <c r="G6" s="3650" t="s">
        <v>1131</v>
      </c>
      <c r="H6" s="3651"/>
      <c r="I6" s="3650" t="s">
        <v>1131</v>
      </c>
      <c r="J6" s="3651"/>
      <c r="K6" s="951" t="s">
        <v>397</v>
      </c>
      <c r="L6" s="2347"/>
      <c r="M6" s="2348"/>
      <c r="N6" s="2348"/>
      <c r="O6" s="2348"/>
      <c r="P6" s="3697"/>
      <c r="Q6" s="3698"/>
      <c r="R6" s="3701"/>
      <c r="S6" s="3702"/>
      <c r="T6" s="3703"/>
      <c r="U6" s="3704"/>
      <c r="V6" s="3705"/>
      <c r="W6" s="3705"/>
      <c r="X6" s="1316"/>
      <c r="Y6" s="3703"/>
      <c r="Z6" s="3704"/>
      <c r="AA6" s="3688"/>
      <c r="AB6" s="3688"/>
      <c r="AC6" s="3688"/>
    </row>
    <row r="7" spans="1:30" s="407" customFormat="1" ht="15.75" thickBot="1">
      <c r="A7" s="751" t="s">
        <v>398</v>
      </c>
      <c r="B7" s="752"/>
      <c r="C7" s="753">
        <f>'数据-取费表'!B2</f>
        <v>42962</v>
      </c>
      <c r="D7" s="754">
        <v>100</v>
      </c>
      <c r="E7" s="1015">
        <v>42309</v>
      </c>
      <c r="F7" s="756">
        <f>SUMIF(70:70,YEAR(E7)&amp;"-"&amp;INT((MONTH(E7)+2)/3),71:71)</f>
        <v>0</v>
      </c>
      <c r="G7" s="1016">
        <v>42309</v>
      </c>
      <c r="H7" s="754">
        <f>SUMIF(70:70,YEAR(G7)&amp;"-"&amp;INT((MONTH(G7)+2)/3),71:71)</f>
        <v>0</v>
      </c>
      <c r="I7" s="1016">
        <v>42036</v>
      </c>
      <c r="J7" s="754">
        <f>SUMIF(70:70,YEAR(I7)&amp;"-"&amp;INT((MONTH(I7)+2)/3),71:71)</f>
        <v>0</v>
      </c>
      <c r="K7" s="952"/>
      <c r="L7" s="2349"/>
      <c r="M7" s="2350"/>
      <c r="N7" s="2350"/>
      <c r="O7" s="2350"/>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30" s="407" customFormat="1" ht="15.75" thickBot="1">
      <c r="A8" s="751" t="s">
        <v>400</v>
      </c>
      <c r="B8" s="752"/>
      <c r="C8" s="1018" t="s">
        <v>155</v>
      </c>
      <c r="D8" s="754">
        <v>100</v>
      </c>
      <c r="E8" s="1018"/>
      <c r="F8" s="756">
        <f>SUMIF(73:73,E8,74:74)-SUMIF(73:73,C8,74:74)+100</f>
        <v>0</v>
      </c>
      <c r="G8" s="1018"/>
      <c r="H8" s="754">
        <f>SUMIF(73:73,G8,74:74)-SUMIF(73:73,C8,74:74)+100</f>
        <v>0</v>
      </c>
      <c r="I8" s="1018"/>
      <c r="J8" s="754">
        <f>SUMIF(73:73,I8,74:74)-SUMIF(73:73,C8,74:74)+100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5" si="3">D8/F8</f>
        <v>#DIV/0!</v>
      </c>
      <c r="AB8" s="1320" t="e">
        <f t="shared" ref="AB8:AB45" si="4">D8/H8</f>
        <v>#DIV/0!</v>
      </c>
      <c r="AC8" s="1320" t="e">
        <f t="shared" ref="AC8:AC45" si="5">D8/J8</f>
        <v>#DIV/0!</v>
      </c>
    </row>
    <row r="9" spans="1:30" s="407" customFormat="1">
      <c r="A9" s="758" t="s">
        <v>401</v>
      </c>
      <c r="B9" s="361" t="s">
        <v>419</v>
      </c>
      <c r="C9" s="1020"/>
      <c r="D9" s="425">
        <v>100</v>
      </c>
      <c r="E9" s="1020"/>
      <c r="F9" s="425">
        <f>SUMIF(75:75,E9,76:76)-SUMIF(75:75,C9,76:76)+100</f>
        <v>100</v>
      </c>
      <c r="G9" s="1020"/>
      <c r="H9" s="425">
        <f>SUMIF(75:75,G9,76:76)-SUMIF(75:75,C9,76:76)+100</f>
        <v>100</v>
      </c>
      <c r="I9" s="1020"/>
      <c r="J9" s="425">
        <f>SUMIF(75:75,I9,76:76)-SUMIF(75:75,C9,76:76)+100</f>
        <v>100</v>
      </c>
      <c r="K9" s="952"/>
      <c r="L9" s="2349"/>
      <c r="M9" s="2350"/>
      <c r="N9" s="2350"/>
      <c r="O9" s="2351"/>
      <c r="P9" s="3677" t="s">
        <v>402</v>
      </c>
      <c r="Q9" s="296" t="str">
        <f t="shared" ref="Q9:Q15" si="6">B9</f>
        <v>用途</v>
      </c>
      <c r="R9" s="1317" t="s">
        <v>65</v>
      </c>
      <c r="S9" s="1318">
        <f t="shared" si="0"/>
        <v>100</v>
      </c>
      <c r="T9" s="1317" t="s">
        <v>65</v>
      </c>
      <c r="U9" s="1318">
        <f t="shared" si="1"/>
        <v>100</v>
      </c>
      <c r="V9" s="1317" t="s">
        <v>65</v>
      </c>
      <c r="W9" s="1318">
        <f t="shared" si="2"/>
        <v>100</v>
      </c>
      <c r="X9" s="1319"/>
      <c r="Y9" s="3461" t="s">
        <v>403</v>
      </c>
      <c r="Z9" s="344" t="str">
        <f t="shared" ref="Z9:Z15" si="7">Q9</f>
        <v>用途</v>
      </c>
      <c r="AA9" s="1320">
        <f t="shared" si="3"/>
        <v>1</v>
      </c>
      <c r="AB9" s="1320">
        <f t="shared" si="4"/>
        <v>1</v>
      </c>
      <c r="AC9" s="1320">
        <f t="shared" si="5"/>
        <v>1</v>
      </c>
    </row>
    <row r="10" spans="1:30" s="768" customFormat="1" ht="27">
      <c r="A10" s="762"/>
      <c r="B10" s="763" t="s">
        <v>404</v>
      </c>
      <c r="C10" s="773"/>
      <c r="D10" s="426">
        <v>100</v>
      </c>
      <c r="E10" s="806"/>
      <c r="F10" s="426">
        <f>ROUND(100/'数据-取费表'!G16,0)</f>
        <v>105</v>
      </c>
      <c r="G10" s="804"/>
      <c r="H10" s="426">
        <f>ROUND(100/'数据-取费表'!G16,0)</f>
        <v>105</v>
      </c>
      <c r="I10" s="804"/>
      <c r="J10" s="426">
        <f>ROUND(100/'数据-取费表'!G16,0)</f>
        <v>105</v>
      </c>
      <c r="K10" s="1079"/>
      <c r="L10" s="2352"/>
      <c r="M10" s="2353"/>
      <c r="N10" s="2353"/>
      <c r="O10" s="2354"/>
      <c r="P10" s="3677"/>
      <c r="Q10" s="296" t="str">
        <f t="shared" si="6"/>
        <v>土地使用年限（年）</v>
      </c>
      <c r="R10" s="1317" t="s">
        <v>65</v>
      </c>
      <c r="S10" s="1318">
        <f t="shared" si="0"/>
        <v>105</v>
      </c>
      <c r="T10" s="1317" t="s">
        <v>65</v>
      </c>
      <c r="U10" s="1318">
        <f t="shared" si="1"/>
        <v>105</v>
      </c>
      <c r="V10" s="1317" t="s">
        <v>65</v>
      </c>
      <c r="W10" s="1318">
        <f t="shared" si="2"/>
        <v>105</v>
      </c>
      <c r="X10" s="1319"/>
      <c r="Y10" s="3461"/>
      <c r="Z10" s="344" t="str">
        <f t="shared" si="7"/>
        <v>土地使用年限（年）</v>
      </c>
      <c r="AA10" s="1320">
        <f t="shared" si="3"/>
        <v>0.95238095238095233</v>
      </c>
      <c r="AB10" s="1320">
        <f t="shared" si="4"/>
        <v>0.95238095238095233</v>
      </c>
      <c r="AC10" s="1320">
        <f t="shared" si="5"/>
        <v>0.95238095238095233</v>
      </c>
    </row>
    <row r="11" spans="1:30" ht="15">
      <c r="A11" s="769"/>
      <c r="B11" s="763" t="s">
        <v>405</v>
      </c>
      <c r="C11" s="770"/>
      <c r="D11" s="426">
        <v>100</v>
      </c>
      <c r="E11" s="770"/>
      <c r="F11" s="426" t="e">
        <f>LOOKUP(E11,80:80,81:81)-LOOKUP(C11,80:80,81:81)+100</f>
        <v>#N/A</v>
      </c>
      <c r="G11" s="771"/>
      <c r="H11" s="426" t="e">
        <f>LOOKUP(G11,80:80,81:81)-LOOKUP(C11,80:80,81:81)+100</f>
        <v>#N/A</v>
      </c>
      <c r="I11" s="770"/>
      <c r="J11" s="426" t="e">
        <f>LOOKUP(I11,80:80,81:81)-LOOKUP(C11,80:80,81:81)+100</f>
        <v>#N/A</v>
      </c>
      <c r="K11" s="1080"/>
      <c r="L11" s="2355"/>
      <c r="M11" s="2348"/>
      <c r="N11" s="2348"/>
      <c r="O11" s="2356"/>
      <c r="P11" s="3677"/>
      <c r="Q11" s="296" t="str">
        <f t="shared" si="6"/>
        <v>容积率</v>
      </c>
      <c r="R11" s="1317" t="s">
        <v>65</v>
      </c>
      <c r="S11" s="1318" t="e">
        <f t="shared" si="0"/>
        <v>#N/A</v>
      </c>
      <c r="T11" s="1317" t="s">
        <v>65</v>
      </c>
      <c r="U11" s="1318" t="e">
        <f t="shared" si="1"/>
        <v>#N/A</v>
      </c>
      <c r="V11" s="1317" t="s">
        <v>65</v>
      </c>
      <c r="W11" s="1318" t="e">
        <f t="shared" si="2"/>
        <v>#N/A</v>
      </c>
      <c r="X11" s="1319"/>
      <c r="Y11" s="3461"/>
      <c r="Z11" s="344" t="str">
        <f t="shared" si="7"/>
        <v>容积率</v>
      </c>
      <c r="AA11" s="1320" t="e">
        <f t="shared" si="3"/>
        <v>#N/A</v>
      </c>
      <c r="AB11" s="1320" t="e">
        <f t="shared" si="4"/>
        <v>#N/A</v>
      </c>
      <c r="AC11" s="1320" t="e">
        <f t="shared" si="5"/>
        <v>#N/A</v>
      </c>
    </row>
    <row r="12" spans="1:30" s="407" customFormat="1" ht="15">
      <c r="A12" s="772"/>
      <c r="B12" s="1029" t="s">
        <v>160</v>
      </c>
      <c r="C12" s="1022"/>
      <c r="D12" s="774">
        <v>100</v>
      </c>
      <c r="E12" s="1024"/>
      <c r="F12" s="426">
        <f>SUMIF(82:82,E12,83:83)-SUMIF(82:82,C12,83:83)+100</f>
        <v>100</v>
      </c>
      <c r="G12" s="1025"/>
      <c r="H12" s="426">
        <f>SUMIF(82:82,G12,83:83)-SUMIF(82:82,C12,83:83)+100</f>
        <v>100</v>
      </c>
      <c r="I12" s="1024"/>
      <c r="J12" s="426">
        <f>SUMIF(82:82,I12,83:83)-SUMIF(82:82,C12,83:83)+100</f>
        <v>100</v>
      </c>
      <c r="K12" s="1079"/>
      <c r="L12" s="2349"/>
      <c r="M12" s="2350"/>
      <c r="N12" s="2350"/>
      <c r="O12" s="2351"/>
      <c r="P12" s="3677"/>
      <c r="Q12" s="296" t="str">
        <f t="shared" si="6"/>
        <v>配建</v>
      </c>
      <c r="R12" s="1317" t="s">
        <v>65</v>
      </c>
      <c r="S12" s="1318">
        <f t="shared" si="0"/>
        <v>100</v>
      </c>
      <c r="T12" s="1317" t="s">
        <v>65</v>
      </c>
      <c r="U12" s="1318">
        <f t="shared" si="1"/>
        <v>100</v>
      </c>
      <c r="V12" s="1317" t="s">
        <v>65</v>
      </c>
      <c r="W12" s="1318">
        <f t="shared" si="2"/>
        <v>100</v>
      </c>
      <c r="X12" s="1319"/>
      <c r="Y12" s="3461"/>
      <c r="Z12" s="344" t="str">
        <f t="shared" si="7"/>
        <v>配建</v>
      </c>
      <c r="AA12" s="1320">
        <f>D12/F12</f>
        <v>1</v>
      </c>
      <c r="AB12" s="1320">
        <f>D12/H12</f>
        <v>1</v>
      </c>
      <c r="AC12" s="1320">
        <f>D12/J12</f>
        <v>1</v>
      </c>
    </row>
    <row r="13" spans="1:30" ht="15">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77"/>
      <c r="Q14" s="296">
        <f t="shared" si="6"/>
        <v>111</v>
      </c>
      <c r="R14" s="1317" t="s">
        <v>65</v>
      </c>
      <c r="S14" s="1318">
        <f t="shared" si="0"/>
        <v>100</v>
      </c>
      <c r="T14" s="1317" t="s">
        <v>65</v>
      </c>
      <c r="U14" s="1318">
        <f t="shared" si="1"/>
        <v>100</v>
      </c>
      <c r="V14" s="1317" t="s">
        <v>65</v>
      </c>
      <c r="W14" s="1318">
        <f t="shared" si="2"/>
        <v>100</v>
      </c>
      <c r="X14" s="1319"/>
      <c r="Y14" s="3461"/>
      <c r="Z14" s="344">
        <f t="shared" si="7"/>
        <v>111</v>
      </c>
      <c r="AA14" s="1320">
        <f>D14/F14</f>
        <v>1</v>
      </c>
      <c r="AB14" s="1320">
        <f>D14/H14</f>
        <v>1</v>
      </c>
      <c r="AC14" s="1320">
        <f>D14/J14</f>
        <v>1</v>
      </c>
    </row>
    <row r="15" spans="1:30" ht="15">
      <c r="A15" s="781" t="s">
        <v>406</v>
      </c>
      <c r="B15" s="359" t="s">
        <v>286</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80"/>
      <c r="L15" s="2357"/>
      <c r="M15" s="2348"/>
      <c r="N15" s="2348"/>
      <c r="O15" s="2356"/>
      <c r="P15" s="3682" t="s">
        <v>407</v>
      </c>
      <c r="Q15" s="1321" t="str">
        <f t="shared" si="6"/>
        <v>居住社区成熟度</v>
      </c>
      <c r="R15" s="1322" t="s">
        <v>65</v>
      </c>
      <c r="S15" s="1323">
        <f t="shared" si="0"/>
        <v>100</v>
      </c>
      <c r="T15" s="1322" t="s">
        <v>65</v>
      </c>
      <c r="U15" s="1323">
        <f t="shared" si="1"/>
        <v>100</v>
      </c>
      <c r="V15" s="1322" t="s">
        <v>65</v>
      </c>
      <c r="W15" s="1323">
        <f t="shared" si="2"/>
        <v>100</v>
      </c>
      <c r="X15" s="1316"/>
      <c r="Y15" s="3682" t="s">
        <v>407</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7"/>
      <c r="M16" s="2348"/>
      <c r="N16" s="2348"/>
      <c r="O16" s="2356"/>
      <c r="P16" s="3683"/>
      <c r="Q16" s="1321"/>
      <c r="R16" s="1322"/>
      <c r="S16" s="1323"/>
      <c r="T16" s="1322"/>
      <c r="U16" s="1323"/>
      <c r="V16" s="1322"/>
      <c r="W16" s="1323"/>
      <c r="X16" s="1316"/>
      <c r="Y16" s="3683"/>
      <c r="Z16" s="1324"/>
      <c r="AA16" s="1325">
        <v>1</v>
      </c>
      <c r="AB16" s="1325">
        <v>1</v>
      </c>
      <c r="AC16" s="1325">
        <v>1</v>
      </c>
    </row>
    <row r="17" spans="1:29" ht="94.5">
      <c r="A17" s="769"/>
      <c r="B17" s="792" t="s">
        <v>436</v>
      </c>
      <c r="C17" s="190" t="str">
        <f>估价对象房地状况!C16</f>
        <v>估价对象周边有国泰百货、苏宁易购等，周边商业氛围较好，人流量较大，商业繁华度较好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683"/>
      <c r="Q17" s="1321" t="str">
        <f>B17</f>
        <v>商业繁华度</v>
      </c>
      <c r="R17" s="1322" t="s">
        <v>65</v>
      </c>
      <c r="S17" s="1323">
        <f>F17</f>
        <v>100</v>
      </c>
      <c r="T17" s="1322" t="s">
        <v>65</v>
      </c>
      <c r="U17" s="1323">
        <f>H17</f>
        <v>100</v>
      </c>
      <c r="V17" s="1322" t="s">
        <v>65</v>
      </c>
      <c r="W17" s="1323">
        <f>J17</f>
        <v>100</v>
      </c>
      <c r="X17" s="1316"/>
      <c r="Y17" s="3683"/>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7"/>
      <c r="M18" s="2348"/>
      <c r="N18" s="2348"/>
      <c r="O18" s="2356"/>
      <c r="P18" s="3683"/>
      <c r="Q18" s="1321"/>
      <c r="R18" s="1322"/>
      <c r="S18" s="1323"/>
      <c r="T18" s="1322"/>
      <c r="U18" s="1323"/>
      <c r="V18" s="1322"/>
      <c r="W18" s="1323"/>
      <c r="X18" s="1316"/>
      <c r="Y18" s="3683"/>
      <c r="Z18" s="1324"/>
      <c r="AA18" s="1325">
        <v>1</v>
      </c>
      <c r="AB18" s="1325">
        <v>1</v>
      </c>
      <c r="AC18" s="1325">
        <v>1</v>
      </c>
    </row>
    <row r="19" spans="1:29" ht="15">
      <c r="A19" s="769"/>
      <c r="B19" s="792" t="s">
        <v>441</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683"/>
      <c r="Q19" s="1321" t="str">
        <f>B19</f>
        <v>办公集聚程度</v>
      </c>
      <c r="R19" s="1322" t="s">
        <v>65</v>
      </c>
      <c r="S19" s="1323">
        <f>F19</f>
        <v>100</v>
      </c>
      <c r="T19" s="1322" t="s">
        <v>65</v>
      </c>
      <c r="U19" s="1323">
        <f>H19</f>
        <v>100</v>
      </c>
      <c r="V19" s="1322" t="s">
        <v>65</v>
      </c>
      <c r="W19" s="1323">
        <f>J19</f>
        <v>100</v>
      </c>
      <c r="X19" s="1316"/>
      <c r="Y19" s="3683"/>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7"/>
      <c r="M20" s="2348"/>
      <c r="N20" s="2348"/>
      <c r="O20" s="2356"/>
      <c r="P20" s="3683"/>
      <c r="Q20" s="1321"/>
      <c r="R20" s="1322"/>
      <c r="S20" s="1323"/>
      <c r="T20" s="1322"/>
      <c r="U20" s="1323"/>
      <c r="V20" s="1322"/>
      <c r="W20" s="1323"/>
      <c r="X20" s="1316"/>
      <c r="Y20" s="3683"/>
      <c r="Z20" s="1324"/>
      <c r="AA20" s="1325">
        <v>1</v>
      </c>
      <c r="AB20" s="1325">
        <v>1</v>
      </c>
      <c r="AC20" s="1325">
        <v>1</v>
      </c>
    </row>
    <row r="21" spans="1:29" ht="81">
      <c r="A21" s="769"/>
      <c r="B21" s="792" t="s">
        <v>456</v>
      </c>
      <c r="C21" s="158" t="str">
        <f>估价对象房地状况!C18</f>
        <v>估价对象周边有房2内路、周边无地铁，路网密集程度一般，交通便捷度一般</v>
      </c>
      <c r="D21" s="791">
        <v>100</v>
      </c>
      <c r="E21" s="793"/>
      <c r="F21" s="796">
        <f>SUMIF(94:94,E22,95:95)-SUMIF(94:94,C22,95:95)+100</f>
        <v>100</v>
      </c>
      <c r="G21" s="793"/>
      <c r="H21" s="791">
        <f>SUMIF(94:94,G22,95:95)-SUMIF(94:94,C22,95:95)+100</f>
        <v>100</v>
      </c>
      <c r="I21" s="795"/>
      <c r="J21" s="791">
        <f>SUMIF(94:94,I22,95:95)-SUMIF(94:94,C22,95:95)+100</f>
        <v>100</v>
      </c>
      <c r="K21" s="1080"/>
      <c r="L21" s="2357"/>
      <c r="M21" s="2348"/>
      <c r="N21" s="2348"/>
      <c r="O21" s="2356"/>
      <c r="P21" s="3683"/>
      <c r="Q21" s="1321" t="str">
        <f>B21</f>
        <v>交通便捷度</v>
      </c>
      <c r="R21" s="1322" t="s">
        <v>65</v>
      </c>
      <c r="S21" s="1323">
        <f>F21</f>
        <v>100</v>
      </c>
      <c r="T21" s="1322" t="s">
        <v>65</v>
      </c>
      <c r="U21" s="1323">
        <f>H21</f>
        <v>100</v>
      </c>
      <c r="V21" s="1322" t="s">
        <v>65</v>
      </c>
      <c r="W21" s="1323">
        <f>J21</f>
        <v>100</v>
      </c>
      <c r="X21" s="1316"/>
      <c r="Y21" s="3683"/>
      <c r="Z21" s="1324" t="str">
        <f>Q21</f>
        <v>交通便捷度</v>
      </c>
      <c r="AA21" s="1325">
        <f t="shared" si="3"/>
        <v>1</v>
      </c>
      <c r="AB21" s="1325">
        <f t="shared" si="4"/>
        <v>1</v>
      </c>
      <c r="AC21" s="1325">
        <f t="shared" si="5"/>
        <v>1</v>
      </c>
    </row>
    <row r="22" spans="1:29" ht="15">
      <c r="A22" s="769"/>
      <c r="B22" s="2768"/>
      <c r="C22" s="97"/>
      <c r="D22" s="791"/>
      <c r="E22" s="98"/>
      <c r="F22" s="789"/>
      <c r="G22" s="98"/>
      <c r="H22" s="789"/>
      <c r="I22" s="99"/>
      <c r="J22" s="789"/>
      <c r="K22" s="1079"/>
      <c r="L22" s="2357"/>
      <c r="M22" s="2348"/>
      <c r="N22" s="2348"/>
      <c r="O22" s="2356"/>
      <c r="P22" s="3683"/>
      <c r="Q22" s="1321"/>
      <c r="R22" s="1322"/>
      <c r="S22" s="1323"/>
      <c r="T22" s="1322"/>
      <c r="U22" s="1323"/>
      <c r="V22" s="1322"/>
      <c r="W22" s="1323"/>
      <c r="X22" s="1316"/>
      <c r="Y22" s="3683"/>
      <c r="Z22" s="1324"/>
      <c r="AA22" s="1325">
        <v>1</v>
      </c>
      <c r="AB22" s="1325">
        <v>1</v>
      </c>
      <c r="AC22" s="1325">
        <v>1</v>
      </c>
    </row>
    <row r="23" spans="1:29" ht="27">
      <c r="A23" s="747"/>
      <c r="B23" s="792" t="s">
        <v>483</v>
      </c>
      <c r="C23" s="2773" t="str">
        <f>估价对象房地状况!C19</f>
        <v>较一致，以住宅为主</v>
      </c>
      <c r="D23" s="796">
        <v>100</v>
      </c>
      <c r="E23" s="793"/>
      <c r="F23" s="796">
        <f>SUMIF(96:96,E24,97:97)-SUMIF(96:96,C24,97:97)+100</f>
        <v>100</v>
      </c>
      <c r="G23" s="795"/>
      <c r="H23" s="796">
        <f>SUMIF(96:96,G24,97:97)-SUMIF(96:96,C24,97:97)+100</f>
        <v>100</v>
      </c>
      <c r="I23" s="795"/>
      <c r="J23" s="796">
        <f>SUMIF(96:96,I24,97:97)-SUMIF(96:96,C24,97:97)+100</f>
        <v>100</v>
      </c>
      <c r="K23" s="1080"/>
      <c r="L23" s="2357"/>
      <c r="M23" s="2348"/>
      <c r="N23" s="2348"/>
      <c r="O23" s="2356"/>
      <c r="P23" s="3683"/>
      <c r="Q23" s="1321" t="str">
        <f t="shared" ref="Q23:Q37" si="8">B23</f>
        <v>区域土地利用方向</v>
      </c>
      <c r="R23" s="1322" t="s">
        <v>65</v>
      </c>
      <c r="S23" s="1323">
        <f>F23</f>
        <v>100</v>
      </c>
      <c r="T23" s="1322" t="s">
        <v>65</v>
      </c>
      <c r="U23" s="1323">
        <f>H23</f>
        <v>100</v>
      </c>
      <c r="V23" s="1322" t="s">
        <v>65</v>
      </c>
      <c r="W23" s="1323">
        <f>J23</f>
        <v>100</v>
      </c>
      <c r="X23" s="1316"/>
      <c r="Y23" s="3683"/>
      <c r="Z23" s="1324" t="str">
        <f>Q23</f>
        <v>区域土地利用方向</v>
      </c>
      <c r="AA23" s="1325">
        <f t="shared" si="3"/>
        <v>1</v>
      </c>
      <c r="AB23" s="1325">
        <f t="shared" si="4"/>
        <v>1</v>
      </c>
      <c r="AC23" s="1325">
        <f t="shared" si="5"/>
        <v>1</v>
      </c>
    </row>
    <row r="24" spans="1:29" ht="15">
      <c r="A24" s="747"/>
      <c r="B24" s="797"/>
      <c r="C24" s="182"/>
      <c r="D24" s="789"/>
      <c r="E24" s="98"/>
      <c r="F24" s="789"/>
      <c r="G24" s="99"/>
      <c r="H24" s="789"/>
      <c r="I24" s="99"/>
      <c r="J24" s="789"/>
      <c r="K24" s="1484"/>
      <c r="L24" s="2357"/>
      <c r="M24" s="2348"/>
      <c r="N24" s="2348"/>
      <c r="O24" s="2356"/>
      <c r="P24" s="3683"/>
      <c r="Q24" s="1468"/>
      <c r="R24" s="1322"/>
      <c r="S24" s="1323"/>
      <c r="T24" s="1322"/>
      <c r="U24" s="1323"/>
      <c r="V24" s="1322"/>
      <c r="W24" s="1323"/>
      <c r="X24" s="1467"/>
      <c r="Y24" s="3683"/>
      <c r="Z24" s="1469"/>
      <c r="AA24" s="1325"/>
      <c r="AB24" s="1325"/>
      <c r="AC24" s="1325"/>
    </row>
    <row r="25" spans="1:29" ht="81">
      <c r="A25" s="747"/>
      <c r="B25" s="2768" t="s">
        <v>484</v>
      </c>
      <c r="C25" s="190" t="str">
        <f>估价对象房地状况!C20</f>
        <v>区域自然环境：良乡塔；人文环境：良乡文化广场；综合评价环境状况一般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7"/>
      <c r="M25" s="2348"/>
      <c r="N25" s="2348"/>
      <c r="O25" s="2356"/>
      <c r="P25" s="3683"/>
      <c r="Q25" s="1321" t="str">
        <f t="shared" si="8"/>
        <v>自然及人文环境状况</v>
      </c>
      <c r="R25" s="1322" t="s">
        <v>65</v>
      </c>
      <c r="S25" s="1323">
        <f>F25</f>
        <v>100</v>
      </c>
      <c r="T25" s="1322" t="s">
        <v>65</v>
      </c>
      <c r="U25" s="1323">
        <f>H25</f>
        <v>100</v>
      </c>
      <c r="V25" s="1322" t="s">
        <v>65</v>
      </c>
      <c r="W25" s="1323">
        <f>J25</f>
        <v>100</v>
      </c>
      <c r="X25" s="1316"/>
      <c r="Y25" s="3683"/>
      <c r="Z25" s="1324" t="str">
        <f>Q25</f>
        <v>自然及人文环境状况</v>
      </c>
      <c r="AA25" s="1325">
        <f t="shared" si="3"/>
        <v>1</v>
      </c>
      <c r="AB25" s="1325">
        <f t="shared" si="4"/>
        <v>1</v>
      </c>
      <c r="AC25" s="1325">
        <f t="shared" si="5"/>
        <v>1</v>
      </c>
    </row>
    <row r="26" spans="1:29" ht="15">
      <c r="A26" s="747"/>
      <c r="B26" s="797"/>
      <c r="C26" s="97"/>
      <c r="D26" s="789"/>
      <c r="E26" s="192"/>
      <c r="F26" s="789"/>
      <c r="G26" s="192"/>
      <c r="H26" s="789"/>
      <c r="I26" s="97"/>
      <c r="J26" s="789"/>
      <c r="K26" s="1079"/>
      <c r="L26" s="2357"/>
      <c r="M26" s="2348"/>
      <c r="N26" s="2348"/>
      <c r="O26" s="2356"/>
      <c r="P26" s="3683"/>
      <c r="Q26" s="1321"/>
      <c r="R26" s="1322"/>
      <c r="S26" s="1323"/>
      <c r="T26" s="1322"/>
      <c r="U26" s="1323"/>
      <c r="V26" s="1322"/>
      <c r="W26" s="1323"/>
      <c r="X26" s="1316"/>
      <c r="Y26" s="3683"/>
      <c r="Z26" s="1324"/>
      <c r="AA26" s="1325">
        <v>1</v>
      </c>
      <c r="AB26" s="1325">
        <v>1</v>
      </c>
      <c r="AC26" s="1325">
        <v>1</v>
      </c>
    </row>
    <row r="27" spans="1:29" s="407" customFormat="1" ht="108">
      <c r="A27" s="990"/>
      <c r="B27" s="1410" t="s">
        <v>2673</v>
      </c>
      <c r="C27" s="158" t="str">
        <f>估价对象房地状况!C21</f>
        <v>估价对象所在区域公共配套设施齐备情况较好：蓝色未来幼儿园、北京市房山区第一医院良乡分部</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9"/>
      <c r="M27" s="2350"/>
      <c r="N27" s="2350"/>
      <c r="O27" s="2351"/>
      <c r="P27" s="3683"/>
      <c r="Q27" s="296" t="str">
        <f t="shared" si="8"/>
        <v>公共配套设施</v>
      </c>
      <c r="R27" s="1317" t="s">
        <v>65</v>
      </c>
      <c r="S27" s="1318">
        <f>F27</f>
        <v>100</v>
      </c>
      <c r="T27" s="1317" t="s">
        <v>65</v>
      </c>
      <c r="U27" s="1318">
        <f>H27</f>
        <v>100</v>
      </c>
      <c r="V27" s="1317" t="s">
        <v>65</v>
      </c>
      <c r="W27" s="1318">
        <f>J27</f>
        <v>100</v>
      </c>
      <c r="X27" s="1319"/>
      <c r="Y27" s="3683"/>
      <c r="Z27" s="344" t="str">
        <f>Q27</f>
        <v>公共配套设施</v>
      </c>
      <c r="AA27" s="1325">
        <f>D27/F27</f>
        <v>1</v>
      </c>
      <c r="AB27" s="1325">
        <f>D27/H27</f>
        <v>1</v>
      </c>
      <c r="AC27" s="1325">
        <f>D27/J27</f>
        <v>1</v>
      </c>
    </row>
    <row r="28" spans="1:29" s="407" customFormat="1" ht="15">
      <c r="A28" s="990"/>
      <c r="B28" s="797"/>
      <c r="C28" s="2774"/>
      <c r="D28" s="789"/>
      <c r="E28" s="192"/>
      <c r="F28" s="789"/>
      <c r="G28" s="192"/>
      <c r="H28" s="789"/>
      <c r="I28" s="97"/>
      <c r="J28" s="789"/>
      <c r="K28" s="1079"/>
      <c r="L28" s="2349"/>
      <c r="M28" s="2350"/>
      <c r="N28" s="2350"/>
      <c r="O28" s="2351"/>
      <c r="P28" s="3683"/>
      <c r="Q28" s="296"/>
      <c r="R28" s="1317"/>
      <c r="S28" s="1318"/>
      <c r="T28" s="1317"/>
      <c r="U28" s="1318"/>
      <c r="V28" s="1317"/>
      <c r="W28" s="1318"/>
      <c r="X28" s="1319"/>
      <c r="Y28" s="3683"/>
      <c r="Z28" s="344"/>
      <c r="AA28" s="1325">
        <v>1</v>
      </c>
      <c r="AB28" s="1325">
        <v>1</v>
      </c>
      <c r="AC28" s="1325">
        <v>1</v>
      </c>
    </row>
    <row r="29" spans="1:29" s="407" customFormat="1" ht="40.5">
      <c r="A29" s="990"/>
      <c r="B29" s="1410" t="s">
        <v>2674</v>
      </c>
      <c r="C29" s="158" t="str">
        <f>估价对象房地状况!C22</f>
        <v>估价对象所在区域基础设施水平：七通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9"/>
      <c r="M29" s="2350"/>
      <c r="N29" s="2350"/>
      <c r="O29" s="2351"/>
      <c r="P29" s="3683"/>
      <c r="Q29" s="2743" t="str">
        <f t="shared" ref="Q29" si="9">B29</f>
        <v>基础设施水平</v>
      </c>
      <c r="R29" s="1317" t="s">
        <v>65</v>
      </c>
      <c r="S29" s="1318">
        <f>F29</f>
        <v>100</v>
      </c>
      <c r="T29" s="1317" t="s">
        <v>65</v>
      </c>
      <c r="U29" s="1318">
        <f>H29</f>
        <v>100</v>
      </c>
      <c r="V29" s="1317" t="s">
        <v>65</v>
      </c>
      <c r="W29" s="1318">
        <f>J29</f>
        <v>100</v>
      </c>
      <c r="X29" s="1319"/>
      <c r="Y29" s="3683"/>
      <c r="Z29" s="344" t="str">
        <f>Q29</f>
        <v>基础设施水平</v>
      </c>
      <c r="AA29" s="1325">
        <f>D29/F29</f>
        <v>1</v>
      </c>
      <c r="AB29" s="1325">
        <f>D29/H29</f>
        <v>1</v>
      </c>
      <c r="AC29" s="1325">
        <f>D29/J29</f>
        <v>1</v>
      </c>
    </row>
    <row r="30" spans="1:29" s="407" customFormat="1" ht="15">
      <c r="A30" s="990"/>
      <c r="B30" s="797"/>
      <c r="C30" s="2774"/>
      <c r="D30" s="789"/>
      <c r="E30" s="1035"/>
      <c r="F30" s="789"/>
      <c r="G30" s="1035"/>
      <c r="H30" s="789"/>
      <c r="I30" s="1035"/>
      <c r="J30" s="789"/>
      <c r="K30" s="1079"/>
      <c r="L30" s="2349"/>
      <c r="M30" s="2350"/>
      <c r="N30" s="2350"/>
      <c r="O30" s="2351"/>
      <c r="P30" s="3683"/>
      <c r="Q30" s="2743"/>
      <c r="R30" s="1317"/>
      <c r="S30" s="1318"/>
      <c r="T30" s="1317"/>
      <c r="U30" s="1318"/>
      <c r="V30" s="1317"/>
      <c r="W30" s="1318"/>
      <c r="X30" s="1319"/>
      <c r="Y30" s="3683"/>
      <c r="Z30" s="344"/>
      <c r="AA30" s="1325">
        <v>1</v>
      </c>
      <c r="AB30" s="1325">
        <v>1</v>
      </c>
      <c r="AC30" s="1325">
        <v>1</v>
      </c>
    </row>
    <row r="31" spans="1:29" ht="15">
      <c r="A31" s="769"/>
      <c r="B31" s="797" t="s">
        <v>437</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7"/>
      <c r="M31" s="2348"/>
      <c r="N31" s="2348"/>
      <c r="O31" s="2356"/>
      <c r="P31" s="3683"/>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83"/>
      <c r="Z31" s="1324" t="str">
        <f t="shared" ref="Z31:Z45" si="13">Q31</f>
        <v>临街状况</v>
      </c>
      <c r="AA31" s="1325">
        <f t="shared" si="3"/>
        <v>1</v>
      </c>
      <c r="AB31" s="1325">
        <f t="shared" si="4"/>
        <v>1</v>
      </c>
      <c r="AC31" s="1325">
        <f t="shared" si="5"/>
        <v>1</v>
      </c>
    </row>
    <row r="32" spans="1:29" ht="27">
      <c r="A32" s="769"/>
      <c r="B32" s="2768"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7"/>
      <c r="M32" s="2348"/>
      <c r="N32" s="2348"/>
      <c r="O32" s="2356"/>
      <c r="P32" s="3683"/>
      <c r="Q32" s="1321" t="str">
        <f t="shared" si="8"/>
        <v>毗邻道路的类型与等级</v>
      </c>
      <c r="R32" s="1322" t="s">
        <v>65</v>
      </c>
      <c r="S32" s="1323">
        <f t="shared" si="10"/>
        <v>100</v>
      </c>
      <c r="T32" s="1322" t="s">
        <v>65</v>
      </c>
      <c r="U32" s="1323">
        <f t="shared" si="11"/>
        <v>100</v>
      </c>
      <c r="V32" s="1322" t="s">
        <v>65</v>
      </c>
      <c r="W32" s="1323">
        <f t="shared" si="12"/>
        <v>100</v>
      </c>
      <c r="X32" s="1316"/>
      <c r="Y32" s="3683"/>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7"/>
      <c r="M33" s="2348"/>
      <c r="N33" s="2348"/>
      <c r="O33" s="2356"/>
      <c r="P33" s="3683"/>
      <c r="Q33" s="1321"/>
      <c r="R33" s="1322"/>
      <c r="S33" s="1323"/>
      <c r="T33" s="1322"/>
      <c r="U33" s="1323"/>
      <c r="V33" s="1322"/>
      <c r="W33" s="1323"/>
      <c r="X33" s="1316"/>
      <c r="Y33" s="3683"/>
      <c r="Z33" s="1324"/>
      <c r="AA33" s="1325">
        <v>1</v>
      </c>
      <c r="AB33" s="1325">
        <v>1</v>
      </c>
      <c r="AC33" s="1325">
        <v>1</v>
      </c>
    </row>
    <row r="34" spans="1:29" ht="15">
      <c r="A34" s="769"/>
      <c r="B34" s="763" t="s">
        <v>485</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683"/>
      <c r="Q34" s="1321" t="str">
        <f t="shared" si="8"/>
        <v>土地级别</v>
      </c>
      <c r="R34" s="1322" t="s">
        <v>65</v>
      </c>
      <c r="S34" s="1323">
        <f t="shared" si="10"/>
        <v>100</v>
      </c>
      <c r="T34" s="1322" t="s">
        <v>65</v>
      </c>
      <c r="U34" s="1323">
        <f t="shared" si="11"/>
        <v>100</v>
      </c>
      <c r="V34" s="1322" t="s">
        <v>65</v>
      </c>
      <c r="W34" s="1323">
        <f t="shared" si="12"/>
        <v>100</v>
      </c>
      <c r="X34" s="1316"/>
      <c r="Y34" s="3683"/>
      <c r="Z34" s="1324" t="str">
        <f t="shared" si="13"/>
        <v>土地级别</v>
      </c>
      <c r="AA34" s="1325">
        <f t="shared" si="3"/>
        <v>1</v>
      </c>
      <c r="AB34" s="1325">
        <f t="shared" si="4"/>
        <v>1</v>
      </c>
      <c r="AC34" s="1325">
        <f t="shared" si="5"/>
        <v>1</v>
      </c>
    </row>
    <row r="35" spans="1:29" ht="15">
      <c r="A35" s="747"/>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83"/>
      <c r="Q35" s="1321">
        <f t="shared" si="8"/>
        <v>111</v>
      </c>
      <c r="R35" s="1322" t="s">
        <v>65</v>
      </c>
      <c r="S35" s="1323">
        <f t="shared" si="10"/>
        <v>100</v>
      </c>
      <c r="T35" s="1322" t="s">
        <v>65</v>
      </c>
      <c r="U35" s="1323">
        <f t="shared" si="11"/>
        <v>100</v>
      </c>
      <c r="V35" s="1322" t="s">
        <v>65</v>
      </c>
      <c r="W35" s="1323">
        <f t="shared" si="12"/>
        <v>100</v>
      </c>
      <c r="X35" s="1316"/>
      <c r="Y35" s="3683"/>
      <c r="Z35" s="1324">
        <f t="shared" si="13"/>
        <v>111</v>
      </c>
      <c r="AA35" s="1325">
        <f t="shared" si="3"/>
        <v>1</v>
      </c>
      <c r="AB35" s="1325">
        <f t="shared" si="4"/>
        <v>1</v>
      </c>
      <c r="AC35" s="1325">
        <f t="shared" si="5"/>
        <v>1</v>
      </c>
    </row>
    <row r="36" spans="1:29" ht="15">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84" t="s">
        <v>409</v>
      </c>
      <c r="Q36" s="1321">
        <f t="shared" si="8"/>
        <v>111</v>
      </c>
      <c r="R36" s="1322" t="s">
        <v>65</v>
      </c>
      <c r="S36" s="1323">
        <f t="shared" si="10"/>
        <v>100</v>
      </c>
      <c r="T36" s="1322" t="s">
        <v>65</v>
      </c>
      <c r="U36" s="1323">
        <f t="shared" si="11"/>
        <v>100</v>
      </c>
      <c r="V36" s="1322" t="s">
        <v>65</v>
      </c>
      <c r="W36" s="1323">
        <f t="shared" si="12"/>
        <v>100</v>
      </c>
      <c r="X36" s="1316"/>
      <c r="Y36" s="3685" t="s">
        <v>409</v>
      </c>
      <c r="Z36" s="1324">
        <f t="shared" si="13"/>
        <v>111</v>
      </c>
      <c r="AA36" s="1325">
        <f t="shared" si="3"/>
        <v>1</v>
      </c>
      <c r="AB36" s="1325">
        <f t="shared" si="4"/>
        <v>1</v>
      </c>
      <c r="AC36" s="1325">
        <f t="shared" si="5"/>
        <v>1</v>
      </c>
    </row>
    <row r="37" spans="1:29" s="812" customFormat="1" ht="15.75" thickBot="1">
      <c r="A37" s="1083"/>
      <c r="B37" s="2772">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85"/>
      <c r="Q37" s="1321">
        <f t="shared" si="8"/>
        <v>111</v>
      </c>
      <c r="R37" s="1327" t="s">
        <v>65</v>
      </c>
      <c r="S37" s="1328">
        <f t="shared" si="10"/>
        <v>100</v>
      </c>
      <c r="T37" s="1327" t="s">
        <v>65</v>
      </c>
      <c r="U37" s="1328">
        <f t="shared" si="11"/>
        <v>100</v>
      </c>
      <c r="V37" s="1327" t="s">
        <v>65</v>
      </c>
      <c r="W37" s="1328">
        <f t="shared" si="12"/>
        <v>100</v>
      </c>
      <c r="X37" s="1329"/>
      <c r="Y37" s="3685"/>
      <c r="Z37" s="1330">
        <f t="shared" si="13"/>
        <v>111</v>
      </c>
      <c r="AA37" s="1325">
        <f t="shared" si="3"/>
        <v>1</v>
      </c>
      <c r="AB37" s="1325">
        <f t="shared" si="4"/>
        <v>1</v>
      </c>
      <c r="AC37" s="1325">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7"/>
      <c r="M38" s="2348"/>
      <c r="N38" s="2348"/>
      <c r="O38" s="2356"/>
      <c r="P38" s="3685"/>
      <c r="Q38" s="1321" t="str">
        <f>B38</f>
        <v>宗地面积</v>
      </c>
      <c r="R38" s="1322" t="s">
        <v>65</v>
      </c>
      <c r="S38" s="1323" t="e">
        <f t="shared" si="10"/>
        <v>#N/A</v>
      </c>
      <c r="T38" s="1322" t="s">
        <v>65</v>
      </c>
      <c r="U38" s="1323" t="e">
        <f t="shared" si="11"/>
        <v>#N/A</v>
      </c>
      <c r="V38" s="1322" t="s">
        <v>65</v>
      </c>
      <c r="W38" s="1323" t="e">
        <f t="shared" si="12"/>
        <v>#N/A</v>
      </c>
      <c r="X38" s="1316"/>
      <c r="Y38" s="3685"/>
      <c r="Z38" s="1324" t="str">
        <f t="shared" si="13"/>
        <v>宗地面积</v>
      </c>
      <c r="AA38" s="1325" t="e">
        <f t="shared" si="3"/>
        <v>#N/A</v>
      </c>
      <c r="AB38" s="1325" t="e">
        <f t="shared" si="4"/>
        <v>#N/A</v>
      </c>
      <c r="AC38" s="1325"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7"/>
      <c r="M39" s="2348"/>
      <c r="N39" s="2348"/>
      <c r="O39" s="2356"/>
      <c r="P39" s="3685"/>
      <c r="Q39" s="1321" t="str">
        <f t="shared" ref="Q39:Q45" si="14">B39</f>
        <v>宗地形状</v>
      </c>
      <c r="R39" s="1322" t="s">
        <v>65</v>
      </c>
      <c r="S39" s="1323">
        <f t="shared" si="10"/>
        <v>100</v>
      </c>
      <c r="T39" s="1322" t="s">
        <v>65</v>
      </c>
      <c r="U39" s="1323">
        <f t="shared" si="11"/>
        <v>100</v>
      </c>
      <c r="V39" s="1322" t="s">
        <v>65</v>
      </c>
      <c r="W39" s="1323">
        <f t="shared" si="12"/>
        <v>100</v>
      </c>
      <c r="X39" s="1316"/>
      <c r="Y39" s="3685"/>
      <c r="Z39" s="1324" t="str">
        <f t="shared" si="13"/>
        <v>宗地形状</v>
      </c>
      <c r="AA39" s="1325">
        <f t="shared" si="3"/>
        <v>1</v>
      </c>
      <c r="AB39" s="1325">
        <f t="shared" si="4"/>
        <v>1</v>
      </c>
      <c r="AC39" s="1325">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685"/>
      <c r="Q40" s="1321" t="str">
        <f t="shared" si="14"/>
        <v>临街宽度及深度</v>
      </c>
      <c r="R40" s="1322" t="s">
        <v>65</v>
      </c>
      <c r="S40" s="1323">
        <f t="shared" si="10"/>
        <v>100</v>
      </c>
      <c r="T40" s="1322" t="s">
        <v>65</v>
      </c>
      <c r="U40" s="1323">
        <f t="shared" si="11"/>
        <v>100</v>
      </c>
      <c r="V40" s="1322" t="s">
        <v>65</v>
      </c>
      <c r="W40" s="1323">
        <f t="shared" si="12"/>
        <v>100</v>
      </c>
      <c r="X40" s="1316"/>
      <c r="Y40" s="3685"/>
      <c r="Z40" s="1324" t="str">
        <f t="shared" si="13"/>
        <v>临街宽度及深度</v>
      </c>
      <c r="AA40" s="1325">
        <f t="shared" si="3"/>
        <v>1</v>
      </c>
      <c r="AB40" s="1325">
        <f t="shared" si="4"/>
        <v>1</v>
      </c>
      <c r="AC40" s="1325">
        <f t="shared" si="5"/>
        <v>1</v>
      </c>
    </row>
    <row r="41" spans="1:29" s="407" customFormat="1" ht="15">
      <c r="A41" s="814"/>
      <c r="B41" s="2609" t="s">
        <v>2505</v>
      </c>
      <c r="C41" s="1040"/>
      <c r="D41" s="426">
        <v>100</v>
      </c>
      <c r="E41" s="1040"/>
      <c r="F41" s="776">
        <f>SUMIF(123:123,E41,124:124)-SUMIF(123:123,C41,124:124)+100</f>
        <v>100</v>
      </c>
      <c r="G41" s="1040"/>
      <c r="H41" s="776">
        <f>SUMIF(123:123,G41,124:124)-SUMIF(123:123,C41,124:124)+100</f>
        <v>100</v>
      </c>
      <c r="I41" s="1040"/>
      <c r="J41" s="776">
        <f>SUMIF(123:123,I41,124:124)-SUMIF(123:123,C41,124:124)+100</f>
        <v>100</v>
      </c>
      <c r="K41" s="953"/>
      <c r="L41" s="2349"/>
      <c r="M41" s="2350"/>
      <c r="N41" s="2350"/>
      <c r="O41" s="2351"/>
      <c r="P41" s="3685"/>
      <c r="Q41" s="1321" t="str">
        <f t="shared" si="14"/>
        <v>宗地开发程度</v>
      </c>
      <c r="R41" s="1317" t="s">
        <v>65</v>
      </c>
      <c r="S41" s="1318">
        <f t="shared" si="10"/>
        <v>100</v>
      </c>
      <c r="T41" s="1317" t="s">
        <v>65</v>
      </c>
      <c r="U41" s="1318">
        <f t="shared" si="11"/>
        <v>100</v>
      </c>
      <c r="V41" s="1317" t="s">
        <v>65</v>
      </c>
      <c r="W41" s="1318">
        <f t="shared" si="12"/>
        <v>100</v>
      </c>
      <c r="X41" s="1319"/>
      <c r="Y41" s="3685"/>
      <c r="Z41" s="344" t="str">
        <f t="shared" si="13"/>
        <v>宗地开发程度</v>
      </c>
      <c r="AA41" s="1320">
        <f t="shared" si="3"/>
        <v>1</v>
      </c>
      <c r="AB41" s="1320">
        <f t="shared" si="4"/>
        <v>1</v>
      </c>
      <c r="AC41" s="1320">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7"/>
      <c r="M42" s="2348"/>
      <c r="N42" s="2348"/>
      <c r="O42" s="2356"/>
      <c r="P42" s="3685" t="s">
        <v>409</v>
      </c>
      <c r="Q42" s="1321" t="str">
        <f t="shared" si="14"/>
        <v>工程地质条件</v>
      </c>
      <c r="R42" s="1322" t="s">
        <v>65</v>
      </c>
      <c r="S42" s="1323">
        <f t="shared" si="10"/>
        <v>100</v>
      </c>
      <c r="T42" s="1322" t="s">
        <v>65</v>
      </c>
      <c r="U42" s="1323">
        <f t="shared" si="11"/>
        <v>100</v>
      </c>
      <c r="V42" s="1322" t="s">
        <v>65</v>
      </c>
      <c r="W42" s="1323">
        <f t="shared" si="12"/>
        <v>100</v>
      </c>
      <c r="X42" s="1316"/>
      <c r="Y42" s="3685" t="s">
        <v>409</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685"/>
      <c r="Q43" s="1321">
        <f t="shared" si="14"/>
        <v>111</v>
      </c>
      <c r="R43" s="1322" t="s">
        <v>65</v>
      </c>
      <c r="S43" s="1323">
        <f t="shared" si="10"/>
        <v>100</v>
      </c>
      <c r="T43" s="1322" t="s">
        <v>65</v>
      </c>
      <c r="U43" s="1323">
        <f t="shared" si="11"/>
        <v>100</v>
      </c>
      <c r="V43" s="1322" t="s">
        <v>65</v>
      </c>
      <c r="W43" s="1323">
        <f t="shared" si="12"/>
        <v>100</v>
      </c>
      <c r="X43" s="1316"/>
      <c r="Y43" s="3685"/>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685"/>
      <c r="Q44" s="1321">
        <f t="shared" si="14"/>
        <v>111</v>
      </c>
      <c r="R44" s="1322" t="s">
        <v>65</v>
      </c>
      <c r="S44" s="1323">
        <f t="shared" si="10"/>
        <v>100</v>
      </c>
      <c r="T44" s="1322" t="s">
        <v>65</v>
      </c>
      <c r="U44" s="1323">
        <f t="shared" si="11"/>
        <v>100</v>
      </c>
      <c r="V44" s="1322" t="s">
        <v>65</v>
      </c>
      <c r="W44" s="1323">
        <f t="shared" si="12"/>
        <v>100</v>
      </c>
      <c r="X44" s="1316"/>
      <c r="Y44" s="3685"/>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685"/>
      <c r="Q45" s="1321">
        <f t="shared" si="14"/>
        <v>111</v>
      </c>
      <c r="R45" s="1327" t="s">
        <v>65</v>
      </c>
      <c r="S45" s="1328">
        <f t="shared" si="10"/>
        <v>100</v>
      </c>
      <c r="T45" s="1327" t="s">
        <v>65</v>
      </c>
      <c r="U45" s="1328">
        <f t="shared" si="11"/>
        <v>100</v>
      </c>
      <c r="V45" s="1327" t="s">
        <v>65</v>
      </c>
      <c r="W45" s="1328">
        <f t="shared" si="12"/>
        <v>100</v>
      </c>
      <c r="X45" s="1329"/>
      <c r="Y45" s="3685"/>
      <c r="Z45" s="1330">
        <f t="shared" si="13"/>
        <v>111</v>
      </c>
      <c r="AA45" s="1325">
        <f t="shared" si="3"/>
        <v>1</v>
      </c>
      <c r="AB45" s="1325">
        <f t="shared" si="4"/>
        <v>1</v>
      </c>
      <c r="AC45" s="1325">
        <f t="shared" si="5"/>
        <v>1</v>
      </c>
    </row>
    <row r="46" spans="1:29" ht="15">
      <c r="A46" s="820" t="s">
        <v>490</v>
      </c>
      <c r="B46" s="207" t="s">
        <v>158</v>
      </c>
      <c r="C46" s="1089" t="s">
        <v>23</v>
      </c>
      <c r="D46" s="822"/>
      <c r="E46" s="823"/>
      <c r="F46" s="824"/>
      <c r="G46" s="825"/>
      <c r="H46" s="826"/>
      <c r="I46" s="823"/>
      <c r="J46" s="826"/>
      <c r="K46" s="1398"/>
      <c r="L46" s="2360"/>
      <c r="M46" s="2361"/>
      <c r="N46" s="2348"/>
      <c r="O46" s="2361"/>
      <c r="P46" s="3677" t="str">
        <f>A46</f>
        <v>成交单价</v>
      </c>
      <c r="Q46" s="3677"/>
      <c r="R46" s="3705">
        <f>E46</f>
        <v>0</v>
      </c>
      <c r="S46" s="3705"/>
      <c r="T46" s="3705">
        <f>G46</f>
        <v>0</v>
      </c>
      <c r="U46" s="3705"/>
      <c r="V46" s="3705">
        <f>I46</f>
        <v>0</v>
      </c>
      <c r="W46" s="3705"/>
      <c r="X46" s="1305"/>
      <c r="Y46" s="1331"/>
      <c r="Z46" s="1305"/>
      <c r="AA46" s="1305"/>
      <c r="AB46" s="1305"/>
      <c r="AC46" s="1305"/>
    </row>
    <row r="47" spans="1:29" ht="15.75" thickBot="1">
      <c r="A47" s="827" t="s">
        <v>411</v>
      </c>
      <c r="B47" s="1090"/>
      <c r="C47" s="831" t="e">
        <f>R48</f>
        <v>#DIV/0!</v>
      </c>
      <c r="D47" s="830"/>
      <c r="E47" s="831" t="e">
        <f>R47</f>
        <v>#DIV/0!</v>
      </c>
      <c r="F47" s="832"/>
      <c r="G47" s="829" t="e">
        <f>T47</f>
        <v>#DIV/0!</v>
      </c>
      <c r="H47" s="830"/>
      <c r="I47" s="831" t="e">
        <f>V47</f>
        <v>#DIV/0!</v>
      </c>
      <c r="J47" s="830"/>
      <c r="K47" s="1399"/>
      <c r="L47" s="2360"/>
      <c r="M47" s="2361"/>
      <c r="N47" s="2361"/>
      <c r="O47" s="2361"/>
      <c r="P47" s="3677" t="str">
        <f>A47</f>
        <v>比较价值（元/平方米）</v>
      </c>
      <c r="Q47" s="3677"/>
      <c r="R47" s="3716" t="e">
        <f>ROUND(PRODUCT(R46,AA7:AA45),0)</f>
        <v>#DIV/0!</v>
      </c>
      <c r="S47" s="3716"/>
      <c r="T47" s="3716" t="e">
        <f>ROUND(PRODUCT(T46,AB7:AB45),0)</f>
        <v>#DIV/0!</v>
      </c>
      <c r="U47" s="3716"/>
      <c r="V47" s="3716" t="e">
        <f>ROUND(PRODUCT(V46,AC7:AC45),0)</f>
        <v>#DIV/0!</v>
      </c>
      <c r="W47" s="3716"/>
      <c r="X47" s="1305"/>
      <c r="Y47" s="1305"/>
      <c r="Z47" s="1305"/>
      <c r="AA47" s="1305"/>
      <c r="AB47" s="1305"/>
      <c r="AC47" s="1305"/>
    </row>
    <row r="48" spans="1:29" ht="15.75" thickBot="1">
      <c r="A48" s="115" t="s">
        <v>516</v>
      </c>
      <c r="B48" s="834"/>
      <c r="C48" s="835" t="e">
        <f>R48</f>
        <v>#DIV/0!</v>
      </c>
      <c r="D48" s="835"/>
      <c r="E48" s="835"/>
      <c r="F48" s="835"/>
      <c r="G48" s="835"/>
      <c r="H48" s="835"/>
      <c r="I48" s="835"/>
      <c r="J48" s="835"/>
      <c r="K48" s="1400"/>
      <c r="L48" s="2360"/>
      <c r="M48" s="2361"/>
      <c r="N48" s="2361"/>
      <c r="O48" s="2361"/>
      <c r="P48" s="3679" t="str">
        <f>A48</f>
        <v>估价对象XX用房的比较价值（楼面单价，元/平方米）</v>
      </c>
      <c r="Q48" s="3680"/>
      <c r="R48" s="3717" t="e">
        <f>ROUND(AVERAGE(R47:V47),0)</f>
        <v>#DIV/0!</v>
      </c>
      <c r="S48" s="3717"/>
      <c r="T48" s="3717"/>
      <c r="U48" s="3717"/>
      <c r="V48" s="3717"/>
      <c r="W48" s="3717"/>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7"/>
      <c r="L51" s="2188"/>
      <c r="M51" s="2361"/>
      <c r="N51" s="2361"/>
      <c r="O51" s="2361"/>
    </row>
    <row r="52" spans="1:15" ht="13.5" customHeight="1">
      <c r="A52" s="2361"/>
      <c r="B52" s="2361"/>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7"/>
      <c r="L52" s="2188"/>
      <c r="M52" s="2361"/>
      <c r="N52" s="2361"/>
      <c r="O52" s="2361"/>
    </row>
    <row r="53" spans="1:15" s="843" customFormat="1" ht="13.5" customHeight="1">
      <c r="A53" s="2362"/>
      <c r="B53" s="2362"/>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491</v>
      </c>
      <c r="B55" s="1092" t="s">
        <v>492</v>
      </c>
      <c r="C55" s="1775" t="s">
        <v>1889</v>
      </c>
      <c r="D55" s="2392" t="s">
        <v>2329</v>
      </c>
      <c r="E55" s="1093" t="s">
        <v>493</v>
      </c>
      <c r="F55" s="2189" t="s">
        <v>494</v>
      </c>
      <c r="G55" s="3718" t="s">
        <v>2322</v>
      </c>
      <c r="H55" s="3719"/>
      <c r="I55" s="2190" t="s">
        <v>1888</v>
      </c>
      <c r="J55" s="2194">
        <f>项目基本情况!F35</f>
        <v>0</v>
      </c>
      <c r="K55" s="2375" t="s">
        <v>1890</v>
      </c>
      <c r="L55" s="2188"/>
      <c r="M55" s="2361"/>
      <c r="N55" s="2361"/>
      <c r="O55" s="2361"/>
    </row>
    <row r="56" spans="1:15" s="1099" customFormat="1">
      <c r="A56" s="1095" t="s">
        <v>495</v>
      </c>
      <c r="B56" s="1096" t="e">
        <f>C48</f>
        <v>#DIV/0!</v>
      </c>
      <c r="C56" s="1097">
        <v>1</v>
      </c>
      <c r="D56" s="2393">
        <v>1</v>
      </c>
      <c r="E56" s="1097">
        <f>'数据-汇总表'!E8+'数据-汇总表'!E9</f>
        <v>85551.93</v>
      </c>
      <c r="F56" s="2185" t="e">
        <f t="shared" ref="F56:F65" si="15">ROUND(B56*E56/10000,0)</f>
        <v>#DIV/0!</v>
      </c>
      <c r="G56" s="3720"/>
      <c r="H56" s="3721"/>
      <c r="I56" s="2191">
        <v>1</v>
      </c>
      <c r="J56" s="2195">
        <v>1</v>
      </c>
      <c r="K56" s="2362"/>
      <c r="L56" s="1772"/>
      <c r="M56" s="1772"/>
      <c r="N56" s="1772"/>
      <c r="O56" s="1772"/>
    </row>
    <row r="57" spans="1:15" s="1099" customFormat="1">
      <c r="A57" s="1100" t="s">
        <v>496</v>
      </c>
      <c r="B57" s="594" t="e">
        <f>ROUND($C$48*C57*D57,0)</f>
        <v>#DIV/0!</v>
      </c>
      <c r="C57" s="532">
        <f t="shared" ref="C57:C65" si="16">IF($C$55="北京市系数",I57,J57)</f>
        <v>0.7</v>
      </c>
      <c r="D57" s="2394">
        <v>0.25</v>
      </c>
      <c r="E57" s="1101"/>
      <c r="F57" s="2185" t="e">
        <f t="shared" si="15"/>
        <v>#DIV/0!</v>
      </c>
      <c r="G57" s="3722" t="s">
        <v>2323</v>
      </c>
      <c r="H57" s="2186" t="str">
        <f>项目基本情况!B37</f>
        <v>七级</v>
      </c>
      <c r="I57" s="2191">
        <f>SUMIF(修正!A45:A56,H57,修正!B45:B56)</f>
        <v>0.7</v>
      </c>
      <c r="J57" s="2196"/>
      <c r="K57" s="2361"/>
      <c r="L57" s="1772"/>
      <c r="M57" s="1772"/>
      <c r="N57" s="1772"/>
      <c r="O57" s="1772"/>
    </row>
    <row r="58" spans="1:15" s="1099" customFormat="1">
      <c r="A58" s="1100" t="s">
        <v>497</v>
      </c>
      <c r="B58" s="594" t="e">
        <f t="shared" ref="B58:B65" si="17">ROUND($C$48*C58*D58,0)</f>
        <v>#DIV/0!</v>
      </c>
      <c r="C58" s="532">
        <f t="shared" si="16"/>
        <v>0.4</v>
      </c>
      <c r="D58" s="2394">
        <v>0.25</v>
      </c>
      <c r="E58" s="1101"/>
      <c r="F58" s="2185" t="e">
        <f t="shared" si="15"/>
        <v>#DIV/0!</v>
      </c>
      <c r="G58" s="3722"/>
      <c r="H58" s="2186" t="str">
        <f>项目基本情况!B37</f>
        <v>七级</v>
      </c>
      <c r="I58" s="2191">
        <f>SUMIF(修正!A45:A56,H58,修正!C45:C56)</f>
        <v>0.4</v>
      </c>
      <c r="J58" s="2196"/>
      <c r="K58" s="2362"/>
      <c r="L58" s="1772"/>
      <c r="M58" s="1772"/>
      <c r="N58" s="1772"/>
      <c r="O58" s="1772"/>
    </row>
    <row r="59" spans="1:15" s="1099" customFormat="1">
      <c r="A59" s="1100" t="s">
        <v>498</v>
      </c>
      <c r="B59" s="594" t="e">
        <f t="shared" si="17"/>
        <v>#DIV/0!</v>
      </c>
      <c r="C59" s="532">
        <f t="shared" si="16"/>
        <v>0.28000000000000003</v>
      </c>
      <c r="D59" s="2394">
        <v>0.25</v>
      </c>
      <c r="E59" s="1101"/>
      <c r="F59" s="2185" t="e">
        <f t="shared" si="15"/>
        <v>#DIV/0!</v>
      </c>
      <c r="G59" s="3722"/>
      <c r="H59" s="2186" t="str">
        <f>项目基本情况!B37</f>
        <v>七级</v>
      </c>
      <c r="I59" s="2191">
        <f>SUMIF(修正!A45:A56,H59,修正!D45:D56)</f>
        <v>0.28000000000000003</v>
      </c>
      <c r="J59" s="2196"/>
      <c r="K59" s="2361"/>
      <c r="L59" s="1772"/>
      <c r="M59" s="1772"/>
      <c r="N59" s="1772"/>
      <c r="O59" s="1772"/>
    </row>
    <row r="60" spans="1:15" s="1099" customFormat="1">
      <c r="A60" s="1100" t="s">
        <v>499</v>
      </c>
      <c r="B60" s="594" t="e">
        <f t="shared" si="17"/>
        <v>#DIV/0!</v>
      </c>
      <c r="C60" s="532">
        <f t="shared" si="16"/>
        <v>0.25</v>
      </c>
      <c r="D60" s="2394">
        <v>0.25</v>
      </c>
      <c r="E60" s="1101"/>
      <c r="F60" s="2185" t="e">
        <f t="shared" si="15"/>
        <v>#DIV/0!</v>
      </c>
      <c r="G60" s="3722"/>
      <c r="H60" s="2186" t="str">
        <f>项目基本情况!B37</f>
        <v>七级</v>
      </c>
      <c r="I60" s="2191">
        <f>SUMIF(修正!A45:A56,H60,修正!E45:E56)</f>
        <v>0.25</v>
      </c>
      <c r="J60" s="2196"/>
      <c r="K60" s="2362"/>
      <c r="L60" s="1772"/>
      <c r="M60" s="1772"/>
      <c r="N60" s="1772"/>
      <c r="O60" s="1772"/>
    </row>
    <row r="61" spans="1:15" s="1099" customFormat="1">
      <c r="A61" s="2514" t="s">
        <v>2404</v>
      </c>
      <c r="B61" s="594" t="e">
        <f t="shared" si="17"/>
        <v>#DIV/0!</v>
      </c>
      <c r="C61" s="532">
        <f t="shared" si="16"/>
        <v>0.25</v>
      </c>
      <c r="D61" s="2394">
        <v>0.25</v>
      </c>
      <c r="E61" s="593">
        <f>'数据-汇总表'!E11</f>
        <v>0</v>
      </c>
      <c r="F61" s="2185" t="e">
        <f t="shared" si="15"/>
        <v>#DIV/0!</v>
      </c>
      <c r="G61" s="2198" t="s">
        <v>2324</v>
      </c>
      <c r="H61" s="2186" t="str">
        <f>项目基本情况!C37</f>
        <v>七级</v>
      </c>
      <c r="I61" s="2191">
        <f>SUMIF(修正!A45:A56,H61,修正!F45:F56)</f>
        <v>0.25</v>
      </c>
      <c r="J61" s="2196"/>
      <c r="K61" s="2361"/>
      <c r="L61" s="1772"/>
      <c r="M61" s="1772"/>
      <c r="N61" s="1772"/>
      <c r="O61" s="1772"/>
    </row>
    <row r="62" spans="1:15" s="1099" customFormat="1">
      <c r="A62" s="1100" t="s">
        <v>500</v>
      </c>
      <c r="B62" s="594" t="e">
        <f t="shared" si="17"/>
        <v>#DIV/0!</v>
      </c>
      <c r="C62" s="532">
        <f t="shared" si="16"/>
        <v>0.25</v>
      </c>
      <c r="D62" s="2394">
        <v>0.25</v>
      </c>
      <c r="E62" s="593">
        <f>'数据-汇总表'!E12</f>
        <v>0</v>
      </c>
      <c r="F62" s="2185" t="e">
        <f t="shared" si="15"/>
        <v>#DIV/0!</v>
      </c>
      <c r="G62" s="2192" t="s">
        <v>141</v>
      </c>
      <c r="H62" s="2186" t="str">
        <f>IF(G62="商业",项目基本情况!B37,IF(G62="办公",项目基本情况!C37,IF(G62="住宅",项目基本情况!D37,项目基本情况!E37)))</f>
        <v>七级</v>
      </c>
      <c r="I62" s="2191">
        <f>SUMIF(修正!A45:A56,H62,修正!G45:G56)</f>
        <v>0.25</v>
      </c>
      <c r="J62" s="2196"/>
      <c r="K62" s="2362"/>
      <c r="L62" s="1772"/>
      <c r="M62" s="1772"/>
      <c r="N62" s="1772"/>
      <c r="O62" s="1772"/>
    </row>
    <row r="63" spans="1:15" s="1099" customFormat="1">
      <c r="A63" s="1100"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502</v>
      </c>
      <c r="B64" s="594" t="e">
        <f t="shared" si="17"/>
        <v>#DIV/0!</v>
      </c>
      <c r="C64" s="532">
        <f t="shared" si="16"/>
        <v>0.2</v>
      </c>
      <c r="D64" s="2394">
        <v>0.25</v>
      </c>
      <c r="E64" s="593">
        <f>'数据-汇总表'!E14</f>
        <v>16275.059999999998</v>
      </c>
      <c r="F64" s="2185" t="e">
        <f t="shared" si="15"/>
        <v>#DIV/0!</v>
      </c>
      <c r="G64" s="2198" t="s">
        <v>2325</v>
      </c>
      <c r="H64" s="2186" t="str">
        <f>项目基本情况!B37</f>
        <v>七级</v>
      </c>
      <c r="I64" s="2191">
        <f>SUMIF(修正!A45:A56,H64,修正!H45:H56)</f>
        <v>0.2</v>
      </c>
      <c r="J64" s="2196"/>
      <c r="K64" s="2362"/>
      <c r="L64" s="1772"/>
      <c r="M64" s="1772"/>
      <c r="N64" s="1772"/>
      <c r="O64" s="1772"/>
    </row>
    <row r="65" spans="1:17" s="1099" customFormat="1" ht="15" thickBot="1">
      <c r="A65" s="1100" t="s">
        <v>503</v>
      </c>
      <c r="B65" s="594" t="e">
        <f t="shared" si="17"/>
        <v>#DIV/0!</v>
      </c>
      <c r="C65" s="532">
        <f t="shared" si="16"/>
        <v>0.2</v>
      </c>
      <c r="D65" s="2394">
        <v>0.25</v>
      </c>
      <c r="E65" s="593">
        <f>'数据-汇总表'!E15</f>
        <v>0</v>
      </c>
      <c r="F65" s="2185" t="e">
        <f t="shared" si="15"/>
        <v>#DIV/0!</v>
      </c>
      <c r="G65" s="2199" t="s">
        <v>2324</v>
      </c>
      <c r="H65" s="2200" t="str">
        <f>项目基本情况!C37</f>
        <v>七级</v>
      </c>
      <c r="I65" s="2193">
        <f>SUMIF(修正!A45:A56,H65,修正!H45:H56)</f>
        <v>0.2</v>
      </c>
      <c r="J65" s="2197"/>
      <c r="K65" s="2361"/>
      <c r="L65" s="1772"/>
      <c r="M65" s="1772"/>
      <c r="N65" s="1772"/>
      <c r="O65" s="1772"/>
    </row>
    <row r="66" spans="1:17" s="1099" customFormat="1" ht="13.5" thickBot="1">
      <c r="A66" s="1102" t="s">
        <v>504</v>
      </c>
      <c r="B66" s="1103" t="s">
        <v>156</v>
      </c>
      <c r="C66" s="1103" t="s">
        <v>157</v>
      </c>
      <c r="D66" s="1103" t="s">
        <v>2330</v>
      </c>
      <c r="E66" s="1103">
        <f>IF(B46="楼面地价",SUM(E56:E65),'数据-汇总表'!D3)</f>
        <v>101826.98999999999</v>
      </c>
      <c r="F66" s="1104" t="e">
        <f>IF(B46="楼面地价",SUM(F56:F65),ROUND(C48*E66/10000,0))</f>
        <v>#DIV/0!</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415</v>
      </c>
      <c r="B69" s="1305"/>
      <c r="C69" s="1310"/>
      <c r="D69" s="1310"/>
      <c r="E69" s="1310"/>
      <c r="F69" s="1311"/>
      <c r="G69" s="1311"/>
      <c r="H69" s="1310"/>
      <c r="I69" s="1310"/>
      <c r="J69" s="2377"/>
      <c r="K69" s="2378"/>
      <c r="L69" s="2379"/>
      <c r="M69" s="2377"/>
      <c r="N69" s="2377"/>
      <c r="O69" s="2377"/>
      <c r="P69" s="844"/>
      <c r="Q69" s="845"/>
    </row>
    <row r="70" spans="1:17" s="849" customFormat="1" ht="15">
      <c r="A70" s="2705" t="s">
        <v>2796</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北京市平均增长率2.75%</v>
      </c>
      <c r="C71" s="944">
        <v>100</v>
      </c>
      <c r="D71" s="936"/>
      <c r="E71" s="936"/>
      <c r="F71" s="936"/>
      <c r="G71" s="936"/>
      <c r="H71" s="936"/>
      <c r="I71" s="936"/>
      <c r="J71" s="936"/>
      <c r="K71" s="936"/>
      <c r="L71" s="936"/>
      <c r="M71" s="3030"/>
      <c r="N71" s="936"/>
      <c r="O71" s="3031"/>
      <c r="P71" s="845"/>
    </row>
    <row r="72" spans="1:17" s="407" customFormat="1" ht="15.75" thickBot="1">
      <c r="A72" s="856" t="s">
        <v>416</v>
      </c>
      <c r="B72" s="857"/>
      <c r="C72" s="858"/>
      <c r="D72" s="859"/>
      <c r="E72" s="859"/>
      <c r="F72" s="859"/>
      <c r="G72" s="859"/>
      <c r="H72" s="859"/>
      <c r="I72" s="859"/>
      <c r="J72" s="859"/>
      <c r="K72" s="859"/>
      <c r="L72" s="859"/>
      <c r="M72" s="860"/>
      <c r="N72" s="859"/>
      <c r="O72" s="2380"/>
      <c r="P72" s="845"/>
      <c r="Q72" s="845"/>
    </row>
    <row r="73" spans="1:17" s="407" customFormat="1" ht="15">
      <c r="A73" s="862" t="s">
        <v>400</v>
      </c>
      <c r="B73" s="851"/>
      <c r="C73" s="863" t="s">
        <v>417</v>
      </c>
      <c r="D73" s="140"/>
      <c r="E73" s="140"/>
      <c r="F73" s="140"/>
      <c r="G73" s="140"/>
      <c r="H73" s="140"/>
      <c r="I73" s="140"/>
      <c r="J73" s="140"/>
      <c r="K73" s="140"/>
      <c r="L73" s="141"/>
      <c r="M73" s="1049"/>
      <c r="N73" s="2368"/>
      <c r="O73" s="2368"/>
      <c r="P73" s="867"/>
      <c r="Q73" s="845"/>
    </row>
    <row r="74" spans="1:17" s="407"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418</v>
      </c>
      <c r="B75" s="869" t="s">
        <v>419</v>
      </c>
      <c r="C75" s="122"/>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404</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c r="D80" s="890"/>
      <c r="E80" s="890"/>
      <c r="F80" s="890"/>
      <c r="G80" s="890"/>
      <c r="H80" s="890"/>
      <c r="I80" s="890"/>
      <c r="J80" s="890"/>
      <c r="K80" s="891"/>
      <c r="L80" s="892"/>
      <c r="M80" s="893"/>
      <c r="N80" s="2369"/>
      <c r="O80" s="2369"/>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9"/>
      <c r="O90" s="2369"/>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4"/>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9"/>
      <c r="O94" s="2369"/>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70"/>
      <c r="O95" s="2370"/>
      <c r="P95" s="334"/>
      <c r="Q95" s="845"/>
    </row>
    <row r="96" spans="1:17" s="407" customFormat="1" ht="27.75" thickTop="1">
      <c r="A96" s="920"/>
      <c r="B96" s="879" t="s">
        <v>506</v>
      </c>
      <c r="C96" s="919" t="s">
        <v>425</v>
      </c>
      <c r="D96" s="919" t="s">
        <v>426</v>
      </c>
      <c r="E96" s="919" t="s">
        <v>427</v>
      </c>
      <c r="F96" s="919" t="s">
        <v>428</v>
      </c>
      <c r="G96" s="919" t="s">
        <v>429</v>
      </c>
      <c r="H96" s="919"/>
      <c r="I96" s="919"/>
      <c r="J96" s="919"/>
      <c r="K96" s="919"/>
      <c r="L96" s="1105"/>
      <c r="M96" s="963"/>
      <c r="N96" s="2368"/>
      <c r="O96" s="2368"/>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70"/>
      <c r="O97" s="2370"/>
      <c r="P97" s="334"/>
      <c r="Q97" s="845"/>
    </row>
    <row r="98" spans="1:17" s="407" customFormat="1" ht="27.75" thickTop="1">
      <c r="A98" s="920"/>
      <c r="B98" s="879" t="s">
        <v>507</v>
      </c>
      <c r="C98" s="914" t="s">
        <v>425</v>
      </c>
      <c r="D98" s="914" t="s">
        <v>426</v>
      </c>
      <c r="E98" s="914" t="s">
        <v>427</v>
      </c>
      <c r="F98" s="914" t="s">
        <v>428</v>
      </c>
      <c r="G98" s="914" t="s">
        <v>429</v>
      </c>
      <c r="H98" s="919"/>
      <c r="I98" s="919"/>
      <c r="J98" s="919"/>
      <c r="K98" s="919"/>
      <c r="L98" s="919"/>
      <c r="M98" s="963"/>
      <c r="N98" s="2368"/>
      <c r="O98" s="2368"/>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70"/>
      <c r="O99" s="2370"/>
      <c r="P99" s="334"/>
      <c r="Q99" s="845"/>
    </row>
    <row r="100" spans="1:17" s="812" customFormat="1" ht="15.75" thickTop="1">
      <c r="A100" s="894"/>
      <c r="B100" s="1052" t="s">
        <v>2673</v>
      </c>
      <c r="C100" s="914" t="s">
        <v>425</v>
      </c>
      <c r="D100" s="914" t="s">
        <v>426</v>
      </c>
      <c r="E100" s="914" t="s">
        <v>427</v>
      </c>
      <c r="F100" s="914" t="s">
        <v>428</v>
      </c>
      <c r="G100" s="914" t="s">
        <v>429</v>
      </c>
      <c r="H100" s="941"/>
      <c r="I100" s="941"/>
      <c r="J100" s="941"/>
      <c r="K100" s="941"/>
      <c r="L100" s="942"/>
      <c r="M100" s="943"/>
      <c r="N100" s="2371"/>
      <c r="O100" s="2371"/>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1"/>
      <c r="O101" s="2371"/>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9"/>
      <c r="O104" s="2369"/>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70"/>
      <c r="O105" s="2370"/>
      <c r="P105" s="334"/>
      <c r="Q105" s="845"/>
    </row>
    <row r="106" spans="1:17" ht="27.75" thickTop="1">
      <c r="A106" s="875"/>
      <c r="B106" s="879" t="s">
        <v>442</v>
      </c>
      <c r="C106" s="139"/>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70"/>
      <c r="O107" s="2370"/>
      <c r="P107" s="334"/>
      <c r="Q107" s="845"/>
    </row>
    <row r="108" spans="1:17" ht="15.75" thickTop="1">
      <c r="A108" s="875"/>
      <c r="B108" s="879" t="s">
        <v>485</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408</v>
      </c>
      <c r="B116" s="869" t="s">
        <v>512</v>
      </c>
      <c r="C116" s="871"/>
      <c r="D116" s="871"/>
      <c r="E116" s="871"/>
      <c r="F116" s="871"/>
      <c r="G116" s="871"/>
      <c r="H116" s="871"/>
      <c r="I116" s="871"/>
      <c r="J116" s="871"/>
      <c r="K116" s="872"/>
      <c r="L116" s="873"/>
      <c r="M116" s="874"/>
      <c r="N116" s="2369"/>
      <c r="O116" s="2369"/>
      <c r="P116" s="334"/>
      <c r="Q116" s="845"/>
    </row>
    <row r="117" spans="1:17" ht="15">
      <c r="A117" s="875"/>
      <c r="B117" s="887"/>
      <c r="C117" s="936"/>
      <c r="D117" s="936"/>
      <c r="E117" s="936"/>
      <c r="F117" s="936"/>
      <c r="G117" s="936"/>
      <c r="H117" s="936"/>
      <c r="I117" s="936"/>
      <c r="J117" s="937"/>
      <c r="K117" s="937"/>
      <c r="L117" s="938"/>
      <c r="M117" s="939"/>
      <c r="N117" s="2369"/>
      <c r="O117" s="2369"/>
      <c r="P117" s="334"/>
      <c r="Q117" s="845"/>
    </row>
    <row r="118" spans="1:17" ht="15.75" thickBot="1">
      <c r="A118" s="875"/>
      <c r="B118" s="884"/>
      <c r="C118" s="911"/>
      <c r="D118" s="932"/>
      <c r="E118" s="932"/>
      <c r="F118" s="932"/>
      <c r="G118" s="932"/>
      <c r="H118" s="932"/>
      <c r="I118" s="932"/>
      <c r="J118" s="932"/>
      <c r="K118" s="932"/>
      <c r="L118" s="932"/>
      <c r="M118" s="933"/>
      <c r="N118" s="2370"/>
      <c r="O118" s="2370"/>
      <c r="P118" s="334"/>
      <c r="Q118" s="845"/>
    </row>
    <row r="119" spans="1:17" ht="15" thickTop="1">
      <c r="A119" s="940"/>
      <c r="B119" s="879" t="s">
        <v>513</v>
      </c>
      <c r="C119" s="131"/>
      <c r="D119" s="131"/>
      <c r="E119" s="131"/>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70"/>
      <c r="O120" s="2370"/>
      <c r="P120" s="334"/>
      <c r="Q120" s="845"/>
    </row>
    <row r="121" spans="1:17" ht="15" thickTop="1">
      <c r="A121" s="940"/>
      <c r="B121" s="879" t="s">
        <v>514</v>
      </c>
      <c r="C121" s="139"/>
      <c r="D121" s="139"/>
      <c r="E121" s="139"/>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70"/>
      <c r="O122" s="2370"/>
      <c r="P122" s="334"/>
      <c r="Q122" s="845"/>
    </row>
    <row r="123" spans="1:17" s="812" customFormat="1" ht="15" thickTop="1">
      <c r="A123" s="934"/>
      <c r="B123" s="1052" t="s">
        <v>2504</v>
      </c>
      <c r="C123" s="139"/>
      <c r="D123" s="139"/>
      <c r="E123" s="139"/>
      <c r="F123" s="139"/>
      <c r="G123" s="139"/>
      <c r="H123" s="131"/>
      <c r="I123" s="131"/>
      <c r="J123" s="131"/>
      <c r="K123" s="132"/>
      <c r="L123" s="133"/>
      <c r="M123" s="134"/>
      <c r="N123" s="2371"/>
      <c r="O123" s="2371"/>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71"/>
      <c r="O124" s="2371"/>
      <c r="P124" s="899"/>
      <c r="Q124" s="900"/>
    </row>
    <row r="125" spans="1:17" ht="15" thickTop="1">
      <c r="A125" s="940"/>
      <c r="B125" s="879" t="s">
        <v>515</v>
      </c>
      <c r="C125" s="139"/>
      <c r="D125" s="139"/>
      <c r="E125" s="131"/>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345</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390</v>
      </c>
      <c r="B4" s="745"/>
      <c r="C4" s="3689" t="s">
        <v>391</v>
      </c>
      <c r="D4" s="3690"/>
      <c r="E4" s="3691" t="s">
        <v>392</v>
      </c>
      <c r="F4" s="3692"/>
      <c r="G4" s="3689" t="s">
        <v>393</v>
      </c>
      <c r="H4" s="3690"/>
      <c r="I4" s="3689" t="s">
        <v>394</v>
      </c>
      <c r="J4" s="3690"/>
      <c r="K4" s="951" t="s">
        <v>395</v>
      </c>
      <c r="L4" s="2347"/>
      <c r="M4" s="2348"/>
      <c r="N4" s="2348"/>
      <c r="O4" s="2348"/>
      <c r="P4" s="3693" t="s">
        <v>396</v>
      </c>
      <c r="Q4" s="3694"/>
      <c r="R4" s="3699" t="s">
        <v>392</v>
      </c>
      <c r="S4" s="3700"/>
      <c r="T4" s="3699" t="s">
        <v>393</v>
      </c>
      <c r="U4" s="3700"/>
      <c r="V4" s="3705" t="s">
        <v>394</v>
      </c>
      <c r="W4" s="3705"/>
      <c r="X4" s="1316"/>
      <c r="Y4" s="3699" t="s">
        <v>396</v>
      </c>
      <c r="Z4" s="3700"/>
      <c r="AA4" s="3686" t="s">
        <v>392</v>
      </c>
      <c r="AB4" s="3687" t="s">
        <v>393</v>
      </c>
      <c r="AC4" s="3686" t="s">
        <v>394</v>
      </c>
    </row>
    <row r="5" spans="1:29" ht="15">
      <c r="A5" s="747"/>
      <c r="B5" s="748"/>
      <c r="C5" s="3652" t="s">
        <v>1128</v>
      </c>
      <c r="D5" s="3653"/>
      <c r="E5" s="3659" t="s">
        <v>1129</v>
      </c>
      <c r="F5" s="3660"/>
      <c r="G5" s="3652" t="s">
        <v>1132</v>
      </c>
      <c r="H5" s="3653"/>
      <c r="I5" s="3652" t="s">
        <v>1130</v>
      </c>
      <c r="J5" s="3653"/>
      <c r="K5" s="951"/>
      <c r="L5" s="2347"/>
      <c r="M5" s="2348"/>
      <c r="N5" s="2348"/>
      <c r="O5" s="2348"/>
      <c r="P5" s="3695"/>
      <c r="Q5" s="3696"/>
      <c r="R5" s="3701"/>
      <c r="S5" s="3702"/>
      <c r="T5" s="3701"/>
      <c r="U5" s="3702"/>
      <c r="V5" s="3705"/>
      <c r="W5" s="3705"/>
      <c r="X5" s="1316"/>
      <c r="Y5" s="3701"/>
      <c r="Z5" s="3702"/>
      <c r="AA5" s="3687"/>
      <c r="AB5" s="3687"/>
      <c r="AC5" s="3687"/>
    </row>
    <row r="6" spans="1:29" ht="15.75" thickBot="1">
      <c r="A6" s="749"/>
      <c r="B6" s="750"/>
      <c r="C6" s="3723" t="s">
        <v>1131</v>
      </c>
      <c r="D6" s="3724"/>
      <c r="E6" s="3725" t="s">
        <v>1131</v>
      </c>
      <c r="F6" s="3726"/>
      <c r="G6" s="3723" t="s">
        <v>1131</v>
      </c>
      <c r="H6" s="3724"/>
      <c r="I6" s="3723" t="s">
        <v>1131</v>
      </c>
      <c r="J6" s="3724"/>
      <c r="K6" s="951" t="s">
        <v>397</v>
      </c>
      <c r="L6" s="2347"/>
      <c r="M6" s="2348"/>
      <c r="N6" s="2348"/>
      <c r="O6" s="2348"/>
      <c r="P6" s="3697"/>
      <c r="Q6" s="3698"/>
      <c r="R6" s="3701"/>
      <c r="S6" s="3702"/>
      <c r="T6" s="3703"/>
      <c r="U6" s="3704"/>
      <c r="V6" s="3705"/>
      <c r="W6" s="3705"/>
      <c r="X6" s="1316"/>
      <c r="Y6" s="3703"/>
      <c r="Z6" s="3704"/>
      <c r="AA6" s="3688"/>
      <c r="AB6" s="3688"/>
      <c r="AC6" s="3688"/>
    </row>
    <row r="7" spans="1:29" s="407" customFormat="1" ht="15.75" thickBot="1">
      <c r="A7" s="751" t="s">
        <v>398</v>
      </c>
      <c r="B7" s="752"/>
      <c r="C7" s="753">
        <f>'数据-取费表'!B2</f>
        <v>42962</v>
      </c>
      <c r="D7" s="754">
        <v>100</v>
      </c>
      <c r="E7" s="1015"/>
      <c r="F7" s="756">
        <f>SUMIF(65:65,YEAR(E7)&amp;"-"&amp;INT((MONTH(E7)+2)/3),66:66)</f>
        <v>0</v>
      </c>
      <c r="G7" s="1016"/>
      <c r="H7" s="754">
        <f>SUMIF(65:65,YEAR(G7)&amp;"-"&amp;INT((MONTH(G7)+2)/3),66:66)</f>
        <v>0</v>
      </c>
      <c r="I7" s="1016"/>
      <c r="J7" s="754">
        <f>SUMIF(65:65,YEAR(I7)&amp;"-"&amp;INT((MONTH(I7)+2)/3),66:66)</f>
        <v>0</v>
      </c>
      <c r="K7" s="952"/>
      <c r="L7" s="2349"/>
      <c r="M7" s="2350"/>
      <c r="N7" s="2350"/>
      <c r="O7" s="2350"/>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29" s="407" customFormat="1" ht="15.75" thickBot="1">
      <c r="A8" s="751" t="s">
        <v>400</v>
      </c>
      <c r="B8" s="752"/>
      <c r="C8" s="1018" t="s">
        <v>155</v>
      </c>
      <c r="D8" s="754">
        <v>100</v>
      </c>
      <c r="E8" s="1018"/>
      <c r="F8" s="756">
        <f>SUMIF(68:68,E8,69:69)-SUMIF(68:68,C8,69:69)+100</f>
        <v>0</v>
      </c>
      <c r="G8" s="1018"/>
      <c r="H8" s="754">
        <f>SUMIF(68:68,G8,69:69)-SUMIF(68:68,C8,69:69)+100</f>
        <v>0</v>
      </c>
      <c r="I8" s="1018"/>
      <c r="J8" s="754">
        <f>SUMIF(68:68,I8,69:69)-SUMIF(68:68,C8,69:69)+100</f>
        <v>0</v>
      </c>
      <c r="K8" s="952"/>
      <c r="L8" s="2349"/>
      <c r="M8" s="2350"/>
      <c r="N8" s="2350"/>
      <c r="O8" s="2350"/>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0" si="3">D8/F8</f>
        <v>#DIV/0!</v>
      </c>
      <c r="AB8" s="1320" t="e">
        <f t="shared" ref="AB8:AB40" si="4">D8/H8</f>
        <v>#DIV/0!</v>
      </c>
      <c r="AC8" s="1320" t="e">
        <f t="shared" ref="AC8:AC40" si="5">D8/J8</f>
        <v>#DIV/0!</v>
      </c>
    </row>
    <row r="9" spans="1:29" s="407" customFormat="1">
      <c r="A9" s="758" t="s">
        <v>401</v>
      </c>
      <c r="B9" s="361" t="s">
        <v>419</v>
      </c>
      <c r="C9" s="1020"/>
      <c r="D9" s="425">
        <v>100</v>
      </c>
      <c r="E9" s="1020"/>
      <c r="F9" s="425">
        <f>SUMIF(70:70,E9,71:71)-SUMIF(70:70,C9,71:71)+100</f>
        <v>100</v>
      </c>
      <c r="G9" s="1020"/>
      <c r="H9" s="425">
        <f>SUMIF(70:70,G9,71:71)-SUMIF(70:70,C9,71:71)+100</f>
        <v>100</v>
      </c>
      <c r="I9" s="1020"/>
      <c r="J9" s="425">
        <f>SUMIF(70:70,I9,71:71)-SUMIF(70:70,C9,71:71)+100</f>
        <v>100</v>
      </c>
      <c r="K9" s="952"/>
      <c r="L9" s="2349"/>
      <c r="M9" s="2350"/>
      <c r="N9" s="2350"/>
      <c r="O9" s="2351"/>
      <c r="P9" s="3677" t="s">
        <v>402</v>
      </c>
      <c r="Q9" s="296" t="str">
        <f t="shared" ref="Q9:Q15" si="6">B9</f>
        <v>用途</v>
      </c>
      <c r="R9" s="1317" t="s">
        <v>65</v>
      </c>
      <c r="S9" s="1318">
        <f t="shared" si="0"/>
        <v>100</v>
      </c>
      <c r="T9" s="1317" t="s">
        <v>65</v>
      </c>
      <c r="U9" s="1318">
        <f t="shared" si="1"/>
        <v>100</v>
      </c>
      <c r="V9" s="1317" t="s">
        <v>65</v>
      </c>
      <c r="W9" s="1318">
        <f t="shared" si="2"/>
        <v>100</v>
      </c>
      <c r="X9" s="1319"/>
      <c r="Y9" s="3461" t="s">
        <v>403</v>
      </c>
      <c r="Z9" s="344" t="str">
        <f t="shared" ref="Z9:Z15" si="7">Q9</f>
        <v>用途</v>
      </c>
      <c r="AA9" s="1320">
        <f t="shared" si="3"/>
        <v>1</v>
      </c>
      <c r="AB9" s="1320">
        <f t="shared" si="4"/>
        <v>1</v>
      </c>
      <c r="AC9" s="1320">
        <f t="shared" si="5"/>
        <v>1</v>
      </c>
    </row>
    <row r="10" spans="1:29" s="768" customFormat="1" ht="27">
      <c r="A10" s="762"/>
      <c r="B10" s="763" t="s">
        <v>404</v>
      </c>
      <c r="C10" s="1022"/>
      <c r="D10" s="426">
        <v>100</v>
      </c>
      <c r="E10" s="1022"/>
      <c r="F10" s="426">
        <f>ROUND(100/'数据-取费表'!G16,0)</f>
        <v>105</v>
      </c>
      <c r="G10" s="1022"/>
      <c r="H10" s="426">
        <f>ROUND(100/'数据-取费表'!G16,0)</f>
        <v>105</v>
      </c>
      <c r="I10" s="1022"/>
      <c r="J10" s="426">
        <f>ROUND(100/'数据-取费表'!G16,0)</f>
        <v>105</v>
      </c>
      <c r="K10" s="1079"/>
      <c r="L10" s="2352"/>
      <c r="M10" s="2353"/>
      <c r="N10" s="2353"/>
      <c r="O10" s="2354"/>
      <c r="P10" s="3677"/>
      <c r="Q10" s="296" t="str">
        <f t="shared" si="6"/>
        <v>土地使用年限（年）</v>
      </c>
      <c r="R10" s="1317" t="s">
        <v>65</v>
      </c>
      <c r="S10" s="1318">
        <f t="shared" si="0"/>
        <v>105</v>
      </c>
      <c r="T10" s="1317" t="s">
        <v>65</v>
      </c>
      <c r="U10" s="1318">
        <f t="shared" si="1"/>
        <v>105</v>
      </c>
      <c r="V10" s="1317" t="s">
        <v>65</v>
      </c>
      <c r="W10" s="1318">
        <f t="shared" si="2"/>
        <v>105</v>
      </c>
      <c r="X10" s="1319"/>
      <c r="Y10" s="3461"/>
      <c r="Z10" s="344" t="str">
        <f t="shared" si="7"/>
        <v>土地使用年限（年）</v>
      </c>
      <c r="AA10" s="1320">
        <f t="shared" si="3"/>
        <v>0.95238095238095233</v>
      </c>
      <c r="AB10" s="1320">
        <f t="shared" si="4"/>
        <v>0.95238095238095233</v>
      </c>
      <c r="AC10" s="1320">
        <f t="shared" si="5"/>
        <v>0.95238095238095233</v>
      </c>
    </row>
    <row r="11" spans="1:29" ht="15">
      <c r="A11" s="769"/>
      <c r="B11" s="763" t="s">
        <v>405</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5"/>
      <c r="M11" s="2348"/>
      <c r="N11" s="2348"/>
      <c r="O11" s="2356"/>
      <c r="P11" s="3677"/>
      <c r="Q11" s="296" t="str">
        <f t="shared" si="6"/>
        <v>容积率</v>
      </c>
      <c r="R11" s="1317" t="s">
        <v>65</v>
      </c>
      <c r="S11" s="1318" t="e">
        <f t="shared" si="0"/>
        <v>#N/A</v>
      </c>
      <c r="T11" s="1317" t="s">
        <v>65</v>
      </c>
      <c r="U11" s="1318" t="e">
        <f t="shared" si="1"/>
        <v>#N/A</v>
      </c>
      <c r="V11" s="1317" t="s">
        <v>65</v>
      </c>
      <c r="W11" s="1318" t="e">
        <f t="shared" si="2"/>
        <v>#N/A</v>
      </c>
      <c r="X11" s="1319"/>
      <c r="Y11" s="3461"/>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9"/>
      <c r="M12" s="2350"/>
      <c r="N12" s="2350"/>
      <c r="O12" s="2351"/>
      <c r="P12" s="3677"/>
      <c r="Q12" s="296">
        <f t="shared" si="6"/>
        <v>111</v>
      </c>
      <c r="R12" s="1317" t="s">
        <v>65</v>
      </c>
      <c r="S12" s="1318">
        <f t="shared" si="0"/>
        <v>100</v>
      </c>
      <c r="T12" s="1317" t="s">
        <v>65</v>
      </c>
      <c r="U12" s="1318">
        <f t="shared" si="1"/>
        <v>100</v>
      </c>
      <c r="V12" s="1317" t="s">
        <v>65</v>
      </c>
      <c r="W12" s="1318">
        <f t="shared" si="2"/>
        <v>100</v>
      </c>
      <c r="X12" s="1319"/>
      <c r="Y12" s="3461"/>
      <c r="Z12" s="344">
        <f t="shared" si="7"/>
        <v>111</v>
      </c>
      <c r="AA12" s="1320">
        <f>D12/F12</f>
        <v>1</v>
      </c>
      <c r="AB12" s="1320">
        <f>D12/H12</f>
        <v>1</v>
      </c>
      <c r="AC12" s="1320">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7"/>
      <c r="M13" s="2348"/>
      <c r="N13" s="2348"/>
      <c r="O13" s="2356"/>
      <c r="P13" s="3677"/>
      <c r="Q13" s="296">
        <f t="shared" si="6"/>
        <v>111</v>
      </c>
      <c r="R13" s="1317" t="s">
        <v>65</v>
      </c>
      <c r="S13" s="1318">
        <f t="shared" si="0"/>
        <v>100</v>
      </c>
      <c r="T13" s="1317" t="s">
        <v>65</v>
      </c>
      <c r="U13" s="1318">
        <f t="shared" si="1"/>
        <v>100</v>
      </c>
      <c r="V13" s="1317" t="s">
        <v>65</v>
      </c>
      <c r="W13" s="1318">
        <f t="shared" si="2"/>
        <v>100</v>
      </c>
      <c r="X13" s="1319"/>
      <c r="Y13" s="3461"/>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77"/>
      <c r="Q14" s="296">
        <f t="shared" si="6"/>
        <v>111</v>
      </c>
      <c r="R14" s="1317" t="s">
        <v>65</v>
      </c>
      <c r="S14" s="1318">
        <f t="shared" si="0"/>
        <v>100</v>
      </c>
      <c r="T14" s="1317" t="s">
        <v>65</v>
      </c>
      <c r="U14" s="1318">
        <f t="shared" si="1"/>
        <v>100</v>
      </c>
      <c r="V14" s="1317" t="s">
        <v>65</v>
      </c>
      <c r="W14" s="1318">
        <f t="shared" si="2"/>
        <v>100</v>
      </c>
      <c r="X14" s="1319"/>
      <c r="Y14" s="3461"/>
      <c r="Z14" s="344">
        <f t="shared" si="7"/>
        <v>111</v>
      </c>
      <c r="AA14" s="1320">
        <f t="shared" si="3"/>
        <v>1</v>
      </c>
      <c r="AB14" s="1320">
        <f t="shared" si="4"/>
        <v>1</v>
      </c>
      <c r="AC14" s="1320">
        <f t="shared" si="5"/>
        <v>1</v>
      </c>
    </row>
    <row r="15" spans="1:29" ht="67.5">
      <c r="A15" s="781" t="s">
        <v>406</v>
      </c>
      <c r="B15" s="970" t="s">
        <v>518</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82" t="s">
        <v>407</v>
      </c>
      <c r="Q15" s="1321" t="str">
        <f t="shared" si="6"/>
        <v>产业集聚程度</v>
      </c>
      <c r="R15" s="1322" t="s">
        <v>65</v>
      </c>
      <c r="S15" s="1323">
        <f t="shared" si="0"/>
        <v>100</v>
      </c>
      <c r="T15" s="1322" t="s">
        <v>65</v>
      </c>
      <c r="U15" s="1323">
        <f t="shared" si="1"/>
        <v>100</v>
      </c>
      <c r="V15" s="1322" t="s">
        <v>65</v>
      </c>
      <c r="W15" s="1323">
        <f t="shared" si="2"/>
        <v>100</v>
      </c>
      <c r="X15" s="1316"/>
      <c r="Y15" s="3682" t="s">
        <v>407</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683"/>
      <c r="Q16" s="1321"/>
      <c r="R16" s="1322"/>
      <c r="S16" s="1323"/>
      <c r="T16" s="1322"/>
      <c r="U16" s="1323"/>
      <c r="V16" s="1322"/>
      <c r="W16" s="1323"/>
      <c r="X16" s="1316"/>
      <c r="Y16" s="3683"/>
      <c r="Z16" s="1324"/>
      <c r="AA16" s="1325">
        <v>1</v>
      </c>
      <c r="AB16" s="1325">
        <v>1</v>
      </c>
      <c r="AC16" s="1325">
        <v>1</v>
      </c>
    </row>
    <row r="17" spans="1:29" ht="94.5">
      <c r="A17" s="769"/>
      <c r="B17" s="972" t="s">
        <v>456</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83"/>
      <c r="Q17" s="1321" t="str">
        <f>B17</f>
        <v>交通便捷度</v>
      </c>
      <c r="R17" s="1322" t="s">
        <v>65</v>
      </c>
      <c r="S17" s="1323">
        <f>F17</f>
        <v>100</v>
      </c>
      <c r="T17" s="1322" t="s">
        <v>65</v>
      </c>
      <c r="U17" s="1323">
        <f>H17</f>
        <v>100</v>
      </c>
      <c r="V17" s="1322" t="s">
        <v>65</v>
      </c>
      <c r="W17" s="1323">
        <f>J17</f>
        <v>100</v>
      </c>
      <c r="X17" s="1316"/>
      <c r="Y17" s="3683"/>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683"/>
      <c r="Q18" s="1321"/>
      <c r="R18" s="1322"/>
      <c r="S18" s="1323"/>
      <c r="T18" s="1322"/>
      <c r="U18" s="1323"/>
      <c r="V18" s="1322"/>
      <c r="W18" s="1323"/>
      <c r="X18" s="1316"/>
      <c r="Y18" s="3683"/>
      <c r="Z18" s="1324"/>
      <c r="AA18" s="1325">
        <v>1</v>
      </c>
      <c r="AB18" s="1325">
        <v>1</v>
      </c>
      <c r="AC18" s="1325">
        <v>1</v>
      </c>
    </row>
    <row r="19" spans="1:29" ht="27">
      <c r="A19" s="769"/>
      <c r="B19" s="972" t="s">
        <v>1850</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83"/>
      <c r="Q19" s="1321" t="str">
        <f t="shared" ref="Q19:Q33" si="8">B19</f>
        <v>区域土地利用方向</v>
      </c>
      <c r="R19" s="1322" t="s">
        <v>65</v>
      </c>
      <c r="S19" s="1323">
        <f>F19</f>
        <v>100</v>
      </c>
      <c r="T19" s="1322" t="s">
        <v>65</v>
      </c>
      <c r="U19" s="1323">
        <f>H19</f>
        <v>100</v>
      </c>
      <c r="V19" s="1322" t="s">
        <v>65</v>
      </c>
      <c r="W19" s="1323">
        <f>J19</f>
        <v>100</v>
      </c>
      <c r="X19" s="1316"/>
      <c r="Y19" s="3683"/>
      <c r="Z19" s="1324" t="str">
        <f>Q19</f>
        <v>区域土地利用方向</v>
      </c>
      <c r="AA19" s="1325">
        <f t="shared" si="3"/>
        <v>1</v>
      </c>
      <c r="AB19" s="1325">
        <f t="shared" si="4"/>
        <v>1</v>
      </c>
      <c r="AC19" s="1325">
        <f t="shared" si="5"/>
        <v>1</v>
      </c>
    </row>
    <row r="20" spans="1:29" ht="15">
      <c r="A20" s="747"/>
      <c r="B20" s="973"/>
      <c r="C20" s="97"/>
      <c r="D20" s="789"/>
      <c r="E20" s="98"/>
      <c r="F20" s="789"/>
      <c r="G20" s="98"/>
      <c r="H20" s="789"/>
      <c r="I20" s="98"/>
      <c r="J20" s="789"/>
      <c r="K20" s="1484"/>
      <c r="L20" s="2357"/>
      <c r="M20" s="2348"/>
      <c r="N20" s="2348"/>
      <c r="O20" s="2356"/>
      <c r="P20" s="3683"/>
      <c r="Q20" s="1468"/>
      <c r="R20" s="1322"/>
      <c r="S20" s="1323"/>
      <c r="T20" s="1322"/>
      <c r="U20" s="1323"/>
      <c r="V20" s="1322"/>
      <c r="W20" s="1323"/>
      <c r="X20" s="1467"/>
      <c r="Y20" s="3683"/>
      <c r="Z20" s="1469"/>
      <c r="AA20" s="1325"/>
      <c r="AB20" s="1325"/>
      <c r="AC20" s="1325"/>
    </row>
    <row r="21" spans="1:29" ht="81">
      <c r="A21" s="747"/>
      <c r="B21" s="972" t="s">
        <v>519</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83"/>
      <c r="Q21" s="1321" t="str">
        <f t="shared" si="8"/>
        <v>环境状况</v>
      </c>
      <c r="R21" s="1322" t="s">
        <v>65</v>
      </c>
      <c r="S21" s="1323">
        <f>F21</f>
        <v>100</v>
      </c>
      <c r="T21" s="1322" t="s">
        <v>65</v>
      </c>
      <c r="U21" s="1323">
        <f>H21</f>
        <v>100</v>
      </c>
      <c r="V21" s="1322" t="s">
        <v>65</v>
      </c>
      <c r="W21" s="1323">
        <f>J21</f>
        <v>100</v>
      </c>
      <c r="X21" s="1316"/>
      <c r="Y21" s="3683"/>
      <c r="Z21" s="1324" t="str">
        <f>Q21</f>
        <v>环境状况</v>
      </c>
      <c r="AA21" s="1325">
        <f t="shared" si="3"/>
        <v>1</v>
      </c>
      <c r="AB21" s="1325">
        <f t="shared" si="4"/>
        <v>1</v>
      </c>
      <c r="AC21" s="1325">
        <f t="shared" si="5"/>
        <v>1</v>
      </c>
    </row>
    <row r="22" spans="1:29" ht="15">
      <c r="A22" s="747"/>
      <c r="B22" s="973"/>
      <c r="C22" s="97"/>
      <c r="D22" s="789"/>
      <c r="E22" s="192"/>
      <c r="F22" s="789"/>
      <c r="G22" s="192"/>
      <c r="H22" s="789"/>
      <c r="I22" s="97"/>
      <c r="J22" s="789"/>
      <c r="K22" s="1079"/>
      <c r="L22" s="2357"/>
      <c r="M22" s="2348"/>
      <c r="N22" s="2348"/>
      <c r="O22" s="2356"/>
      <c r="P22" s="3683"/>
      <c r="Q22" s="1321"/>
      <c r="R22" s="1322"/>
      <c r="S22" s="1323"/>
      <c r="T22" s="1322"/>
      <c r="U22" s="1323"/>
      <c r="V22" s="1322"/>
      <c r="W22" s="1323"/>
      <c r="X22" s="1316"/>
      <c r="Y22" s="3683"/>
      <c r="Z22" s="1324"/>
      <c r="AA22" s="1325">
        <v>1</v>
      </c>
      <c r="AB22" s="1325">
        <v>1</v>
      </c>
      <c r="AC22" s="1325">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83"/>
      <c r="Q23" s="296" t="str">
        <f t="shared" si="8"/>
        <v>公共配套设施</v>
      </c>
      <c r="R23" s="1317" t="s">
        <v>65</v>
      </c>
      <c r="S23" s="1318">
        <f>F23</f>
        <v>100</v>
      </c>
      <c r="T23" s="1317" t="s">
        <v>65</v>
      </c>
      <c r="U23" s="1318">
        <f>H23</f>
        <v>100</v>
      </c>
      <c r="V23" s="1317" t="s">
        <v>65</v>
      </c>
      <c r="W23" s="1318">
        <f>J23</f>
        <v>100</v>
      </c>
      <c r="X23" s="1319"/>
      <c r="Y23" s="3683"/>
      <c r="Z23" s="344" t="str">
        <f>Q23</f>
        <v>公共配套设施</v>
      </c>
      <c r="AA23" s="1325">
        <f>D23/F23</f>
        <v>1</v>
      </c>
      <c r="AB23" s="1325">
        <f>D23/H23</f>
        <v>1</v>
      </c>
      <c r="AC23" s="1325">
        <f>D23/J23</f>
        <v>1</v>
      </c>
    </row>
    <row r="24" spans="1:29" s="407" customFormat="1" ht="15">
      <c r="A24" s="990"/>
      <c r="B24" s="973"/>
      <c r="C24" s="2774"/>
      <c r="D24" s="789"/>
      <c r="E24" s="192"/>
      <c r="F24" s="789"/>
      <c r="G24" s="192"/>
      <c r="H24" s="789"/>
      <c r="I24" s="97"/>
      <c r="J24" s="789"/>
      <c r="K24" s="1079"/>
      <c r="L24" s="2349"/>
      <c r="M24" s="2350"/>
      <c r="N24" s="2350"/>
      <c r="O24" s="2351"/>
      <c r="P24" s="3683"/>
      <c r="Q24" s="296"/>
      <c r="R24" s="1317"/>
      <c r="S24" s="1318"/>
      <c r="T24" s="1317"/>
      <c r="U24" s="1318"/>
      <c r="V24" s="1317"/>
      <c r="W24" s="1318"/>
      <c r="X24" s="1319"/>
      <c r="Y24" s="3683"/>
      <c r="Z24" s="344"/>
      <c r="AA24" s="1320">
        <v>1</v>
      </c>
      <c r="AB24" s="1320">
        <v>1</v>
      </c>
      <c r="AC24" s="1320">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83"/>
      <c r="Q25" s="2743" t="str">
        <f t="shared" ref="Q25" si="9">B25</f>
        <v>基础设施水平</v>
      </c>
      <c r="R25" s="1317" t="s">
        <v>65</v>
      </c>
      <c r="S25" s="1318">
        <f>F25</f>
        <v>100</v>
      </c>
      <c r="T25" s="1317" t="s">
        <v>65</v>
      </c>
      <c r="U25" s="1318">
        <f>H25</f>
        <v>100</v>
      </c>
      <c r="V25" s="1317" t="s">
        <v>65</v>
      </c>
      <c r="W25" s="1318">
        <f>J25</f>
        <v>100</v>
      </c>
      <c r="X25" s="1319"/>
      <c r="Y25" s="3683"/>
      <c r="Z25" s="344" t="str">
        <f>Q25</f>
        <v>基础设施水平</v>
      </c>
      <c r="AA25" s="1325">
        <f>D25/F25</f>
        <v>1</v>
      </c>
      <c r="AB25" s="1325">
        <f>D25/H25</f>
        <v>1</v>
      </c>
      <c r="AC25" s="1325">
        <f>D25/J25</f>
        <v>1</v>
      </c>
    </row>
    <row r="26" spans="1:29" s="407" customFormat="1" ht="15">
      <c r="A26" s="990"/>
      <c r="B26" s="973"/>
      <c r="C26" s="2774"/>
      <c r="D26" s="789"/>
      <c r="E26" s="1035"/>
      <c r="F26" s="789"/>
      <c r="G26" s="1035"/>
      <c r="H26" s="789"/>
      <c r="I26" s="1035"/>
      <c r="J26" s="789"/>
      <c r="K26" s="1079"/>
      <c r="L26" s="2349"/>
      <c r="M26" s="2350"/>
      <c r="N26" s="2350"/>
      <c r="O26" s="2351"/>
      <c r="P26" s="3683"/>
      <c r="Q26" s="2743"/>
      <c r="R26" s="1317"/>
      <c r="S26" s="1318"/>
      <c r="T26" s="1317"/>
      <c r="U26" s="1318"/>
      <c r="V26" s="1317"/>
      <c r="W26" s="1318"/>
      <c r="X26" s="1319"/>
      <c r="Y26" s="3683"/>
      <c r="Z26" s="344"/>
      <c r="AA26" s="1320">
        <v>1</v>
      </c>
      <c r="AB26" s="1320">
        <v>1</v>
      </c>
      <c r="AC26" s="1320">
        <v>1</v>
      </c>
    </row>
    <row r="27" spans="1:29" ht="15">
      <c r="A27" s="769"/>
      <c r="B27" s="973" t="s">
        <v>437</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683"/>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83"/>
      <c r="Z27" s="1324" t="str">
        <f t="shared" ref="Z27:Z40" si="13">Q27</f>
        <v>临街状况</v>
      </c>
      <c r="AA27" s="1325">
        <f t="shared" si="3"/>
        <v>1</v>
      </c>
      <c r="AB27" s="1325">
        <f t="shared" si="4"/>
        <v>1</v>
      </c>
      <c r="AC27" s="1325">
        <f t="shared" si="5"/>
        <v>1</v>
      </c>
    </row>
    <row r="28" spans="1:29" ht="27">
      <c r="A28" s="769"/>
      <c r="B28" s="974" t="s">
        <v>442</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83"/>
      <c r="Q28" s="1321" t="str">
        <f t="shared" si="8"/>
        <v>毗邻道路的类型与等级</v>
      </c>
      <c r="R28" s="1322" t="s">
        <v>65</v>
      </c>
      <c r="S28" s="1323">
        <f t="shared" si="10"/>
        <v>100</v>
      </c>
      <c r="T28" s="1322" t="s">
        <v>65</v>
      </c>
      <c r="U28" s="1323">
        <f t="shared" si="11"/>
        <v>100</v>
      </c>
      <c r="V28" s="1322" t="s">
        <v>65</v>
      </c>
      <c r="W28" s="1323">
        <f t="shared" si="12"/>
        <v>100</v>
      </c>
      <c r="X28" s="1316"/>
      <c r="Y28" s="3683"/>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683"/>
      <c r="Q29" s="1321"/>
      <c r="R29" s="1322"/>
      <c r="S29" s="1323"/>
      <c r="T29" s="1322"/>
      <c r="U29" s="1323"/>
      <c r="V29" s="1322"/>
      <c r="W29" s="1323"/>
      <c r="X29" s="1316"/>
      <c r="Y29" s="3683"/>
      <c r="Z29" s="1324"/>
      <c r="AA29" s="1325">
        <v>1</v>
      </c>
      <c r="AB29" s="1325">
        <v>1</v>
      </c>
      <c r="AC29" s="1325">
        <v>1</v>
      </c>
    </row>
    <row r="30" spans="1:29" ht="15">
      <c r="A30" s="769"/>
      <c r="B30" s="995" t="s">
        <v>485</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83"/>
      <c r="Q30" s="1321" t="str">
        <f t="shared" si="8"/>
        <v>土地级别</v>
      </c>
      <c r="R30" s="1322" t="s">
        <v>65</v>
      </c>
      <c r="S30" s="1323">
        <f t="shared" si="10"/>
        <v>100</v>
      </c>
      <c r="T30" s="1322" t="s">
        <v>65</v>
      </c>
      <c r="U30" s="1323">
        <f t="shared" si="11"/>
        <v>100</v>
      </c>
      <c r="V30" s="1322" t="s">
        <v>65</v>
      </c>
      <c r="W30" s="1323">
        <f t="shared" si="12"/>
        <v>100</v>
      </c>
      <c r="X30" s="1316"/>
      <c r="Y30" s="3683"/>
      <c r="Z30" s="1324" t="str">
        <f t="shared" si="13"/>
        <v>土地级别</v>
      </c>
      <c r="AA30" s="1325">
        <f t="shared" si="3"/>
        <v>1</v>
      </c>
      <c r="AB30" s="1325">
        <f t="shared" si="4"/>
        <v>1</v>
      </c>
      <c r="AC30" s="1325">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683"/>
      <c r="Q31" s="1321">
        <f t="shared" si="8"/>
        <v>111</v>
      </c>
      <c r="R31" s="1322" t="s">
        <v>65</v>
      </c>
      <c r="S31" s="1323">
        <f t="shared" si="10"/>
        <v>100</v>
      </c>
      <c r="T31" s="1322" t="s">
        <v>65</v>
      </c>
      <c r="U31" s="1323">
        <f t="shared" si="11"/>
        <v>100</v>
      </c>
      <c r="V31" s="1322" t="s">
        <v>65</v>
      </c>
      <c r="W31" s="1323">
        <f t="shared" si="12"/>
        <v>100</v>
      </c>
      <c r="X31" s="1316"/>
      <c r="Y31" s="3683"/>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684" t="s">
        <v>409</v>
      </c>
      <c r="Q32" s="1321">
        <f t="shared" si="8"/>
        <v>111</v>
      </c>
      <c r="R32" s="1322" t="s">
        <v>65</v>
      </c>
      <c r="S32" s="1323">
        <f t="shared" si="10"/>
        <v>100</v>
      </c>
      <c r="T32" s="1322" t="s">
        <v>65</v>
      </c>
      <c r="U32" s="1323">
        <f t="shared" si="11"/>
        <v>100</v>
      </c>
      <c r="V32" s="1322" t="s">
        <v>65</v>
      </c>
      <c r="W32" s="1323">
        <f t="shared" si="12"/>
        <v>100</v>
      </c>
      <c r="X32" s="1316"/>
      <c r="Y32" s="3685" t="s">
        <v>409</v>
      </c>
      <c r="Z32" s="1324">
        <f t="shared" si="13"/>
        <v>111</v>
      </c>
      <c r="AA32" s="1325">
        <f t="shared" si="3"/>
        <v>1</v>
      </c>
      <c r="AB32" s="1325">
        <f t="shared" si="4"/>
        <v>1</v>
      </c>
      <c r="AC32" s="1325">
        <f t="shared" si="5"/>
        <v>1</v>
      </c>
    </row>
    <row r="33" spans="1:29" s="812" customFormat="1" ht="15.75" thickBot="1">
      <c r="A33" s="1083"/>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685"/>
      <c r="Q33" s="1321">
        <f t="shared" si="8"/>
        <v>111</v>
      </c>
      <c r="R33" s="1327" t="s">
        <v>65</v>
      </c>
      <c r="S33" s="1328">
        <f t="shared" si="10"/>
        <v>100</v>
      </c>
      <c r="T33" s="1327" t="s">
        <v>65</v>
      </c>
      <c r="U33" s="1328">
        <f t="shared" si="11"/>
        <v>100</v>
      </c>
      <c r="V33" s="1327" t="s">
        <v>65</v>
      </c>
      <c r="W33" s="1328">
        <f t="shared" si="12"/>
        <v>100</v>
      </c>
      <c r="X33" s="1329"/>
      <c r="Y33" s="3685"/>
      <c r="Z33" s="1330">
        <f t="shared" si="13"/>
        <v>111</v>
      </c>
      <c r="AA33" s="1325">
        <f t="shared" si="3"/>
        <v>1</v>
      </c>
      <c r="AB33" s="1325">
        <f t="shared" si="4"/>
        <v>1</v>
      </c>
      <c r="AC33" s="1325">
        <f t="shared" si="5"/>
        <v>1</v>
      </c>
    </row>
    <row r="34" spans="1:29" ht="15">
      <c r="A34" s="781" t="s">
        <v>2799</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85"/>
      <c r="Q34" s="1321" t="str">
        <f>B34</f>
        <v>宗地面积</v>
      </c>
      <c r="R34" s="1322" t="s">
        <v>65</v>
      </c>
      <c r="S34" s="1323" t="e">
        <f t="shared" si="10"/>
        <v>#N/A</v>
      </c>
      <c r="T34" s="1322" t="s">
        <v>65</v>
      </c>
      <c r="U34" s="1323" t="e">
        <f t="shared" si="11"/>
        <v>#N/A</v>
      </c>
      <c r="V34" s="1322" t="s">
        <v>65</v>
      </c>
      <c r="W34" s="1323" t="e">
        <f t="shared" si="12"/>
        <v>#N/A</v>
      </c>
      <c r="X34" s="1316"/>
      <c r="Y34" s="3685"/>
      <c r="Z34" s="1324" t="str">
        <f t="shared" si="13"/>
        <v>宗地面积</v>
      </c>
      <c r="AA34" s="1325" t="e">
        <f t="shared" si="3"/>
        <v>#N/A</v>
      </c>
      <c r="AB34" s="1325" t="e">
        <f t="shared" si="4"/>
        <v>#N/A</v>
      </c>
      <c r="AC34" s="1325"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85"/>
      <c r="Q35" s="1321" t="str">
        <f t="shared" ref="Q35:Q40" si="14">B35</f>
        <v>宗地形状</v>
      </c>
      <c r="R35" s="1322" t="s">
        <v>65</v>
      </c>
      <c r="S35" s="1323">
        <f t="shared" si="10"/>
        <v>100</v>
      </c>
      <c r="T35" s="1322" t="s">
        <v>65</v>
      </c>
      <c r="U35" s="1323">
        <f t="shared" si="11"/>
        <v>100</v>
      </c>
      <c r="V35" s="1322" t="s">
        <v>65</v>
      </c>
      <c r="W35" s="1323">
        <f t="shared" si="12"/>
        <v>100</v>
      </c>
      <c r="X35" s="1316"/>
      <c r="Y35" s="3685"/>
      <c r="Z35" s="1324" t="str">
        <f t="shared" si="13"/>
        <v>宗地形状</v>
      </c>
      <c r="AA35" s="1325">
        <f t="shared" si="3"/>
        <v>1</v>
      </c>
      <c r="AB35" s="1325">
        <f t="shared" si="4"/>
        <v>1</v>
      </c>
      <c r="AC35" s="1325">
        <f t="shared" si="5"/>
        <v>1</v>
      </c>
    </row>
    <row r="36" spans="1:29" s="407" customFormat="1" ht="15">
      <c r="A36" s="814"/>
      <c r="B36" s="2609"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85"/>
      <c r="Q36" s="1321" t="str">
        <f t="shared" si="14"/>
        <v>宗地开发程度</v>
      </c>
      <c r="R36" s="1317" t="s">
        <v>65</v>
      </c>
      <c r="S36" s="1318">
        <f t="shared" si="10"/>
        <v>100</v>
      </c>
      <c r="T36" s="1317" t="s">
        <v>65</v>
      </c>
      <c r="U36" s="1318">
        <f t="shared" si="11"/>
        <v>100</v>
      </c>
      <c r="V36" s="1317" t="s">
        <v>65</v>
      </c>
      <c r="W36" s="1318">
        <f t="shared" si="12"/>
        <v>100</v>
      </c>
      <c r="X36" s="1319"/>
      <c r="Y36" s="3685"/>
      <c r="Z36" s="344" t="str">
        <f t="shared" si="13"/>
        <v>宗地开发程度</v>
      </c>
      <c r="AA36" s="1320">
        <f t="shared" si="3"/>
        <v>1</v>
      </c>
      <c r="AB36" s="1320">
        <f t="shared" si="4"/>
        <v>1</v>
      </c>
      <c r="AC36" s="1320">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85" t="s">
        <v>520</v>
      </c>
      <c r="Q37" s="1321" t="str">
        <f t="shared" si="14"/>
        <v>工程地质条件</v>
      </c>
      <c r="R37" s="1322" t="s">
        <v>65</v>
      </c>
      <c r="S37" s="1323">
        <f t="shared" si="10"/>
        <v>100</v>
      </c>
      <c r="T37" s="1322" t="s">
        <v>65</v>
      </c>
      <c r="U37" s="1323">
        <f t="shared" si="11"/>
        <v>100</v>
      </c>
      <c r="V37" s="1322" t="s">
        <v>65</v>
      </c>
      <c r="W37" s="1323">
        <f t="shared" si="12"/>
        <v>100</v>
      </c>
      <c r="X37" s="1316"/>
      <c r="Y37" s="3685" t="s">
        <v>520</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685"/>
      <c r="Q38" s="1321">
        <f t="shared" si="14"/>
        <v>111</v>
      </c>
      <c r="R38" s="1322" t="s">
        <v>65</v>
      </c>
      <c r="S38" s="1323">
        <f t="shared" si="10"/>
        <v>100</v>
      </c>
      <c r="T38" s="1322" t="s">
        <v>65</v>
      </c>
      <c r="U38" s="1323">
        <f t="shared" si="11"/>
        <v>100</v>
      </c>
      <c r="V38" s="1322" t="s">
        <v>65</v>
      </c>
      <c r="W38" s="1323">
        <f t="shared" si="12"/>
        <v>100</v>
      </c>
      <c r="X38" s="1316"/>
      <c r="Y38" s="3685"/>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685"/>
      <c r="Q39" s="1321">
        <f t="shared" si="14"/>
        <v>111</v>
      </c>
      <c r="R39" s="1322" t="s">
        <v>65</v>
      </c>
      <c r="S39" s="1323">
        <f t="shared" si="10"/>
        <v>100</v>
      </c>
      <c r="T39" s="1322" t="s">
        <v>65</v>
      </c>
      <c r="U39" s="1323">
        <f t="shared" si="11"/>
        <v>100</v>
      </c>
      <c r="V39" s="1322" t="s">
        <v>65</v>
      </c>
      <c r="W39" s="1323">
        <f t="shared" si="12"/>
        <v>100</v>
      </c>
      <c r="X39" s="1316"/>
      <c r="Y39" s="3685"/>
      <c r="Z39" s="1324">
        <f t="shared" si="13"/>
        <v>111</v>
      </c>
      <c r="AA39" s="1325">
        <f t="shared" si="3"/>
        <v>1</v>
      </c>
      <c r="AB39" s="1325">
        <f t="shared" si="4"/>
        <v>1</v>
      </c>
      <c r="AC39" s="1325">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685"/>
      <c r="Q40" s="1321">
        <f t="shared" si="14"/>
        <v>111</v>
      </c>
      <c r="R40" s="1327" t="s">
        <v>65</v>
      </c>
      <c r="S40" s="1328">
        <f t="shared" si="10"/>
        <v>100</v>
      </c>
      <c r="T40" s="1327" t="s">
        <v>65</v>
      </c>
      <c r="U40" s="1328">
        <f t="shared" si="11"/>
        <v>100</v>
      </c>
      <c r="V40" s="1327" t="s">
        <v>65</v>
      </c>
      <c r="W40" s="1328">
        <f t="shared" si="12"/>
        <v>100</v>
      </c>
      <c r="X40" s="1329"/>
      <c r="Y40" s="3685"/>
      <c r="Z40" s="1330">
        <f t="shared" si="13"/>
        <v>111</v>
      </c>
      <c r="AA40" s="1325">
        <f t="shared" si="3"/>
        <v>1</v>
      </c>
      <c r="AB40" s="1325">
        <f t="shared" si="4"/>
        <v>1</v>
      </c>
      <c r="AC40" s="1325">
        <f t="shared" si="5"/>
        <v>1</v>
      </c>
    </row>
    <row r="41" spans="1:29" ht="15">
      <c r="A41" s="820" t="s">
        <v>490</v>
      </c>
      <c r="B41" s="207" t="s">
        <v>3027</v>
      </c>
      <c r="C41" s="1089" t="s">
        <v>23</v>
      </c>
      <c r="D41" s="822"/>
      <c r="E41" s="823"/>
      <c r="F41" s="824"/>
      <c r="G41" s="825"/>
      <c r="H41" s="826"/>
      <c r="I41" s="823"/>
      <c r="J41" s="826"/>
      <c r="K41" s="1398"/>
      <c r="L41" s="2360"/>
      <c r="M41" s="2348"/>
      <c r="N41" s="2348"/>
      <c r="O41" s="2361"/>
      <c r="P41" s="3677" t="str">
        <f>A41</f>
        <v>成交单价</v>
      </c>
      <c r="Q41" s="3677"/>
      <c r="R41" s="3705">
        <f>E41</f>
        <v>0</v>
      </c>
      <c r="S41" s="3705"/>
      <c r="T41" s="3705">
        <f>G41</f>
        <v>0</v>
      </c>
      <c r="U41" s="3705"/>
      <c r="V41" s="3705">
        <f>I41</f>
        <v>0</v>
      </c>
      <c r="W41" s="3705"/>
      <c r="X41" s="1305"/>
      <c r="Y41" s="1331"/>
      <c r="Z41" s="1305"/>
      <c r="AA41" s="1305"/>
      <c r="AB41" s="1305"/>
      <c r="AC41" s="1305"/>
    </row>
    <row r="42" spans="1:29" ht="15.75" thickBot="1">
      <c r="A42" s="827" t="s">
        <v>411</v>
      </c>
      <c r="B42" s="1090"/>
      <c r="C42" s="831" t="e">
        <f>R43</f>
        <v>#DIV/0!</v>
      </c>
      <c r="D42" s="830"/>
      <c r="E42" s="831" t="e">
        <f>R42</f>
        <v>#DIV/0!</v>
      </c>
      <c r="F42" s="832"/>
      <c r="G42" s="829" t="e">
        <f>T42</f>
        <v>#DIV/0!</v>
      </c>
      <c r="H42" s="830"/>
      <c r="I42" s="831" t="e">
        <f>V42</f>
        <v>#DIV/0!</v>
      </c>
      <c r="J42" s="830"/>
      <c r="K42" s="1399"/>
      <c r="L42" s="2360"/>
      <c r="M42" s="2348"/>
      <c r="N42" s="2348"/>
      <c r="O42" s="2361"/>
      <c r="P42" s="3677" t="str">
        <f>A42</f>
        <v>比较价值（元/平方米）</v>
      </c>
      <c r="Q42" s="3677"/>
      <c r="R42" s="3716" t="e">
        <f>ROUND(PRODUCT(R41,AA7:AA40),0)</f>
        <v>#DIV/0!</v>
      </c>
      <c r="S42" s="3716"/>
      <c r="T42" s="3716" t="e">
        <f>ROUND(PRODUCT(T41,AB7:AB40),0)</f>
        <v>#DIV/0!</v>
      </c>
      <c r="U42" s="3716"/>
      <c r="V42" s="3716" t="e">
        <f>ROUND(PRODUCT(V41,AC7:AC40),0)</f>
        <v>#DIV/0!</v>
      </c>
      <c r="W42" s="3716"/>
      <c r="X42" s="1305"/>
      <c r="Y42" s="1305"/>
      <c r="Z42" s="1305"/>
      <c r="AA42" s="1305"/>
      <c r="AB42" s="1305"/>
      <c r="AC42" s="1305"/>
    </row>
    <row r="43" spans="1:29" ht="15.75" thickBot="1">
      <c r="A43" s="115" t="s">
        <v>3023</v>
      </c>
      <c r="B43" s="834"/>
      <c r="C43" s="835" t="e">
        <f>R43</f>
        <v>#DIV/0!</v>
      </c>
      <c r="D43" s="835"/>
      <c r="E43" s="835"/>
      <c r="F43" s="835"/>
      <c r="G43" s="835"/>
      <c r="H43" s="835"/>
      <c r="I43" s="835"/>
      <c r="J43" s="835"/>
      <c r="K43" s="1400"/>
      <c r="L43" s="2360"/>
      <c r="M43" s="2348"/>
      <c r="N43" s="2348"/>
      <c r="O43" s="2361"/>
      <c r="P43" s="3679" t="str">
        <f>A43</f>
        <v>估价对象XX用房的比较价值（楼面单价，元/平方米）</v>
      </c>
      <c r="Q43" s="3680"/>
      <c r="R43" s="3717" t="e">
        <f>ROUND(AVERAGE(R42:V42),0)</f>
        <v>#DIV/0!</v>
      </c>
      <c r="S43" s="3717"/>
      <c r="T43" s="3717"/>
      <c r="U43" s="3717"/>
      <c r="V43" s="3717"/>
      <c r="W43" s="3717"/>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491</v>
      </c>
      <c r="B50" s="1092" t="s">
        <v>492</v>
      </c>
      <c r="C50" s="1775" t="s">
        <v>1889</v>
      </c>
      <c r="D50" s="2392" t="s">
        <v>2329</v>
      </c>
      <c r="E50" s="1093" t="s">
        <v>493</v>
      </c>
      <c r="F50" s="1094" t="s">
        <v>494</v>
      </c>
      <c r="G50" s="3718" t="s">
        <v>2322</v>
      </c>
      <c r="H50" s="3719"/>
      <c r="I50" s="2182" t="s">
        <v>1888</v>
      </c>
      <c r="J50" s="1765">
        <f>项目基本情况!F35</f>
        <v>0</v>
      </c>
      <c r="K50" s="2375" t="s">
        <v>1890</v>
      </c>
      <c r="L50" s="2188"/>
      <c r="M50" s="2361"/>
      <c r="N50" s="2361"/>
      <c r="O50" s="2361"/>
    </row>
    <row r="51" spans="1:17" s="1099" customFormat="1">
      <c r="A51" s="1095" t="s">
        <v>495</v>
      </c>
      <c r="B51" s="1096" t="e">
        <f>C43</f>
        <v>#DIV/0!</v>
      </c>
      <c r="C51" s="1097">
        <v>1</v>
      </c>
      <c r="D51" s="2393">
        <v>1</v>
      </c>
      <c r="E51" s="1097">
        <f>'数据-汇总表'!E8+'数据-汇总表'!E9</f>
        <v>85551.93</v>
      </c>
      <c r="F51" s="1098" t="e">
        <f t="shared" ref="F51:F60" si="15">ROUND(B51*E51/10000,0)</f>
        <v>#DIV/0!</v>
      </c>
      <c r="G51" s="3720"/>
      <c r="H51" s="3721"/>
      <c r="I51" s="1773">
        <v>1</v>
      </c>
      <c r="J51" s="1773">
        <v>1</v>
      </c>
      <c r="K51" s="2362"/>
      <c r="L51" s="1772"/>
      <c r="M51" s="1772"/>
      <c r="N51" s="1772"/>
      <c r="O51" s="1772"/>
    </row>
    <row r="52" spans="1:17" s="1099" customFormat="1">
      <c r="A52" s="1100" t="s">
        <v>496</v>
      </c>
      <c r="B52" s="594" t="e">
        <f>ROUND($C$43*C52*D52,0)</f>
        <v>#DIV/0!</v>
      </c>
      <c r="C52" s="532">
        <f t="shared" ref="C52:C60" si="16">IF($C$50="北京市系数",I52,J52)</f>
        <v>0.7</v>
      </c>
      <c r="D52" s="2394">
        <v>0.25</v>
      </c>
      <c r="E52" s="1101"/>
      <c r="F52" s="1098" t="e">
        <f t="shared" si="15"/>
        <v>#DIV/0!</v>
      </c>
      <c r="G52" s="3722" t="s">
        <v>2323</v>
      </c>
      <c r="H52" s="2186" t="str">
        <f>项目基本情况!B37</f>
        <v>七级</v>
      </c>
      <c r="I52" s="1773">
        <f>SUMIF(修正!A45:A56,H52,修正!B45:B56)</f>
        <v>0.7</v>
      </c>
      <c r="J52" s="1774"/>
      <c r="K52" s="2361"/>
      <c r="L52" s="1772"/>
      <c r="M52" s="1772"/>
      <c r="N52" s="1772"/>
      <c r="O52" s="1772"/>
    </row>
    <row r="53" spans="1:17" s="1099" customFormat="1">
      <c r="A53" s="1100" t="s">
        <v>497</v>
      </c>
      <c r="B53" s="594" t="e">
        <f t="shared" ref="B53:B60" si="17">ROUND($C$43*C53*D53,0)</f>
        <v>#DIV/0!</v>
      </c>
      <c r="C53" s="532">
        <f t="shared" si="16"/>
        <v>0.4</v>
      </c>
      <c r="D53" s="2394">
        <v>0.25</v>
      </c>
      <c r="E53" s="1101"/>
      <c r="F53" s="1098" t="e">
        <f t="shared" si="15"/>
        <v>#DIV/0!</v>
      </c>
      <c r="G53" s="3722"/>
      <c r="H53" s="2186" t="str">
        <f>项目基本情况!B37</f>
        <v>七级</v>
      </c>
      <c r="I53" s="1773">
        <f>SUMIF(修正!A45:A56,H53,修正!C45:C56)</f>
        <v>0.4</v>
      </c>
      <c r="J53" s="1774"/>
      <c r="K53" s="2362"/>
      <c r="L53" s="1772"/>
      <c r="M53" s="1772"/>
      <c r="N53" s="1772"/>
      <c r="O53" s="1772"/>
    </row>
    <row r="54" spans="1:17" s="1099" customFormat="1">
      <c r="A54" s="1100" t="s">
        <v>498</v>
      </c>
      <c r="B54" s="594" t="e">
        <f t="shared" si="17"/>
        <v>#DIV/0!</v>
      </c>
      <c r="C54" s="532">
        <f t="shared" si="16"/>
        <v>0.28000000000000003</v>
      </c>
      <c r="D54" s="2394">
        <v>0.25</v>
      </c>
      <c r="E54" s="1101"/>
      <c r="F54" s="1098" t="e">
        <f t="shared" si="15"/>
        <v>#DIV/0!</v>
      </c>
      <c r="G54" s="3722"/>
      <c r="H54" s="2186" t="str">
        <f>项目基本情况!B37</f>
        <v>七级</v>
      </c>
      <c r="I54" s="1773">
        <f>SUMIF(修正!A45:A56,H54,修正!D45:D56)</f>
        <v>0.28000000000000003</v>
      </c>
      <c r="J54" s="1774"/>
      <c r="K54" s="2361"/>
      <c r="L54" s="1772"/>
      <c r="M54" s="1772"/>
      <c r="N54" s="1772"/>
      <c r="O54" s="1772"/>
    </row>
    <row r="55" spans="1:17" s="1099" customFormat="1">
      <c r="A55" s="1100" t="s">
        <v>499</v>
      </c>
      <c r="B55" s="594" t="e">
        <f t="shared" si="17"/>
        <v>#DIV/0!</v>
      </c>
      <c r="C55" s="532">
        <f t="shared" si="16"/>
        <v>0.25</v>
      </c>
      <c r="D55" s="2394">
        <v>0.25</v>
      </c>
      <c r="E55" s="1101"/>
      <c r="F55" s="1098" t="e">
        <f t="shared" si="15"/>
        <v>#DIV/0!</v>
      </c>
      <c r="G55" s="3722"/>
      <c r="H55" s="2186" t="str">
        <f>项目基本情况!B37</f>
        <v>七级</v>
      </c>
      <c r="I55" s="1773">
        <f>SUMIF(修正!A45:A56,H55,修正!E45:E56)</f>
        <v>0.25</v>
      </c>
      <c r="J55" s="1774"/>
      <c r="K55" s="2362"/>
      <c r="L55" s="1772"/>
      <c r="M55" s="1772"/>
      <c r="N55" s="1772"/>
      <c r="O55" s="1772"/>
    </row>
    <row r="56" spans="1:17" s="1099" customFormat="1">
      <c r="A56" s="2514" t="s">
        <v>2405</v>
      </c>
      <c r="B56" s="594" t="e">
        <f t="shared" si="17"/>
        <v>#DIV/0!</v>
      </c>
      <c r="C56" s="532">
        <f t="shared" si="16"/>
        <v>0.25</v>
      </c>
      <c r="D56" s="2394">
        <v>0.25</v>
      </c>
      <c r="E56" s="593">
        <f>'数据-汇总表'!E11</f>
        <v>0</v>
      </c>
      <c r="F56" s="1098" t="e">
        <f t="shared" si="15"/>
        <v>#DIV/0!</v>
      </c>
      <c r="G56" s="2198" t="s">
        <v>2324</v>
      </c>
      <c r="H56" s="2186" t="str">
        <f>项目基本情况!C37</f>
        <v>七级</v>
      </c>
      <c r="I56" s="1773">
        <f>SUMIF(修正!A45:A56,H56,修正!F45:F56)</f>
        <v>0.25</v>
      </c>
      <c r="J56" s="1774"/>
      <c r="K56" s="2361"/>
      <c r="L56" s="1772"/>
      <c r="M56" s="1772"/>
      <c r="N56" s="1772"/>
      <c r="O56" s="1772"/>
    </row>
    <row r="57" spans="1:17" s="1099" customFormat="1">
      <c r="A57" s="1100" t="s">
        <v>500</v>
      </c>
      <c r="B57" s="594" t="e">
        <f t="shared" si="17"/>
        <v>#DIV/0!</v>
      </c>
      <c r="C57" s="532">
        <f t="shared" si="16"/>
        <v>0.25</v>
      </c>
      <c r="D57" s="2394">
        <v>0.25</v>
      </c>
      <c r="E57" s="593">
        <f>'数据-汇总表'!E12</f>
        <v>0</v>
      </c>
      <c r="F57" s="1098" t="e">
        <f t="shared" si="15"/>
        <v>#DIV/0!</v>
      </c>
      <c r="G57" s="2192" t="s">
        <v>141</v>
      </c>
      <c r="H57" s="2186" t="str">
        <f>IF(G57="商业",项目基本情况!B37,IF(G57="办公",项目基本情况!C37,IF(G57="住宅",项目基本情况!D37,项目基本情况!E37)))</f>
        <v>七级</v>
      </c>
      <c r="I57" s="1773">
        <f>SUMIF(修正!A45:A56,H57,修正!G45:G56)</f>
        <v>0.25</v>
      </c>
      <c r="J57" s="1774"/>
      <c r="K57" s="2362"/>
      <c r="L57" s="1772"/>
      <c r="M57" s="1772"/>
      <c r="N57" s="1772"/>
      <c r="O57" s="1772"/>
    </row>
    <row r="58" spans="1:17" s="1099" customFormat="1">
      <c r="A58" s="1100" t="s">
        <v>501</v>
      </c>
      <c r="B58" s="594" t="e">
        <f t="shared" si="17"/>
        <v>#DIV/0!</v>
      </c>
      <c r="C58" s="532">
        <f t="shared" si="16"/>
        <v>0</v>
      </c>
      <c r="D58" s="2394">
        <v>0.25</v>
      </c>
      <c r="E58" s="593">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502</v>
      </c>
      <c r="B59" s="594" t="e">
        <f t="shared" si="17"/>
        <v>#DIV/0!</v>
      </c>
      <c r="C59" s="532">
        <f t="shared" si="16"/>
        <v>0.2</v>
      </c>
      <c r="D59" s="2394">
        <v>0.25</v>
      </c>
      <c r="E59" s="593">
        <f>'数据-汇总表'!E14</f>
        <v>16275.059999999998</v>
      </c>
      <c r="F59" s="1098" t="e">
        <f t="shared" si="15"/>
        <v>#DIV/0!</v>
      </c>
      <c r="G59" s="2198" t="s">
        <v>2325</v>
      </c>
      <c r="H59" s="2186" t="str">
        <f>项目基本情况!B37</f>
        <v>七级</v>
      </c>
      <c r="I59" s="1773">
        <f>SUMIF(修正!A45:A56,H59,修正!H45:H56)</f>
        <v>0.2</v>
      </c>
      <c r="J59" s="1774"/>
      <c r="K59" s="2362"/>
      <c r="L59" s="1772"/>
      <c r="M59" s="1772"/>
      <c r="N59" s="1772"/>
      <c r="O59" s="1772"/>
    </row>
    <row r="60" spans="1:17" s="1099" customFormat="1" ht="15" thickBot="1">
      <c r="A60" s="1100" t="s">
        <v>503</v>
      </c>
      <c r="B60" s="594" t="e">
        <f t="shared" si="17"/>
        <v>#DIV/0!</v>
      </c>
      <c r="C60" s="532">
        <f t="shared" si="16"/>
        <v>0.2</v>
      </c>
      <c r="D60" s="2394">
        <v>0.25</v>
      </c>
      <c r="E60" s="593">
        <f>'数据-汇总表'!E15</f>
        <v>0</v>
      </c>
      <c r="F60" s="1098" t="e">
        <f t="shared" si="15"/>
        <v>#DIV/0!</v>
      </c>
      <c r="G60" s="2199" t="s">
        <v>2324</v>
      </c>
      <c r="H60" s="2200" t="str">
        <f>项目基本情况!C37</f>
        <v>七级</v>
      </c>
      <c r="I60" s="1773">
        <f>SUMIF(修正!A45:A56,H60,修正!H45:H56)</f>
        <v>0.2</v>
      </c>
      <c r="J60" s="1774"/>
      <c r="K60" s="2361"/>
      <c r="L60" s="1772"/>
      <c r="M60" s="1772"/>
      <c r="N60" s="1772"/>
      <c r="O60" s="1772"/>
    </row>
    <row r="61" spans="1:17" s="1099" customFormat="1" ht="15" thickBot="1">
      <c r="A61" s="1102" t="s">
        <v>504</v>
      </c>
      <c r="B61" s="1103" t="s">
        <v>156</v>
      </c>
      <c r="C61" s="1103" t="s">
        <v>157</v>
      </c>
      <c r="D61" s="1103" t="s">
        <v>2330</v>
      </c>
      <c r="E61" s="1103">
        <f>IF(B41="楼面地价",SUM(E51:E60),'数据-汇总表'!D3)</f>
        <v>22211.31</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415</v>
      </c>
      <c r="B64" s="1305"/>
      <c r="C64" s="1310"/>
      <c r="D64" s="1310"/>
      <c r="E64" s="1310"/>
      <c r="F64" s="1311"/>
      <c r="G64" s="1311"/>
      <c r="H64" s="1310"/>
      <c r="I64" s="1310"/>
      <c r="J64" s="1310"/>
      <c r="K64" s="1312"/>
      <c r="L64" s="1313"/>
      <c r="M64" s="1310"/>
      <c r="N64" s="1310"/>
      <c r="O64" s="2377"/>
      <c r="P64" s="844"/>
      <c r="Q64" s="845"/>
    </row>
    <row r="65" spans="1:17" s="849" customFormat="1" ht="15">
      <c r="A65" s="2705" t="s">
        <v>2796</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2795</v>
      </c>
      <c r="B66" s="664" t="str">
        <f>"北京市平均增长率"&amp;TEXT(基准地价修正!P24,"0.00%")</f>
        <v>北京市平均增长率1.37%</v>
      </c>
      <c r="C66" s="944">
        <v>100</v>
      </c>
      <c r="D66" s="936"/>
      <c r="E66" s="936"/>
      <c r="F66" s="936"/>
      <c r="G66" s="936"/>
      <c r="H66" s="936"/>
      <c r="I66" s="936"/>
      <c r="J66" s="936"/>
      <c r="K66" s="936"/>
      <c r="L66" s="936"/>
      <c r="M66" s="3030"/>
      <c r="N66" s="3030"/>
      <c r="O66" s="3033"/>
      <c r="P66" s="845"/>
    </row>
    <row r="67" spans="1:17" s="407" customFormat="1" ht="15.75" thickBot="1">
      <c r="A67" s="856" t="s">
        <v>416</v>
      </c>
      <c r="B67" s="857"/>
      <c r="C67" s="858"/>
      <c r="D67" s="859"/>
      <c r="E67" s="859"/>
      <c r="F67" s="859"/>
      <c r="G67" s="859"/>
      <c r="H67" s="859"/>
      <c r="I67" s="859"/>
      <c r="J67" s="859"/>
      <c r="K67" s="859"/>
      <c r="L67" s="859"/>
      <c r="M67" s="860"/>
      <c r="N67" s="860"/>
      <c r="O67" s="861"/>
      <c r="P67" s="845"/>
      <c r="Q67" s="845"/>
    </row>
    <row r="68" spans="1:17" s="407" customFormat="1" ht="15">
      <c r="A68" s="862" t="s">
        <v>400</v>
      </c>
      <c r="B68" s="851"/>
      <c r="C68" s="863" t="s">
        <v>417</v>
      </c>
      <c r="D68" s="140"/>
      <c r="E68" s="140"/>
      <c r="F68" s="140"/>
      <c r="G68" s="140"/>
      <c r="H68" s="140"/>
      <c r="I68" s="140"/>
      <c r="J68" s="140"/>
      <c r="K68" s="140"/>
      <c r="L68" s="141"/>
      <c r="M68" s="1049"/>
      <c r="N68" s="2368"/>
      <c r="O68" s="2368"/>
      <c r="P68" s="867"/>
      <c r="Q68" s="845"/>
    </row>
    <row r="69" spans="1:17" s="407"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418</v>
      </c>
      <c r="B70" s="869" t="s">
        <v>419</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404</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406</v>
      </c>
      <c r="B83" s="286" t="s">
        <v>159</v>
      </c>
      <c r="C83" s="914" t="s">
        <v>425</v>
      </c>
      <c r="D83" s="914" t="s">
        <v>426</v>
      </c>
      <c r="E83" s="914" t="s">
        <v>427</v>
      </c>
      <c r="F83" s="914" t="s">
        <v>428</v>
      </c>
      <c r="G83" s="914" t="s">
        <v>429</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7" customFormat="1" ht="27.75" thickTop="1">
      <c r="A87" s="920"/>
      <c r="B87" s="1052" t="s">
        <v>109</v>
      </c>
      <c r="C87" s="914" t="s">
        <v>425</v>
      </c>
      <c r="D87" s="914" t="s">
        <v>426</v>
      </c>
      <c r="E87" s="914" t="s">
        <v>427</v>
      </c>
      <c r="F87" s="914" t="s">
        <v>428</v>
      </c>
      <c r="G87" s="914" t="s">
        <v>429</v>
      </c>
      <c r="H87" s="919"/>
      <c r="I87" s="919"/>
      <c r="J87" s="919"/>
      <c r="K87" s="919"/>
      <c r="L87" s="1105"/>
      <c r="M87" s="963"/>
      <c r="N87" s="2368"/>
      <c r="O87" s="2368"/>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7" customFormat="1" ht="27.75" thickTop="1">
      <c r="A89" s="920"/>
      <c r="B89" s="1052" t="s">
        <v>154</v>
      </c>
      <c r="C89" s="914" t="s">
        <v>425</v>
      </c>
      <c r="D89" s="914" t="s">
        <v>426</v>
      </c>
      <c r="E89" s="914" t="s">
        <v>427</v>
      </c>
      <c r="F89" s="914" t="s">
        <v>428</v>
      </c>
      <c r="G89" s="914" t="s">
        <v>429</v>
      </c>
      <c r="H89" s="919"/>
      <c r="I89" s="919"/>
      <c r="J89" s="919"/>
      <c r="K89" s="919"/>
      <c r="L89" s="919"/>
      <c r="M89" s="963"/>
      <c r="N89" s="2368"/>
      <c r="O89" s="2368"/>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2673</v>
      </c>
      <c r="C91" s="914" t="s">
        <v>425</v>
      </c>
      <c r="D91" s="914" t="s">
        <v>426</v>
      </c>
      <c r="E91" s="914" t="s">
        <v>427</v>
      </c>
      <c r="F91" s="914" t="s">
        <v>428</v>
      </c>
      <c r="G91" s="914" t="s">
        <v>429</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408</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2507</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579" t="s">
        <v>1198</v>
      </c>
      <c r="B18" s="1571" t="s">
        <v>1575</v>
      </c>
      <c r="C18" s="1572" t="s">
        <v>1576</v>
      </c>
      <c r="D18" s="1573"/>
      <c r="E18" s="1571">
        <v>1</v>
      </c>
      <c r="F18" s="1574" t="s">
        <v>1577</v>
      </c>
      <c r="G18" s="1575"/>
      <c r="H18" s="1567"/>
      <c r="I18" s="1567"/>
    </row>
    <row r="19" spans="1:9" s="1576" customFormat="1" ht="19.5" customHeight="1">
      <c r="A19" s="3579"/>
      <c r="B19" s="3579" t="s">
        <v>1578</v>
      </c>
      <c r="C19" s="1572" t="s">
        <v>1579</v>
      </c>
      <c r="D19" s="1573"/>
      <c r="E19" s="1571">
        <v>0.9</v>
      </c>
      <c r="F19" s="1574" t="s">
        <v>1580</v>
      </c>
      <c r="G19" s="1575"/>
      <c r="H19" s="1567"/>
      <c r="I19" s="1567"/>
    </row>
    <row r="20" spans="1:9" s="1576" customFormat="1" ht="19.5" customHeight="1">
      <c r="A20" s="3579"/>
      <c r="B20" s="3579"/>
      <c r="C20" s="1572" t="s">
        <v>1581</v>
      </c>
      <c r="D20" s="1573"/>
      <c r="E20" s="1571">
        <v>1.1000000000000001</v>
      </c>
      <c r="F20" s="1574" t="s">
        <v>1582</v>
      </c>
      <c r="G20" s="1575"/>
      <c r="H20" s="1567"/>
      <c r="I20" s="1567"/>
    </row>
    <row r="21" spans="1:9" s="1576" customFormat="1" ht="19.5" customHeight="1">
      <c r="A21" s="3579"/>
      <c r="B21" s="3579"/>
      <c r="C21" s="1572" t="s">
        <v>1583</v>
      </c>
      <c r="D21" s="1573"/>
      <c r="E21" s="1571">
        <v>0.8</v>
      </c>
      <c r="F21" s="1574" t="s">
        <v>1584</v>
      </c>
      <c r="G21" s="1575"/>
      <c r="H21" s="1567"/>
      <c r="I21" s="1567"/>
    </row>
    <row r="22" spans="1:9" s="1576" customFormat="1" ht="19.5" customHeight="1">
      <c r="A22" s="3579"/>
      <c r="B22" s="3579"/>
      <c r="C22" s="1572" t="s">
        <v>1585</v>
      </c>
      <c r="D22" s="1573"/>
      <c r="E22" s="1571">
        <v>0.5</v>
      </c>
      <c r="F22" s="1574"/>
      <c r="G22" s="1575"/>
      <c r="H22" s="1567"/>
      <c r="I22" s="1567"/>
    </row>
    <row r="23" spans="1:9" s="1576" customFormat="1" ht="19.5" customHeight="1">
      <c r="A23" s="3579" t="s">
        <v>1199</v>
      </c>
      <c r="B23" s="1571" t="s">
        <v>1575</v>
      </c>
      <c r="C23" s="1572" t="s">
        <v>1586</v>
      </c>
      <c r="D23" s="1573"/>
      <c r="E23" s="1571">
        <v>1</v>
      </c>
      <c r="F23" s="1574" t="s">
        <v>1587</v>
      </c>
      <c r="G23" s="1575"/>
      <c r="H23" s="1567"/>
      <c r="I23" s="1567"/>
    </row>
    <row r="24" spans="1:9" s="1576" customFormat="1" ht="19.5" customHeight="1">
      <c r="A24" s="3579"/>
      <c r="B24" s="3579" t="s">
        <v>1578</v>
      </c>
      <c r="C24" s="1572" t="s">
        <v>1588</v>
      </c>
      <c r="D24" s="1573"/>
      <c r="E24" s="1571">
        <v>0.5</v>
      </c>
      <c r="F24" s="1574"/>
      <c r="G24" s="1575"/>
      <c r="H24" s="1567"/>
      <c r="I24" s="1567"/>
    </row>
    <row r="25" spans="1:9" s="1576" customFormat="1" ht="19.5" customHeight="1">
      <c r="A25" s="3579"/>
      <c r="B25" s="3579"/>
      <c r="C25" s="1572" t="s">
        <v>1589</v>
      </c>
      <c r="D25" s="1573"/>
      <c r="E25" s="1571">
        <v>1.1000000000000001</v>
      </c>
      <c r="F25" s="1574"/>
      <c r="G25" s="1575"/>
      <c r="H25" s="1567"/>
      <c r="I25" s="1567"/>
    </row>
    <row r="26" spans="1:9" s="1576" customFormat="1" ht="19.5" customHeight="1">
      <c r="A26" s="3579"/>
      <c r="B26" s="3579"/>
      <c r="C26" s="1572" t="s">
        <v>1590</v>
      </c>
      <c r="D26" s="1573"/>
      <c r="E26" s="1571">
        <v>1.1000000000000001</v>
      </c>
      <c r="F26" s="1574"/>
      <c r="G26" s="1575"/>
      <c r="H26" s="1567"/>
      <c r="I26" s="1567"/>
    </row>
    <row r="27" spans="1:9" s="1576" customFormat="1" ht="19.5" customHeight="1">
      <c r="A27" s="3579"/>
      <c r="B27" s="3579"/>
      <c r="C27" s="1572" t="s">
        <v>1591</v>
      </c>
      <c r="D27" s="1573"/>
      <c r="E27" s="1571">
        <v>0.9</v>
      </c>
      <c r="F27" s="1574" t="s">
        <v>1592</v>
      </c>
      <c r="G27" s="1575"/>
      <c r="H27" s="1567"/>
      <c r="I27" s="1567"/>
    </row>
    <row r="28" spans="1:9" s="1576" customFormat="1" ht="19.5" customHeight="1">
      <c r="A28" s="3579"/>
      <c r="B28" s="3579"/>
      <c r="C28" s="1572" t="s">
        <v>1593</v>
      </c>
      <c r="D28" s="1573"/>
      <c r="E28" s="1571">
        <v>0.9</v>
      </c>
      <c r="F28" s="1574" t="s">
        <v>1594</v>
      </c>
      <c r="G28" s="1575"/>
      <c r="H28" s="1567"/>
      <c r="I28" s="1567"/>
    </row>
    <row r="29" spans="1:9" s="1576" customFormat="1" ht="19.5" customHeight="1">
      <c r="A29" s="3579"/>
      <c r="B29" s="3579"/>
      <c r="C29" s="1572" t="s">
        <v>1595</v>
      </c>
      <c r="D29" s="1573"/>
      <c r="E29" s="1571">
        <v>0.9</v>
      </c>
      <c r="F29" s="1574" t="s">
        <v>1596</v>
      </c>
      <c r="G29" s="1575"/>
      <c r="H29" s="1567"/>
      <c r="I29" s="1567"/>
    </row>
    <row r="30" spans="1:9" s="1576" customFormat="1" ht="19.5" customHeight="1">
      <c r="A30" s="3579"/>
      <c r="B30" s="3579"/>
      <c r="C30" s="1572" t="s">
        <v>1597</v>
      </c>
      <c r="D30" s="1573"/>
      <c r="E30" s="1571">
        <v>0.9</v>
      </c>
      <c r="F30" s="1574" t="s">
        <v>1598</v>
      </c>
      <c r="G30" s="1575"/>
      <c r="H30" s="1567"/>
      <c r="I30" s="1567"/>
    </row>
    <row r="31" spans="1:9" s="1576" customFormat="1" ht="19.5" customHeight="1">
      <c r="A31" s="3579"/>
      <c r="B31" s="3579"/>
      <c r="C31" s="1572" t="s">
        <v>1599</v>
      </c>
      <c r="D31" s="1573"/>
      <c r="E31" s="1571">
        <v>0.8</v>
      </c>
      <c r="F31" s="1574" t="s">
        <v>1600</v>
      </c>
      <c r="G31" s="1575"/>
      <c r="H31" s="1567"/>
      <c r="I31" s="1567"/>
    </row>
    <row r="32" spans="1:9" s="1576" customFormat="1" ht="19.5" customHeight="1">
      <c r="A32" s="3579"/>
      <c r="B32" s="3579"/>
      <c r="C32" s="1572" t="s">
        <v>1601</v>
      </c>
      <c r="D32" s="1573"/>
      <c r="E32" s="1571">
        <v>0.8</v>
      </c>
      <c r="F32" s="1574" t="s">
        <v>1602</v>
      </c>
      <c r="G32" s="1575"/>
      <c r="H32" s="1567"/>
      <c r="I32" s="1567"/>
    </row>
    <row r="33" spans="1:9" s="1576" customFormat="1" ht="19.5" customHeight="1">
      <c r="A33" s="3579" t="s">
        <v>1200</v>
      </c>
      <c r="B33" s="1571" t="s">
        <v>1575</v>
      </c>
      <c r="C33" s="1572" t="s">
        <v>1603</v>
      </c>
      <c r="D33" s="1573"/>
      <c r="E33" s="1571">
        <v>1</v>
      </c>
      <c r="F33" s="1574" t="s">
        <v>1604</v>
      </c>
      <c r="G33" s="1575"/>
      <c r="H33" s="1567"/>
      <c r="I33" s="1567"/>
    </row>
    <row r="34" spans="1:9" s="1576" customFormat="1" ht="19.5" customHeight="1">
      <c r="A34" s="3579"/>
      <c r="B34" s="1571" t="s">
        <v>1578</v>
      </c>
      <c r="C34" s="1572" t="s">
        <v>1605</v>
      </c>
      <c r="D34" s="1573"/>
      <c r="E34" s="1571">
        <v>1.5</v>
      </c>
      <c r="F34" s="1574" t="s">
        <v>1606</v>
      </c>
      <c r="G34" s="1575"/>
      <c r="H34" s="1567"/>
      <c r="I34" s="1567"/>
    </row>
    <row r="35" spans="1:9" s="1576" customFormat="1" ht="19.5" customHeight="1">
      <c r="A35" s="3579" t="s">
        <v>1201</v>
      </c>
      <c r="B35" s="1571" t="s">
        <v>1575</v>
      </c>
      <c r="C35" s="1572" t="s">
        <v>1607</v>
      </c>
      <c r="D35" s="1573"/>
      <c r="E35" s="1571">
        <v>1</v>
      </c>
      <c r="F35" s="1574" t="s">
        <v>1608</v>
      </c>
      <c r="G35" s="1575"/>
      <c r="H35" s="1567"/>
      <c r="I35" s="1567"/>
    </row>
    <row r="36" spans="1:9" s="1576" customFormat="1" ht="19.5" customHeight="1">
      <c r="A36" s="3579"/>
      <c r="B36" s="3579" t="s">
        <v>1578</v>
      </c>
      <c r="C36" s="1572" t="s">
        <v>1609</v>
      </c>
      <c r="D36" s="1573"/>
      <c r="E36" s="1571">
        <v>1</v>
      </c>
      <c r="F36" s="1574" t="s">
        <v>1610</v>
      </c>
      <c r="G36" s="1575"/>
      <c r="H36" s="1567"/>
      <c r="I36" s="1567"/>
    </row>
    <row r="37" spans="1:9" s="1576" customFormat="1" ht="19.5" customHeight="1">
      <c r="A37" s="3579"/>
      <c r="B37" s="3579"/>
      <c r="C37" s="1572" t="s">
        <v>1611</v>
      </c>
      <c r="D37" s="1573"/>
      <c r="E37" s="1571">
        <v>1.5</v>
      </c>
      <c r="F37" s="1574" t="s">
        <v>1612</v>
      </c>
      <c r="G37" s="1575"/>
      <c r="H37" s="1567"/>
      <c r="I37" s="1567"/>
    </row>
    <row r="38" spans="1:9" s="1576" customFormat="1" ht="19.5" customHeight="1">
      <c r="A38" s="3579"/>
      <c r="B38" s="3579"/>
      <c r="C38" s="1572" t="s">
        <v>1613</v>
      </c>
      <c r="D38" s="1573"/>
      <c r="E38" s="1571">
        <v>1</v>
      </c>
      <c r="F38" s="1574" t="s">
        <v>1614</v>
      </c>
      <c r="G38" s="1575"/>
      <c r="H38" s="1567"/>
      <c r="I38" s="1567"/>
    </row>
    <row r="39" spans="1:9" s="1576" customFormat="1" ht="19.5" customHeight="1">
      <c r="A39" s="3579"/>
      <c r="B39" s="3579"/>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579" t="s">
        <v>1629</v>
      </c>
      <c r="C61" s="1497" t="s">
        <v>1630</v>
      </c>
      <c r="D61" s="1497" t="s">
        <v>1631</v>
      </c>
      <c r="E61" s="1584">
        <v>0.5</v>
      </c>
      <c r="F61" s="1571">
        <v>80</v>
      </c>
    </row>
    <row r="62" spans="1:8" s="1567" customFormat="1" ht="24">
      <c r="A62" s="1571">
        <v>2</v>
      </c>
      <c r="B62" s="3579"/>
      <c r="C62" s="1497" t="s">
        <v>1632</v>
      </c>
      <c r="D62" s="1497" t="s">
        <v>1633</v>
      </c>
      <c r="E62" s="1584">
        <v>0.5</v>
      </c>
      <c r="F62" s="1571">
        <v>80</v>
      </c>
    </row>
    <row r="63" spans="1:8" s="1567" customFormat="1" ht="36">
      <c r="A63" s="1571">
        <v>3</v>
      </c>
      <c r="B63" s="3579"/>
      <c r="C63" s="1497" t="s">
        <v>1634</v>
      </c>
      <c r="D63" s="1497" t="s">
        <v>1635</v>
      </c>
      <c r="E63" s="1584">
        <v>0.5</v>
      </c>
      <c r="F63" s="1571">
        <v>80</v>
      </c>
    </row>
    <row r="64" spans="1:8" s="1567" customFormat="1" ht="36">
      <c r="A64" s="1571">
        <v>4</v>
      </c>
      <c r="B64" s="3579"/>
      <c r="C64" s="1497" t="s">
        <v>1636</v>
      </c>
      <c r="D64" s="1497" t="s">
        <v>1637</v>
      </c>
      <c r="E64" s="1584">
        <v>0.4</v>
      </c>
      <c r="F64" s="1571">
        <v>60</v>
      </c>
    </row>
    <row r="65" spans="1:6" s="1567" customFormat="1" ht="36">
      <c r="A65" s="1571">
        <v>5</v>
      </c>
      <c r="B65" s="3579"/>
      <c r="C65" s="1497" t="s">
        <v>1638</v>
      </c>
      <c r="D65" s="1497" t="s">
        <v>1639</v>
      </c>
      <c r="E65" s="1584">
        <v>0.2</v>
      </c>
      <c r="F65" s="1571">
        <v>30</v>
      </c>
    </row>
    <row r="66" spans="1:6" s="1567" customFormat="1" ht="36">
      <c r="A66" s="1571">
        <v>6</v>
      </c>
      <c r="B66" s="3579"/>
      <c r="C66" s="1497" t="s">
        <v>1640</v>
      </c>
      <c r="D66" s="1497" t="s">
        <v>1641</v>
      </c>
      <c r="E66" s="1584">
        <v>0.3</v>
      </c>
      <c r="F66" s="1571">
        <v>50</v>
      </c>
    </row>
    <row r="67" spans="1:6" s="1567" customFormat="1" ht="36">
      <c r="A67" s="1571">
        <v>7</v>
      </c>
      <c r="B67" s="3579"/>
      <c r="C67" s="1497" t="s">
        <v>1642</v>
      </c>
      <c r="D67" s="1497" t="s">
        <v>1643</v>
      </c>
      <c r="E67" s="1584">
        <v>0.2</v>
      </c>
      <c r="F67" s="1571">
        <v>30</v>
      </c>
    </row>
    <row r="68" spans="1:6" s="1567" customFormat="1" ht="36">
      <c r="A68" s="1571">
        <v>8</v>
      </c>
      <c r="B68" s="3579"/>
      <c r="C68" s="1497" t="s">
        <v>1644</v>
      </c>
      <c r="D68" s="1497" t="s">
        <v>1645</v>
      </c>
      <c r="E68" s="1584">
        <v>0.2</v>
      </c>
      <c r="F68" s="1571">
        <v>30</v>
      </c>
    </row>
    <row r="69" spans="1:6" s="1567" customFormat="1" ht="36">
      <c r="A69" s="1571">
        <v>9</v>
      </c>
      <c r="B69" s="3579"/>
      <c r="C69" s="1497" t="s">
        <v>1646</v>
      </c>
      <c r="D69" s="1497" t="s">
        <v>1647</v>
      </c>
      <c r="E69" s="1584">
        <v>0.2</v>
      </c>
      <c r="F69" s="1571">
        <v>30</v>
      </c>
    </row>
    <row r="70" spans="1:6" s="1567" customFormat="1" ht="48">
      <c r="A70" s="1571">
        <v>10</v>
      </c>
      <c r="B70" s="3579"/>
      <c r="C70" s="1497" t="s">
        <v>1648</v>
      </c>
      <c r="D70" s="1497" t="s">
        <v>1649</v>
      </c>
      <c r="E70" s="1584">
        <v>0.2</v>
      </c>
      <c r="F70" s="1571">
        <v>30</v>
      </c>
    </row>
    <row r="71" spans="1:6" s="1567" customFormat="1" ht="48">
      <c r="A71" s="1571">
        <v>11</v>
      </c>
      <c r="B71" s="3579"/>
      <c r="C71" s="1497" t="s">
        <v>1650</v>
      </c>
      <c r="D71" s="1497" t="s">
        <v>1651</v>
      </c>
      <c r="E71" s="1584">
        <v>0.2</v>
      </c>
      <c r="F71" s="1571">
        <v>30</v>
      </c>
    </row>
    <row r="72" spans="1:6" s="1567" customFormat="1" ht="36">
      <c r="A72" s="1571">
        <v>12</v>
      </c>
      <c r="B72" s="3579"/>
      <c r="C72" s="1497" t="s">
        <v>1652</v>
      </c>
      <c r="D72" s="1497" t="s">
        <v>1653</v>
      </c>
      <c r="E72" s="1584">
        <v>0.5</v>
      </c>
      <c r="F72" s="1571">
        <v>80</v>
      </c>
    </row>
    <row r="73" spans="1:6" s="1567" customFormat="1" ht="24">
      <c r="A73" s="1571">
        <v>13</v>
      </c>
      <c r="B73" s="3579"/>
      <c r="C73" s="1497" t="s">
        <v>1654</v>
      </c>
      <c r="D73" s="1497" t="s">
        <v>1655</v>
      </c>
      <c r="E73" s="1584">
        <v>0.4</v>
      </c>
      <c r="F73" s="1571">
        <v>60</v>
      </c>
    </row>
    <row r="74" spans="1:6" s="1567" customFormat="1" ht="24">
      <c r="A74" s="1571">
        <v>14</v>
      </c>
      <c r="B74" s="3579"/>
      <c r="C74" s="1497" t="s">
        <v>1656</v>
      </c>
      <c r="D74" s="1497" t="s">
        <v>1657</v>
      </c>
      <c r="E74" s="1584">
        <v>0.2</v>
      </c>
      <c r="F74" s="1571">
        <v>30</v>
      </c>
    </row>
    <row r="75" spans="1:6" s="1567" customFormat="1" ht="24">
      <c r="A75" s="1571">
        <v>15</v>
      </c>
      <c r="B75" s="3579"/>
      <c r="C75" s="1497" t="s">
        <v>1658</v>
      </c>
      <c r="D75" s="1497" t="s">
        <v>1659</v>
      </c>
      <c r="E75" s="1584">
        <v>0.2</v>
      </c>
      <c r="F75" s="1571">
        <v>30</v>
      </c>
    </row>
    <row r="76" spans="1:6" s="1567" customFormat="1" ht="24">
      <c r="A76" s="1571">
        <v>16</v>
      </c>
      <c r="B76" s="3579" t="s">
        <v>1660</v>
      </c>
      <c r="C76" s="1497" t="s">
        <v>1661</v>
      </c>
      <c r="D76" s="1497" t="s">
        <v>1662</v>
      </c>
      <c r="E76" s="1584">
        <v>0.5</v>
      </c>
      <c r="F76" s="1571">
        <v>80</v>
      </c>
    </row>
    <row r="77" spans="1:6" s="1567" customFormat="1" ht="24">
      <c r="A77" s="1571">
        <v>17</v>
      </c>
      <c r="B77" s="3579"/>
      <c r="C77" s="1497" t="s">
        <v>1663</v>
      </c>
      <c r="D77" s="1497" t="s">
        <v>1664</v>
      </c>
      <c r="E77" s="1584">
        <v>0.5</v>
      </c>
      <c r="F77" s="1571">
        <v>80</v>
      </c>
    </row>
    <row r="78" spans="1:6" s="1567" customFormat="1" ht="24">
      <c r="A78" s="1571">
        <v>18</v>
      </c>
      <c r="B78" s="3579"/>
      <c r="C78" s="1497" t="s">
        <v>1665</v>
      </c>
      <c r="D78" s="1497" t="s">
        <v>1666</v>
      </c>
      <c r="E78" s="1584">
        <v>0.2</v>
      </c>
      <c r="F78" s="1571">
        <v>30</v>
      </c>
    </row>
    <row r="79" spans="1:6" s="1567" customFormat="1" ht="24">
      <c r="A79" s="1571">
        <v>19</v>
      </c>
      <c r="B79" s="3579"/>
      <c r="C79" s="1497" t="s">
        <v>1667</v>
      </c>
      <c r="D79" s="1497" t="s">
        <v>1668</v>
      </c>
      <c r="E79" s="1584">
        <v>0.5</v>
      </c>
      <c r="F79" s="1571">
        <v>80</v>
      </c>
    </row>
    <row r="80" spans="1:6" s="1567" customFormat="1" ht="36">
      <c r="A80" s="1571">
        <v>20</v>
      </c>
      <c r="B80" s="3579"/>
      <c r="C80" s="1497" t="s">
        <v>1669</v>
      </c>
      <c r="D80" s="1497" t="s">
        <v>1670</v>
      </c>
      <c r="E80" s="1584">
        <v>0.2</v>
      </c>
      <c r="F80" s="1571">
        <v>30</v>
      </c>
    </row>
    <row r="81" spans="1:6" s="1567" customFormat="1" ht="36">
      <c r="A81" s="1571">
        <v>21</v>
      </c>
      <c r="B81" s="3579"/>
      <c r="C81" s="1497" t="s">
        <v>1671</v>
      </c>
      <c r="D81" s="1497" t="s">
        <v>1672</v>
      </c>
      <c r="E81" s="1584">
        <v>0.2</v>
      </c>
      <c r="F81" s="1571">
        <v>30</v>
      </c>
    </row>
    <row r="82" spans="1:6" s="1567" customFormat="1" ht="48">
      <c r="A82" s="1571">
        <v>22</v>
      </c>
      <c r="B82" s="3579"/>
      <c r="C82" s="1497" t="s">
        <v>1673</v>
      </c>
      <c r="D82" s="1497" t="s">
        <v>1674</v>
      </c>
      <c r="E82" s="1584">
        <v>0.2</v>
      </c>
      <c r="F82" s="1571">
        <v>30</v>
      </c>
    </row>
    <row r="83" spans="1:6" s="1567" customFormat="1" ht="48">
      <c r="A83" s="1571">
        <v>23</v>
      </c>
      <c r="B83" s="3579"/>
      <c r="C83" s="1497" t="s">
        <v>1675</v>
      </c>
      <c r="D83" s="1497" t="s">
        <v>1676</v>
      </c>
      <c r="E83" s="1584">
        <v>0.2</v>
      </c>
      <c r="F83" s="1571">
        <v>30</v>
      </c>
    </row>
    <row r="84" spans="1:6" s="1567" customFormat="1" ht="36">
      <c r="A84" s="1571">
        <v>24</v>
      </c>
      <c r="B84" s="3579"/>
      <c r="C84" s="1497" t="s">
        <v>1677</v>
      </c>
      <c r="D84" s="1497" t="s">
        <v>1678</v>
      </c>
      <c r="E84" s="1584">
        <v>0.2</v>
      </c>
      <c r="F84" s="1571">
        <v>30</v>
      </c>
    </row>
    <row r="85" spans="1:6" s="1567" customFormat="1" ht="36">
      <c r="A85" s="1571">
        <v>25</v>
      </c>
      <c r="B85" s="3579"/>
      <c r="C85" s="1497" t="s">
        <v>1679</v>
      </c>
      <c r="D85" s="1497" t="s">
        <v>1680</v>
      </c>
      <c r="E85" s="1584">
        <v>0.5</v>
      </c>
      <c r="F85" s="1571">
        <v>80</v>
      </c>
    </row>
    <row r="86" spans="1:6" s="1567" customFormat="1" ht="36">
      <c r="A86" s="1571">
        <v>26</v>
      </c>
      <c r="B86" s="3579"/>
      <c r="C86" s="1497" t="s">
        <v>1681</v>
      </c>
      <c r="D86" s="1497" t="s">
        <v>1682</v>
      </c>
      <c r="E86" s="1584">
        <v>0.2</v>
      </c>
      <c r="F86" s="1571">
        <v>30</v>
      </c>
    </row>
    <row r="87" spans="1:6" s="1567" customFormat="1" ht="36">
      <c r="A87" s="1571">
        <v>27</v>
      </c>
      <c r="B87" s="3579"/>
      <c r="C87" s="1497" t="s">
        <v>1683</v>
      </c>
      <c r="D87" s="1497" t="s">
        <v>1684</v>
      </c>
      <c r="E87" s="1584">
        <v>0.2</v>
      </c>
      <c r="F87" s="1571">
        <v>30</v>
      </c>
    </row>
    <row r="88" spans="1:6" s="1567" customFormat="1" ht="36">
      <c r="A88" s="1571">
        <v>28</v>
      </c>
      <c r="B88" s="3579"/>
      <c r="C88" s="1497" t="s">
        <v>1685</v>
      </c>
      <c r="D88" s="1497" t="s">
        <v>1686</v>
      </c>
      <c r="E88" s="1584">
        <v>0.2</v>
      </c>
      <c r="F88" s="1571">
        <v>30</v>
      </c>
    </row>
    <row r="89" spans="1:6" s="1567" customFormat="1" ht="24">
      <c r="A89" s="1571">
        <v>29</v>
      </c>
      <c r="B89" s="3579"/>
      <c r="C89" s="1497" t="s">
        <v>1687</v>
      </c>
      <c r="D89" s="1497" t="s">
        <v>1688</v>
      </c>
      <c r="E89" s="1584">
        <v>0.2</v>
      </c>
      <c r="F89" s="1571">
        <v>30</v>
      </c>
    </row>
    <row r="90" spans="1:6" s="1567" customFormat="1" ht="24">
      <c r="A90" s="1571">
        <v>30</v>
      </c>
      <c r="B90" s="3579"/>
      <c r="C90" s="1497" t="s">
        <v>1689</v>
      </c>
      <c r="D90" s="1497" t="s">
        <v>1690</v>
      </c>
      <c r="E90" s="1584">
        <v>0.2</v>
      </c>
      <c r="F90" s="1571">
        <v>30</v>
      </c>
    </row>
    <row r="91" spans="1:6" s="1567" customFormat="1" ht="36">
      <c r="A91" s="1571">
        <v>31</v>
      </c>
      <c r="B91" s="3579"/>
      <c r="C91" s="1497" t="s">
        <v>1691</v>
      </c>
      <c r="D91" s="1497" t="s">
        <v>1692</v>
      </c>
      <c r="E91" s="1584">
        <v>0.2</v>
      </c>
      <c r="F91" s="1571">
        <v>30</v>
      </c>
    </row>
    <row r="92" spans="1:6" s="1567" customFormat="1" ht="24">
      <c r="A92" s="1571">
        <v>32</v>
      </c>
      <c r="B92" s="3579" t="s">
        <v>1693</v>
      </c>
      <c r="C92" s="1571" t="s">
        <v>1694</v>
      </c>
      <c r="D92" s="1497" t="s">
        <v>1695</v>
      </c>
      <c r="E92" s="1584">
        <v>0.2</v>
      </c>
      <c r="F92" s="1571">
        <v>30</v>
      </c>
    </row>
    <row r="93" spans="1:6" s="1567" customFormat="1" ht="36">
      <c r="A93" s="1571">
        <v>33</v>
      </c>
      <c r="B93" s="3579"/>
      <c r="C93" s="1571" t="s">
        <v>1696</v>
      </c>
      <c r="D93" s="1497" t="s">
        <v>1697</v>
      </c>
      <c r="E93" s="1584">
        <v>0.2</v>
      </c>
      <c r="F93" s="1571">
        <v>30</v>
      </c>
    </row>
    <row r="94" spans="1:6" s="1567" customFormat="1" ht="48">
      <c r="A94" s="1571">
        <v>34</v>
      </c>
      <c r="B94" s="3579"/>
      <c r="C94" s="1571" t="s">
        <v>1698</v>
      </c>
      <c r="D94" s="1497" t="s">
        <v>1699</v>
      </c>
      <c r="E94" s="1584">
        <v>0.2</v>
      </c>
      <c r="F94" s="1571">
        <v>30</v>
      </c>
    </row>
    <row r="95" spans="1:6" s="1567" customFormat="1" ht="36">
      <c r="A95" s="1571">
        <v>35</v>
      </c>
      <c r="B95" s="3579"/>
      <c r="C95" s="1571" t="s">
        <v>1700</v>
      </c>
      <c r="D95" s="1497" t="s">
        <v>1701</v>
      </c>
      <c r="E95" s="1584">
        <v>0.2</v>
      </c>
      <c r="F95" s="1571">
        <v>30</v>
      </c>
    </row>
    <row r="96" spans="1:6" s="1567" customFormat="1" ht="48">
      <c r="A96" s="1571">
        <v>36</v>
      </c>
      <c r="B96" s="3579"/>
      <c r="C96" s="1497" t="s">
        <v>1702</v>
      </c>
      <c r="D96" s="1497" t="s">
        <v>1703</v>
      </c>
      <c r="E96" s="1584">
        <v>0.2</v>
      </c>
      <c r="F96" s="1571">
        <v>30</v>
      </c>
    </row>
    <row r="97" spans="1:6" s="1567" customFormat="1" ht="36">
      <c r="A97" s="1571">
        <v>37</v>
      </c>
      <c r="B97" s="3579"/>
      <c r="C97" s="1571" t="s">
        <v>1704</v>
      </c>
      <c r="D97" s="1497" t="s">
        <v>1705</v>
      </c>
      <c r="E97" s="1584">
        <v>0.2</v>
      </c>
      <c r="F97" s="1571">
        <v>30</v>
      </c>
    </row>
    <row r="98" spans="1:6" s="1567" customFormat="1" ht="36">
      <c r="A98" s="1571">
        <v>38</v>
      </c>
      <c r="B98" s="3579"/>
      <c r="C98" s="1571" t="s">
        <v>1706</v>
      </c>
      <c r="D98" s="1497" t="s">
        <v>1707</v>
      </c>
      <c r="E98" s="1584">
        <v>0.2</v>
      </c>
      <c r="F98" s="1571">
        <v>30</v>
      </c>
    </row>
    <row r="99" spans="1:6" s="1567" customFormat="1" ht="36">
      <c r="A99" s="1571">
        <v>39</v>
      </c>
      <c r="B99" s="3579" t="s">
        <v>1708</v>
      </c>
      <c r="C99" s="1571" t="s">
        <v>1709</v>
      </c>
      <c r="D99" s="1497" t="s">
        <v>1710</v>
      </c>
      <c r="E99" s="1584">
        <v>0.3</v>
      </c>
      <c r="F99" s="1571">
        <v>50</v>
      </c>
    </row>
    <row r="100" spans="1:6" s="1567" customFormat="1" ht="24">
      <c r="A100" s="1571">
        <v>40</v>
      </c>
      <c r="B100" s="3579"/>
      <c r="C100" s="1571" t="s">
        <v>1711</v>
      </c>
      <c r="D100" s="1497" t="s">
        <v>1712</v>
      </c>
      <c r="E100" s="1584">
        <v>0.2</v>
      </c>
      <c r="F100" s="1571">
        <v>30</v>
      </c>
    </row>
    <row r="101" spans="1:6" s="1567" customFormat="1" ht="36">
      <c r="A101" s="1571">
        <v>41</v>
      </c>
      <c r="B101" s="3579"/>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579" t="s">
        <v>1723</v>
      </c>
      <c r="C105" s="1571" t="s">
        <v>1724</v>
      </c>
      <c r="D105" s="1497" t="s">
        <v>1725</v>
      </c>
      <c r="E105" s="1584">
        <v>0.2</v>
      </c>
      <c r="F105" s="1571">
        <v>30</v>
      </c>
    </row>
    <row r="106" spans="1:6" s="1567" customFormat="1" ht="36">
      <c r="A106" s="1571">
        <v>46</v>
      </c>
      <c r="B106" s="3579"/>
      <c r="C106" s="1571" t="s">
        <v>1726</v>
      </c>
      <c r="D106" s="1497" t="s">
        <v>1727</v>
      </c>
      <c r="E106" s="1584">
        <v>0.2</v>
      </c>
      <c r="F106" s="1571">
        <v>30</v>
      </c>
    </row>
    <row r="107" spans="1:6" s="1567" customFormat="1" ht="36">
      <c r="A107" s="1571">
        <v>47</v>
      </c>
      <c r="B107" s="3579" t="s">
        <v>1728</v>
      </c>
      <c r="C107" s="1571" t="s">
        <v>1729</v>
      </c>
      <c r="D107" s="1497" t="s">
        <v>1730</v>
      </c>
      <c r="E107" s="1584">
        <v>0.3</v>
      </c>
      <c r="F107" s="1571">
        <v>50</v>
      </c>
    </row>
    <row r="108" spans="1:6" s="1567" customFormat="1" ht="36">
      <c r="A108" s="1571">
        <v>48</v>
      </c>
      <c r="B108" s="3579"/>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579" t="s">
        <v>1739</v>
      </c>
      <c r="C111" s="1571" t="s">
        <v>1740</v>
      </c>
      <c r="D111" s="1497" t="s">
        <v>1741</v>
      </c>
      <c r="E111" s="1584">
        <v>0.2</v>
      </c>
      <c r="F111" s="1571">
        <v>30</v>
      </c>
    </row>
    <row r="112" spans="1:6" s="1567" customFormat="1" ht="24">
      <c r="A112" s="1571">
        <v>52</v>
      </c>
      <c r="B112" s="3579"/>
      <c r="C112" s="1571" t="s">
        <v>1742</v>
      </c>
      <c r="D112" s="1497" t="s">
        <v>1743</v>
      </c>
      <c r="E112" s="1584">
        <v>0.2</v>
      </c>
      <c r="F112" s="1571">
        <v>30</v>
      </c>
    </row>
    <row r="113" spans="1:6" s="1567" customFormat="1" ht="24">
      <c r="A113" s="1571">
        <v>53</v>
      </c>
      <c r="B113" s="3579"/>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579" t="s">
        <v>1752</v>
      </c>
      <c r="C116" s="1571" t="s">
        <v>1753</v>
      </c>
      <c r="D116" s="1497" t="s">
        <v>1754</v>
      </c>
      <c r="E116" s="1584">
        <v>0.2</v>
      </c>
      <c r="F116" s="1571">
        <v>30</v>
      </c>
    </row>
    <row r="117" spans="1:6" ht="36">
      <c r="A117" s="1571">
        <v>57</v>
      </c>
      <c r="B117" s="3579"/>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0.87809999999999999</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3064</v>
      </c>
    </row>
    <row r="2" spans="1:5" ht="14.25">
      <c r="A2" s="3342" t="s">
        <v>210</v>
      </c>
      <c r="B2" s="3339">
        <f ca="1">SUMIF(B6:B13,"&lt;&gt;#ref!",B6:B13)</f>
        <v>61104</v>
      </c>
      <c r="C2" s="3342" t="s">
        <v>2676</v>
      </c>
      <c r="D2" s="3342" t="s">
        <v>3059</v>
      </c>
      <c r="E2" s="3339" t="e">
        <f ca="1">SUM(E6:E13)</f>
        <v>#REF!</v>
      </c>
    </row>
    <row r="3" spans="1:5" ht="14.25">
      <c r="A3" s="3342" t="s">
        <v>8</v>
      </c>
      <c r="B3" s="3339" t="e">
        <f ca="1">ROUND(B2*10000/E2,0)</f>
        <v>#REF!</v>
      </c>
      <c r="C3" s="3342" t="s">
        <v>2677</v>
      </c>
      <c r="D3" s="3340"/>
      <c r="E3" s="3340"/>
    </row>
    <row r="4" spans="1:5" ht="14.25">
      <c r="A4" s="3343"/>
      <c r="B4" s="3340"/>
      <c r="C4" s="3340"/>
      <c r="D4" s="3340"/>
      <c r="E4" s="3340"/>
    </row>
    <row r="5" spans="1:5" ht="28.5">
      <c r="A5" s="3344" t="s">
        <v>3062</v>
      </c>
      <c r="B5" s="3342" t="s">
        <v>3060</v>
      </c>
      <c r="C5" s="3339"/>
      <c r="D5" s="3340"/>
      <c r="E5" s="3342" t="s">
        <v>3061</v>
      </c>
    </row>
    <row r="6" spans="1:5" ht="14.25">
      <c r="A6" s="3345" t="s">
        <v>3063</v>
      </c>
      <c r="B6" s="3341">
        <f ca="1">SUMIF(INDIRECT("'"&amp;A6&amp;"'"&amp;"!A:A"),"总价",INDIRECT("'"&amp;A6&amp;"'"&amp;"!B:B"))</f>
        <v>61104</v>
      </c>
      <c r="C6" s="3342" t="s">
        <v>2676</v>
      </c>
      <c r="D6" s="3340"/>
      <c r="E6" s="2788">
        <f ca="1">SUMIF(INDIRECT("'"&amp;A6&amp;"'"&amp;"!C:C"),"建筑面积",INDIRECT("'"&amp;A6&amp;"'"&amp;"!D:D"))</f>
        <v>117294.04</v>
      </c>
    </row>
    <row r="7" spans="1:5" ht="14.25">
      <c r="A7" s="3345"/>
      <c r="B7" s="3341" t="e">
        <f ca="1">SUMIF(INDIRECT("'"&amp;A7&amp;"'"&amp;"!A:A"),"总价",INDIRECT("'"&amp;A7&amp;"'"&amp;"!B:B"))</f>
        <v>#REF!</v>
      </c>
      <c r="C7" s="3342" t="s">
        <v>2676</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8" t="e">
        <f t="shared" ca="1" si="0"/>
        <v>#REF!</v>
      </c>
    </row>
    <row r="9" spans="1:5" ht="14.25">
      <c r="A9" s="3345"/>
      <c r="B9" s="3341" t="e">
        <f t="shared" ca="1" si="1"/>
        <v>#REF!</v>
      </c>
      <c r="C9" s="3342" t="s">
        <v>2676</v>
      </c>
      <c r="D9" s="3340"/>
      <c r="E9" s="2788" t="e">
        <f t="shared" ca="1" si="0"/>
        <v>#REF!</v>
      </c>
    </row>
    <row r="10" spans="1:5" ht="14.25">
      <c r="A10" s="3345"/>
      <c r="B10" s="3341" t="e">
        <f t="shared" ca="1" si="1"/>
        <v>#REF!</v>
      </c>
      <c r="C10" s="3342" t="s">
        <v>2676</v>
      </c>
      <c r="D10" s="3340"/>
      <c r="E10" s="2788" t="e">
        <f t="shared" ca="1" si="0"/>
        <v>#REF!</v>
      </c>
    </row>
    <row r="11" spans="1:5" ht="14.25">
      <c r="A11" s="3345"/>
      <c r="B11" s="3341" t="e">
        <f t="shared" ca="1" si="1"/>
        <v>#REF!</v>
      </c>
      <c r="C11" s="3342" t="s">
        <v>2676</v>
      </c>
      <c r="D11" s="3340"/>
      <c r="E11" s="2788" t="e">
        <f t="shared" ca="1" si="0"/>
        <v>#REF!</v>
      </c>
    </row>
    <row r="12" spans="1:5" ht="14.25">
      <c r="A12" s="3345"/>
      <c r="B12" s="3341" t="e">
        <f t="shared" ca="1" si="1"/>
        <v>#REF!</v>
      </c>
      <c r="C12" s="3342" t="s">
        <v>2676</v>
      </c>
      <c r="D12" s="3340"/>
      <c r="E12" s="2788" t="e">
        <f t="shared" ca="1" si="0"/>
        <v>#REF!</v>
      </c>
    </row>
    <row r="13" spans="1:5" ht="14.25">
      <c r="A13" s="3345"/>
      <c r="B13" s="3341" t="e">
        <f t="shared" ca="1" si="1"/>
        <v>#REF!</v>
      </c>
      <c r="C13" s="3342" t="s">
        <v>2676</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7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
        <v>2034</v>
      </c>
      <c r="B3" s="3375"/>
      <c r="C3" s="3375"/>
      <c r="D3" s="3375"/>
      <c r="E3" s="3375"/>
    </row>
    <row r="4" spans="1:5" ht="19.5" thickBot="1">
      <c r="A4" s="1974"/>
      <c r="B4" s="3373" t="s">
        <v>2039</v>
      </c>
      <c r="C4" s="3373"/>
      <c r="D4" s="3373"/>
      <c r="E4" s="1974"/>
    </row>
    <row r="5" spans="1:5" ht="16.5" thickTop="1">
      <c r="A5" s="1962"/>
      <c r="B5" s="3371" t="s">
        <v>2035</v>
      </c>
      <c r="C5" s="1964" t="s">
        <v>2040</v>
      </c>
      <c r="D5" s="1965">
        <f ca="1">结果表!H101</f>
        <v>259766</v>
      </c>
      <c r="E5" s="1962"/>
    </row>
    <row r="6" spans="1:5" ht="15.75">
      <c r="A6" s="1962"/>
      <c r="B6" s="3371"/>
      <c r="C6" s="1964" t="s">
        <v>2880</v>
      </c>
      <c r="D6" s="1965" t="str">
        <f ca="1">NUMBERSTRING(INT(D5*10000),2)&amp;"元整"</f>
        <v>贰拾伍亿玖仟柒佰陆拾陆万元整</v>
      </c>
      <c r="E6" s="1962"/>
    </row>
    <row r="7" spans="1:5" ht="15.75">
      <c r="A7" s="1962"/>
      <c r="B7" s="3376"/>
      <c r="C7" s="1966" t="s">
        <v>2041</v>
      </c>
      <c r="D7" s="1967">
        <f ca="1">结果表!H102</f>
        <v>21100</v>
      </c>
      <c r="E7" s="1962"/>
    </row>
    <row r="8" spans="1:5" ht="15.75">
      <c r="A8" s="1962"/>
      <c r="B8" s="3377" t="str">
        <f>结果表!E103</f>
        <v>2.估价师知悉的法定优先受偿款</v>
      </c>
      <c r="C8" s="1968" t="s">
        <v>2042</v>
      </c>
      <c r="D8" s="1967">
        <f>结果表!H103</f>
        <v>0</v>
      </c>
      <c r="E8" s="1962"/>
    </row>
    <row r="9" spans="1:5" ht="15.75">
      <c r="A9" s="1962"/>
      <c r="B9" s="3379"/>
      <c r="C9" s="1964" t="s">
        <v>2880</v>
      </c>
      <c r="D9" s="1965" t="str">
        <f>NUMBERSTRING(INT(D8*10000),2)&amp;"元整"</f>
        <v>零元整</v>
      </c>
      <c r="E9" s="1962"/>
    </row>
    <row r="10" spans="1:5" ht="15">
      <c r="A10" s="1962"/>
      <c r="B10" s="1969" t="s">
        <v>2036</v>
      </c>
      <c r="C10" s="1970" t="s">
        <v>2042</v>
      </c>
      <c r="D10" s="1971">
        <f>结果表!H104</f>
        <v>0</v>
      </c>
      <c r="E10" s="1962"/>
    </row>
    <row r="11" spans="1:5" ht="15">
      <c r="A11" s="1962"/>
      <c r="B11" s="1969" t="s">
        <v>2037</v>
      </c>
      <c r="C11" s="1970" t="s">
        <v>2042</v>
      </c>
      <c r="D11" s="1971">
        <f>结果表!H105</f>
        <v>0</v>
      </c>
      <c r="E11" s="1962"/>
    </row>
    <row r="12" spans="1:5" ht="15">
      <c r="A12" s="1962"/>
      <c r="B12" s="1969" t="s">
        <v>2038</v>
      </c>
      <c r="C12" s="1970" t="s">
        <v>2042</v>
      </c>
      <c r="D12" s="1971">
        <f>结果表!H106</f>
        <v>0</v>
      </c>
      <c r="E12" s="1962"/>
    </row>
    <row r="13" spans="1:5" ht="15.75">
      <c r="A13" s="1962"/>
      <c r="B13" s="3370" t="str">
        <f>结果表!E107</f>
        <v>3.房地产抵押价值</v>
      </c>
      <c r="C13" s="1972" t="s">
        <v>2040</v>
      </c>
      <c r="D13" s="1975">
        <f ca="1">结果表!H107</f>
        <v>259766</v>
      </c>
      <c r="E13" s="1962"/>
    </row>
    <row r="14" spans="1:5" ht="15.75">
      <c r="A14" s="1962"/>
      <c r="B14" s="3371"/>
      <c r="C14" s="1964" t="s">
        <v>2880</v>
      </c>
      <c r="D14" s="1965" t="str">
        <f ca="1">NUMBERSTRING(INT(D13*10000),2)&amp;"元整"</f>
        <v>贰拾伍亿玖仟柒佰陆拾陆万元整</v>
      </c>
      <c r="E14" s="1962"/>
    </row>
    <row r="15" spans="1:5" ht="15">
      <c r="A15" s="1962"/>
      <c r="B15" s="3376"/>
      <c r="C15" s="1966" t="s">
        <v>2041</v>
      </c>
      <c r="D15" s="2077">
        <f ca="1">结果表!H108</f>
        <v>21100</v>
      </c>
      <c r="E15" s="1962"/>
    </row>
    <row r="16" spans="1:5" ht="14.25">
      <c r="A16" s="1962"/>
      <c r="B16" s="3377" t="str">
        <f>结果表!E109</f>
        <v>——</v>
      </c>
      <c r="C16" s="1972" t="s">
        <v>2040</v>
      </c>
      <c r="D16" s="2078" t="str">
        <f>结果表!H109</f>
        <v>——</v>
      </c>
      <c r="E16" s="1962"/>
    </row>
    <row r="17" spans="1:5" ht="15.75">
      <c r="A17" s="1962"/>
      <c r="B17" s="3378"/>
      <c r="C17" s="1964" t="s">
        <v>2880</v>
      </c>
      <c r="D17" s="1965" t="e">
        <f>NUMBERSTRING(INT(D16*10000),2)&amp;"元整"</f>
        <v>#VALUE!</v>
      </c>
      <c r="E17" s="1962"/>
    </row>
    <row r="18" spans="1:5" ht="15">
      <c r="A18" s="1962"/>
      <c r="B18" s="3379"/>
      <c r="C18" s="1966" t="s">
        <v>2041</v>
      </c>
      <c r="D18" s="2077" t="str">
        <f>结果表!H110</f>
        <v>——</v>
      </c>
      <c r="E18" s="1962"/>
    </row>
    <row r="19" spans="1:5" ht="15.75">
      <c r="A19" s="1962"/>
      <c r="B19" s="3370" t="str">
        <f>结果表!E111</f>
        <v>——</v>
      </c>
      <c r="C19" s="1972" t="s">
        <v>2040</v>
      </c>
      <c r="D19" s="1967" t="str">
        <f>结果表!H111</f>
        <v>——</v>
      </c>
      <c r="E19" s="1962"/>
    </row>
    <row r="20" spans="1:5" ht="15.75">
      <c r="A20" s="1962"/>
      <c r="B20" s="3371"/>
      <c r="C20" s="1964" t="s">
        <v>2880</v>
      </c>
      <c r="D20" s="1965" t="e">
        <f>NUMBERSTRING(INT(D19*10000),2)&amp;"元整"</f>
        <v>#VALUE!</v>
      </c>
      <c r="E20" s="1962"/>
    </row>
    <row r="21" spans="1:5" ht="15.75" thickBot="1">
      <c r="A21" s="1962"/>
      <c r="B21" s="3372"/>
      <c r="C21" s="2079" t="s">
        <v>2041</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2" t="s">
        <v>2718</v>
      </c>
      <c r="C1" s="3732"/>
      <c r="D1" s="3732"/>
      <c r="E1" s="3732"/>
      <c r="F1" s="3732"/>
      <c r="G1" s="3731" t="s">
        <v>2719</v>
      </c>
      <c r="H1" s="3731"/>
      <c r="I1" s="3731"/>
      <c r="J1" s="3731"/>
      <c r="K1" s="3731"/>
      <c r="L1" s="3731"/>
      <c r="N1" s="3731" t="s">
        <v>2720</v>
      </c>
      <c r="O1" s="3731"/>
      <c r="P1" s="3731"/>
      <c r="Q1" s="3731"/>
      <c r="R1" s="2899"/>
      <c r="S1" s="3731" t="s">
        <v>2721</v>
      </c>
      <c r="T1" s="3731"/>
      <c r="U1" s="3731"/>
      <c r="V1" s="3731"/>
      <c r="X1" s="3730" t="s">
        <v>2722</v>
      </c>
      <c r="Y1" s="3731"/>
      <c r="Z1" s="3731"/>
      <c r="AA1" s="3731"/>
      <c r="AB1" s="3731"/>
      <c r="AD1" s="3730" t="s">
        <v>2723</v>
      </c>
      <c r="AE1" s="3731"/>
      <c r="AF1" s="3731"/>
      <c r="AG1" s="3731"/>
      <c r="AH1" s="3731"/>
    </row>
    <row r="2" spans="1:34" s="2900" customFormat="1" ht="14.25" thickBot="1">
      <c r="B2" s="2901" t="s">
        <v>2724</v>
      </c>
      <c r="C2" s="2901" t="s">
        <v>2725</v>
      </c>
      <c r="D2" s="2902" t="s">
        <v>2726</v>
      </c>
      <c r="E2" s="2902" t="s">
        <v>2727</v>
      </c>
      <c r="F2" s="2901" t="s">
        <v>2728</v>
      </c>
      <c r="G2" s="2903"/>
      <c r="H2" s="2904"/>
      <c r="I2" s="2901" t="s">
        <v>2724</v>
      </c>
      <c r="J2" s="2902" t="s">
        <v>3065</v>
      </c>
      <c r="K2" s="2902" t="s">
        <v>1846</v>
      </c>
      <c r="L2" s="2901" t="s">
        <v>2728</v>
      </c>
      <c r="N2" s="2901" t="s">
        <v>2724</v>
      </c>
      <c r="O2" s="2902" t="s">
        <v>3065</v>
      </c>
      <c r="P2" s="2902" t="s">
        <v>1846</v>
      </c>
      <c r="Q2" s="2901" t="s">
        <v>2728</v>
      </c>
      <c r="R2" s="2905"/>
      <c r="S2" s="2901" t="s">
        <v>2724</v>
      </c>
      <c r="T2" s="2902" t="s">
        <v>3065</v>
      </c>
      <c r="U2" s="2902" t="s">
        <v>1846</v>
      </c>
      <c r="V2" s="2901" t="s">
        <v>2728</v>
      </c>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2729</v>
      </c>
      <c r="B4" s="2915"/>
      <c r="C4" s="2915"/>
      <c r="D4" s="2915"/>
      <c r="E4" s="2915"/>
      <c r="F4" s="2915"/>
      <c r="G4" s="3733">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2730</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8"/>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2732</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3066</v>
      </c>
      <c r="B6" s="2934">
        <f t="shared" si="2"/>
        <v>419.31181600000002</v>
      </c>
      <c r="C6" s="2934">
        <f t="shared" si="3"/>
        <v>313.95436800000004</v>
      </c>
      <c r="D6" s="2934">
        <f t="shared" si="4"/>
        <v>313.95436800000004</v>
      </c>
      <c r="E6" s="2934">
        <f t="shared" si="5"/>
        <v>596.63028431999999</v>
      </c>
      <c r="F6" s="2934">
        <f t="shared" si="6"/>
        <v>274.74220703999998</v>
      </c>
      <c r="G6" s="3728"/>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2731</v>
      </c>
      <c r="B7" s="2934">
        <f>B8*(1+N7)</f>
        <v>405.524</v>
      </c>
      <c r="C7" s="2934">
        <f>C8*(1+O7)</f>
        <v>307.79840000000002</v>
      </c>
      <c r="D7" s="2934">
        <f>C7</f>
        <v>307.79840000000002</v>
      </c>
      <c r="E7" s="2934">
        <f>E8*(1+P7)</f>
        <v>574.67759999999998</v>
      </c>
      <c r="F7" s="2934">
        <f>F8*(1+Q7)</f>
        <v>270.20280000000002</v>
      </c>
      <c r="G7" s="3729"/>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33">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8"/>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28"/>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29"/>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7">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8"/>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28"/>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29"/>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7">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8"/>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28"/>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29"/>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2733</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2734</v>
      </c>
      <c r="B20" s="2926">
        <v>299</v>
      </c>
      <c r="C20" s="2926">
        <v>252</v>
      </c>
      <c r="D20" s="2926">
        <f t="shared" si="16"/>
        <v>252</v>
      </c>
      <c r="E20" s="2926">
        <v>409</v>
      </c>
      <c r="F20" s="2927">
        <v>227</v>
      </c>
      <c r="G20" s="3734">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2735</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5"/>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2736</v>
      </c>
      <c r="B22" s="2934">
        <f t="shared" si="25"/>
        <v>288.2649053828776</v>
      </c>
      <c r="C22" s="2934">
        <f t="shared" si="25"/>
        <v>243.64564425013293</v>
      </c>
      <c r="D22" s="2934">
        <f t="shared" si="16"/>
        <v>243.64564425013293</v>
      </c>
      <c r="E22" s="2934">
        <f t="shared" si="26"/>
        <v>393.31080825986544</v>
      </c>
      <c r="F22" s="2934">
        <f t="shared" si="26"/>
        <v>223.07903790551154</v>
      </c>
      <c r="G22" s="3735"/>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2737</v>
      </c>
      <c r="B23" s="2934">
        <f t="shared" si="25"/>
        <v>282.50186729015837</v>
      </c>
      <c r="C23" s="2934">
        <f t="shared" si="25"/>
        <v>238.09796174155468</v>
      </c>
      <c r="D23" s="2934">
        <f t="shared" si="16"/>
        <v>238.09796174155468</v>
      </c>
      <c r="E23" s="2934">
        <f t="shared" si="26"/>
        <v>385.33438646014054</v>
      </c>
      <c r="F23" s="2934">
        <f t="shared" si="26"/>
        <v>221.55034055567739</v>
      </c>
      <c r="G23" s="3736"/>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2738</v>
      </c>
      <c r="B24" s="2968">
        <v>278</v>
      </c>
      <c r="C24" s="2968">
        <v>234</v>
      </c>
      <c r="D24" s="2968">
        <f t="shared" si="16"/>
        <v>234</v>
      </c>
      <c r="E24" s="2968">
        <v>379</v>
      </c>
      <c r="F24" s="2969">
        <v>220</v>
      </c>
      <c r="G24" s="3727">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2739</v>
      </c>
      <c r="B25" s="2934">
        <f>B24/(1+N24)</f>
        <v>275.49301357645425</v>
      </c>
      <c r="C25" s="2934">
        <f>C24/(1+O24)</f>
        <v>232.41954707985698</v>
      </c>
      <c r="D25" s="2934">
        <f t="shared" si="16"/>
        <v>232.41954707985698</v>
      </c>
      <c r="E25" s="2934">
        <f t="shared" ref="E25:F27" si="27">E24/(1+P24)</f>
        <v>375.32184591008121</v>
      </c>
      <c r="F25" s="2934">
        <f t="shared" si="27"/>
        <v>218.03766105054513</v>
      </c>
      <c r="G25" s="3728"/>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2740</v>
      </c>
      <c r="B26" s="2934">
        <f>B25/(1+N25)</f>
        <v>275.24529281292263</v>
      </c>
      <c r="C26" s="2934">
        <f>C25/(1+O25)</f>
        <v>231.74747938962707</v>
      </c>
      <c r="D26" s="2934">
        <f t="shared" si="16"/>
        <v>231.74747938962707</v>
      </c>
      <c r="E26" s="2934">
        <f t="shared" si="27"/>
        <v>375.35938184826603</v>
      </c>
      <c r="F26" s="2934">
        <f t="shared" si="27"/>
        <v>216.78033510692495</v>
      </c>
      <c r="G26" s="3728"/>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2741</v>
      </c>
      <c r="B27" s="2934">
        <f>B26/(1+N26)</f>
        <v>275.19025476197027</v>
      </c>
      <c r="C27" s="2970">
        <v>232</v>
      </c>
      <c r="D27" s="2970">
        <f t="shared" si="16"/>
        <v>232</v>
      </c>
      <c r="E27" s="2934">
        <f t="shared" si="27"/>
        <v>375.65990977608692</v>
      </c>
      <c r="F27" s="2934">
        <f t="shared" si="27"/>
        <v>214.12518283971252</v>
      </c>
      <c r="G27" s="3729"/>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2742</v>
      </c>
      <c r="B28" s="2926">
        <v>275</v>
      </c>
      <c r="C28" s="2926">
        <v>232</v>
      </c>
      <c r="D28" s="2926">
        <f t="shared" si="16"/>
        <v>232</v>
      </c>
      <c r="E28" s="2926">
        <v>376</v>
      </c>
      <c r="F28" s="2927">
        <v>213</v>
      </c>
      <c r="G28" s="3727">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2743</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8">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2744</v>
      </c>
      <c r="B30" s="2934">
        <f t="shared" si="28"/>
        <v>275.19335084830601</v>
      </c>
      <c r="C30" s="2934">
        <f t="shared" si="28"/>
        <v>230.18088050139744</v>
      </c>
      <c r="D30" s="2934">
        <f t="shared" si="16"/>
        <v>230.18088050139744</v>
      </c>
      <c r="E30" s="2934">
        <f t="shared" si="29"/>
        <v>377.58482925212331</v>
      </c>
      <c r="F30" s="2934">
        <f t="shared" si="29"/>
        <v>210.90687997847917</v>
      </c>
      <c r="G30" s="3728">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2745</v>
      </c>
      <c r="B31" s="2934">
        <f t="shared" si="28"/>
        <v>276.29854502841971</v>
      </c>
      <c r="C31" s="2934">
        <f t="shared" si="28"/>
        <v>229.79023709833027</v>
      </c>
      <c r="D31" s="2934">
        <f t="shared" si="16"/>
        <v>229.79023709833027</v>
      </c>
      <c r="E31" s="2934">
        <f t="shared" si="29"/>
        <v>379.78759731655936</v>
      </c>
      <c r="F31" s="2934">
        <f t="shared" si="29"/>
        <v>211.32953905659235</v>
      </c>
      <c r="G31" s="3729">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2746</v>
      </c>
      <c r="B32" s="2926">
        <v>269</v>
      </c>
      <c r="C32" s="2926">
        <v>221</v>
      </c>
      <c r="D32" s="2926">
        <f t="shared" si="16"/>
        <v>221</v>
      </c>
      <c r="E32" s="2926">
        <v>373</v>
      </c>
      <c r="F32" s="2927">
        <v>196</v>
      </c>
      <c r="G32" s="3727">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2747</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8">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2748</v>
      </c>
      <c r="B34" s="2934">
        <f t="shared" si="30"/>
        <v>242.95398227588385</v>
      </c>
      <c r="C34" s="2934">
        <f t="shared" si="30"/>
        <v>199.59137053614126</v>
      </c>
      <c r="D34" s="2934">
        <f t="shared" si="16"/>
        <v>199.59137053614126</v>
      </c>
      <c r="E34" s="2934">
        <f t="shared" si="31"/>
        <v>335.92189522342125</v>
      </c>
      <c r="F34" s="2934">
        <f t="shared" si="31"/>
        <v>183.10139991109489</v>
      </c>
      <c r="G34" s="3728">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2749</v>
      </c>
      <c r="B35" s="2934">
        <f t="shared" si="30"/>
        <v>232.06990378821649</v>
      </c>
      <c r="C35" s="2934">
        <f t="shared" si="30"/>
        <v>192.74878854286936</v>
      </c>
      <c r="D35" s="2934">
        <f t="shared" si="16"/>
        <v>192.74878854286936</v>
      </c>
      <c r="E35" s="2934">
        <f t="shared" si="31"/>
        <v>319.71247284992984</v>
      </c>
      <c r="F35" s="2934">
        <f t="shared" si="31"/>
        <v>175.67053622862409</v>
      </c>
      <c r="G35" s="3729">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2750</v>
      </c>
      <c r="B36" s="2926">
        <v>220</v>
      </c>
      <c r="C36" s="2926">
        <v>187</v>
      </c>
      <c r="D36" s="2926">
        <f t="shared" si="16"/>
        <v>187</v>
      </c>
      <c r="E36" s="2926">
        <v>301</v>
      </c>
      <c r="F36" s="2927">
        <v>168</v>
      </c>
      <c r="G36" s="3727">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2751</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8">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2752</v>
      </c>
      <c r="B38" s="2934">
        <f t="shared" si="32"/>
        <v>210.630522469011</v>
      </c>
      <c r="C38" s="2934">
        <f t="shared" si="32"/>
        <v>181.69567812247232</v>
      </c>
      <c r="D38" s="2934">
        <f t="shared" si="16"/>
        <v>181.69567812247232</v>
      </c>
      <c r="E38" s="2934">
        <f t="shared" si="33"/>
        <v>286.13517466736738</v>
      </c>
      <c r="F38" s="2934">
        <f t="shared" si="33"/>
        <v>165.47535084591149</v>
      </c>
      <c r="G38" s="3728">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2753</v>
      </c>
      <c r="B39" s="2934">
        <f t="shared" si="32"/>
        <v>208.83454537875372</v>
      </c>
      <c r="C39" s="2934">
        <f t="shared" si="32"/>
        <v>183.77230517090351</v>
      </c>
      <c r="D39" s="2934">
        <f t="shared" si="16"/>
        <v>183.77230517090351</v>
      </c>
      <c r="E39" s="2934">
        <f t="shared" si="33"/>
        <v>281.10342338870947</v>
      </c>
      <c r="F39" s="2934">
        <f t="shared" si="33"/>
        <v>168.97309388942256</v>
      </c>
      <c r="G39" s="3729">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2754</v>
      </c>
      <c r="B40" s="2968">
        <v>214</v>
      </c>
      <c r="C40" s="2968">
        <v>188</v>
      </c>
      <c r="D40" s="2968">
        <f t="shared" si="16"/>
        <v>188</v>
      </c>
      <c r="E40" s="2968">
        <v>289</v>
      </c>
      <c r="F40" s="2969">
        <v>166</v>
      </c>
      <c r="G40" s="3727">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2755</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8">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2756</v>
      </c>
      <c r="B42" s="2934">
        <f t="shared" si="34"/>
        <v>206.31694671589116</v>
      </c>
      <c r="C42" s="2934">
        <f t="shared" si="34"/>
        <v>183.61041121036101</v>
      </c>
      <c r="D42" s="2934">
        <f t="shared" si="16"/>
        <v>183.61041121036101</v>
      </c>
      <c r="E42" s="2934">
        <f t="shared" si="35"/>
        <v>276.66850301795557</v>
      </c>
      <c r="F42" s="2934">
        <f t="shared" si="35"/>
        <v>165.1360938278614</v>
      </c>
      <c r="G42" s="3728">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2757</v>
      </c>
      <c r="B43" s="2971">
        <f t="shared" si="34"/>
        <v>196.62341248059772</v>
      </c>
      <c r="C43" s="2971">
        <f t="shared" si="34"/>
        <v>170.99125648199012</v>
      </c>
      <c r="D43" s="2971">
        <f t="shared" si="16"/>
        <v>170.99125648199012</v>
      </c>
      <c r="E43" s="2971">
        <f t="shared" si="35"/>
        <v>266.07857570490052</v>
      </c>
      <c r="F43" s="2971">
        <f t="shared" si="35"/>
        <v>154.53499328828505</v>
      </c>
      <c r="G43" s="3729">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2758</v>
      </c>
      <c r="B44" s="2926">
        <v>188</v>
      </c>
      <c r="C44" s="2926">
        <v>165</v>
      </c>
      <c r="D44" s="2926">
        <f t="shared" si="16"/>
        <v>165</v>
      </c>
      <c r="E44" s="2926">
        <v>254</v>
      </c>
      <c r="F44" s="2927">
        <v>148</v>
      </c>
      <c r="G44" s="3727">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2759</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8">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2760</v>
      </c>
      <c r="B46" s="2934">
        <f t="shared" si="38"/>
        <v>168.82017748715555</v>
      </c>
      <c r="C46" s="2934">
        <f t="shared" si="38"/>
        <v>148.06267029972753</v>
      </c>
      <c r="D46" s="2934">
        <f t="shared" si="16"/>
        <v>148.06267029972753</v>
      </c>
      <c r="E46" s="2934">
        <f t="shared" si="39"/>
        <v>216.46288379323747</v>
      </c>
      <c r="F46" s="2934">
        <f t="shared" si="39"/>
        <v>134.23529411764704</v>
      </c>
      <c r="G46" s="3728">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2761</v>
      </c>
      <c r="B47" s="2934">
        <f t="shared" si="38"/>
        <v>163.84913591779542</v>
      </c>
      <c r="C47" s="2934">
        <f t="shared" si="38"/>
        <v>145.0283378746594</v>
      </c>
      <c r="D47" s="2934">
        <f t="shared" si="16"/>
        <v>145.0283378746594</v>
      </c>
      <c r="E47" s="2934">
        <f t="shared" si="39"/>
        <v>204.95180722891567</v>
      </c>
      <c r="F47" s="2934">
        <f t="shared" si="39"/>
        <v>125.95920303605313</v>
      </c>
      <c r="G47" s="3729">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2762</v>
      </c>
      <c r="B48" s="2947">
        <v>159</v>
      </c>
      <c r="C48" s="2947">
        <v>141</v>
      </c>
      <c r="D48" s="2947">
        <f t="shared" si="16"/>
        <v>141</v>
      </c>
      <c r="E48" s="2947">
        <v>195</v>
      </c>
      <c r="F48" s="2948">
        <v>122</v>
      </c>
      <c r="G48" s="3727">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2763</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8">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2764</v>
      </c>
      <c r="B50" s="2934">
        <f t="shared" si="42"/>
        <v>146.57412060301507</v>
      </c>
      <c r="C50" s="2934">
        <f t="shared" si="42"/>
        <v>136.46831955922866</v>
      </c>
      <c r="D50" s="2934">
        <f t="shared" si="16"/>
        <v>136.46831955922866</v>
      </c>
      <c r="E50" s="2934">
        <f t="shared" si="43"/>
        <v>166.73864894795128</v>
      </c>
      <c r="F50" s="2934">
        <f t="shared" si="43"/>
        <v>115.05882352941177</v>
      </c>
      <c r="G50" s="3728">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2765</v>
      </c>
      <c r="B51" s="2934">
        <f t="shared" si="42"/>
        <v>144.04145728643215</v>
      </c>
      <c r="C51" s="2934">
        <f t="shared" si="42"/>
        <v>136.12396694214877</v>
      </c>
      <c r="D51" s="2934">
        <f t="shared" si="16"/>
        <v>136.12396694214877</v>
      </c>
      <c r="E51" s="2934">
        <f t="shared" si="43"/>
        <v>158.32225913621264</v>
      </c>
      <c r="F51" s="2934">
        <f t="shared" si="43"/>
        <v>114.04278074866311</v>
      </c>
      <c r="G51" s="3729">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2766</v>
      </c>
      <c r="B52" s="2947">
        <v>138</v>
      </c>
      <c r="C52" s="2947">
        <v>131</v>
      </c>
      <c r="D52" s="2947">
        <f t="shared" si="16"/>
        <v>131</v>
      </c>
      <c r="E52" s="2947">
        <v>155</v>
      </c>
      <c r="F52" s="2948">
        <v>114</v>
      </c>
      <c r="G52" s="3727">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2767</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8">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2768</v>
      </c>
      <c r="B54" s="2934">
        <f t="shared" si="46"/>
        <v>124.29032258064517</v>
      </c>
      <c r="C54" s="2934">
        <f t="shared" si="46"/>
        <v>123.8968609865471</v>
      </c>
      <c r="D54" s="2934">
        <f t="shared" si="16"/>
        <v>123.8968609865471</v>
      </c>
      <c r="E54" s="2934">
        <f t="shared" si="47"/>
        <v>138.00507614213197</v>
      </c>
      <c r="F54" s="2934">
        <f t="shared" si="47"/>
        <v>107.96106557377048</v>
      </c>
      <c r="G54" s="3728">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2769</v>
      </c>
      <c r="B55" s="2934">
        <f t="shared" si="46"/>
        <v>122.57204301075269</v>
      </c>
      <c r="C55" s="2934">
        <f t="shared" si="46"/>
        <v>123.4932735426009</v>
      </c>
      <c r="D55" s="2934">
        <f t="shared" si="16"/>
        <v>123.4932735426009</v>
      </c>
      <c r="E55" s="2934">
        <f t="shared" si="47"/>
        <v>129.82233502538071</v>
      </c>
      <c r="F55" s="2934">
        <f t="shared" si="47"/>
        <v>107.39446721311475</v>
      </c>
      <c r="G55" s="3729">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2770</v>
      </c>
      <c r="B56" s="2968">
        <v>121</v>
      </c>
      <c r="C56" s="2968">
        <v>122</v>
      </c>
      <c r="D56" s="2968">
        <f t="shared" si="16"/>
        <v>122</v>
      </c>
      <c r="E56" s="2968">
        <v>124</v>
      </c>
      <c r="F56" s="2969">
        <v>107</v>
      </c>
      <c r="G56" s="3727">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2771</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8">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2772</v>
      </c>
      <c r="B58" s="2934">
        <f t="shared" si="50"/>
        <v>116.99099099099099</v>
      </c>
      <c r="C58" s="2934">
        <f t="shared" si="50"/>
        <v>118.84848484848486</v>
      </c>
      <c r="D58" s="2934">
        <f t="shared" si="16"/>
        <v>118.84848484848486</v>
      </c>
      <c r="E58" s="2934">
        <f t="shared" si="51"/>
        <v>117.60960960960961</v>
      </c>
      <c r="F58" s="2934">
        <f t="shared" si="51"/>
        <v>104</v>
      </c>
      <c r="G58" s="3728">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2773</v>
      </c>
      <c r="B59" s="2971">
        <f t="shared" si="50"/>
        <v>112.48648648648648</v>
      </c>
      <c r="C59" s="2971">
        <f t="shared" si="50"/>
        <v>115.21212121212122</v>
      </c>
      <c r="D59" s="2971">
        <f t="shared" si="16"/>
        <v>115.21212121212122</v>
      </c>
      <c r="E59" s="2971">
        <f t="shared" si="51"/>
        <v>110.4024024024024</v>
      </c>
      <c r="F59" s="2971">
        <f t="shared" si="51"/>
        <v>104</v>
      </c>
      <c r="G59" s="3729">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2774</v>
      </c>
      <c r="B60" s="2989">
        <v>111</v>
      </c>
      <c r="C60" s="2989">
        <v>114</v>
      </c>
      <c r="D60" s="2989">
        <f t="shared" si="16"/>
        <v>114</v>
      </c>
      <c r="E60" s="2989">
        <v>108</v>
      </c>
      <c r="F60" s="2990">
        <v>104</v>
      </c>
      <c r="G60" s="3727">
        <v>2003</v>
      </c>
      <c r="H60" s="2979">
        <v>4</v>
      </c>
      <c r="I60" s="2991"/>
      <c r="J60" s="2991"/>
      <c r="K60" s="2991"/>
      <c r="L60" s="2991"/>
      <c r="N60" s="2992"/>
      <c r="O60" s="2991"/>
      <c r="P60" s="2991"/>
      <c r="Q60" s="2991"/>
      <c r="S60" s="2992"/>
      <c r="T60" s="2991"/>
      <c r="U60" s="2991"/>
      <c r="V60" s="2991"/>
      <c r="X60" s="2983"/>
      <c r="Y60" s="2983"/>
      <c r="Z60" s="2983"/>
    </row>
    <row r="61" spans="1:26">
      <c r="A61" s="2914" t="s">
        <v>2775</v>
      </c>
      <c r="B61" s="2993">
        <f t="shared" ref="B61:C63" si="52">B62+(B$60-B$64)/4</f>
        <v>109.75</v>
      </c>
      <c r="C61" s="2993">
        <f t="shared" si="52"/>
        <v>112.25</v>
      </c>
      <c r="D61" s="2993">
        <f t="shared" si="16"/>
        <v>112.25</v>
      </c>
      <c r="E61" s="2993">
        <f t="shared" ref="E61:F63" si="53">E62+(E$60-E$64)/4</f>
        <v>107.25</v>
      </c>
      <c r="F61" s="2993">
        <f t="shared" si="53"/>
        <v>103.5</v>
      </c>
      <c r="G61" s="3728">
        <v>2003</v>
      </c>
      <c r="H61" s="2944">
        <v>3</v>
      </c>
      <c r="I61" s="2991"/>
      <c r="J61" s="2991"/>
      <c r="K61" s="2991"/>
      <c r="L61" s="2991"/>
      <c r="X61" s="2983"/>
      <c r="Y61" s="2983"/>
      <c r="Z61" s="2983"/>
    </row>
    <row r="62" spans="1:26">
      <c r="A62" s="2914" t="s">
        <v>2776</v>
      </c>
      <c r="B62" s="2993">
        <f t="shared" si="52"/>
        <v>108.5</v>
      </c>
      <c r="C62" s="2993">
        <f t="shared" si="52"/>
        <v>110.5</v>
      </c>
      <c r="D62" s="2993">
        <f t="shared" si="16"/>
        <v>110.5</v>
      </c>
      <c r="E62" s="2993">
        <f t="shared" si="53"/>
        <v>106.5</v>
      </c>
      <c r="F62" s="2993">
        <f t="shared" si="53"/>
        <v>103</v>
      </c>
      <c r="G62" s="3728">
        <v>2003</v>
      </c>
      <c r="H62" s="2920">
        <v>2</v>
      </c>
      <c r="I62" s="2991"/>
      <c r="J62" s="2991"/>
      <c r="K62" s="2991"/>
      <c r="L62" s="2991"/>
      <c r="X62" s="2983"/>
      <c r="Y62" s="2983"/>
      <c r="Z62" s="2983"/>
    </row>
    <row r="63" spans="1:26" ht="13.5" thickBot="1">
      <c r="A63" s="2914" t="s">
        <v>2777</v>
      </c>
      <c r="B63" s="2993">
        <f t="shared" si="52"/>
        <v>107.25</v>
      </c>
      <c r="C63" s="2993">
        <f t="shared" si="52"/>
        <v>108.75</v>
      </c>
      <c r="D63" s="2993">
        <f t="shared" si="16"/>
        <v>108.75</v>
      </c>
      <c r="E63" s="2993">
        <f t="shared" si="53"/>
        <v>105.75</v>
      </c>
      <c r="F63" s="2993">
        <f t="shared" si="53"/>
        <v>102.5</v>
      </c>
      <c r="G63" s="3729">
        <v>2003</v>
      </c>
      <c r="H63" s="2994">
        <v>1</v>
      </c>
      <c r="I63" s="2991"/>
      <c r="J63" s="2991"/>
      <c r="K63" s="2991"/>
      <c r="L63" s="2991"/>
      <c r="S63" s="2929"/>
      <c r="T63" s="2930"/>
      <c r="U63" s="2930"/>
      <c r="X63" s="2983"/>
      <c r="Y63" s="2983"/>
      <c r="Z63" s="2983"/>
    </row>
    <row r="64" spans="1:26" ht="13.5" thickBot="1">
      <c r="A64" s="2914" t="s">
        <v>2778</v>
      </c>
      <c r="B64" s="2995">
        <v>106</v>
      </c>
      <c r="C64" s="2995">
        <v>107</v>
      </c>
      <c r="D64" s="2995">
        <f t="shared" si="16"/>
        <v>107</v>
      </c>
      <c r="E64" s="2995">
        <v>105</v>
      </c>
      <c r="F64" s="2996">
        <v>102</v>
      </c>
      <c r="G64" s="3727">
        <v>2002</v>
      </c>
      <c r="H64" s="2939">
        <v>4</v>
      </c>
      <c r="I64" s="2991"/>
      <c r="J64" s="2991"/>
      <c r="K64" s="2991"/>
      <c r="L64" s="2991"/>
      <c r="N64" s="2992"/>
      <c r="O64" s="2991"/>
      <c r="P64" s="2991"/>
      <c r="Q64" s="2991"/>
      <c r="S64" s="2992"/>
      <c r="T64" s="2991"/>
      <c r="U64" s="2991"/>
      <c r="V64" s="2991"/>
      <c r="X64" s="2983"/>
      <c r="Y64" s="2983"/>
      <c r="Z64" s="2983"/>
    </row>
    <row r="65" spans="1:26">
      <c r="A65" s="2914" t="s">
        <v>2779</v>
      </c>
      <c r="B65" s="2993">
        <f t="shared" ref="B65:C67" si="54">B66+(B$64-B$68)/4</f>
        <v>105</v>
      </c>
      <c r="C65" s="2993">
        <f t="shared" si="54"/>
        <v>106</v>
      </c>
      <c r="D65" s="2993">
        <f t="shared" si="16"/>
        <v>106</v>
      </c>
      <c r="E65" s="2993">
        <f t="shared" ref="E65:F67" si="55">E66+(E$64-E$68)/4</f>
        <v>104.5</v>
      </c>
      <c r="F65" s="2993">
        <f t="shared" si="55"/>
        <v>101.5</v>
      </c>
      <c r="G65" s="3728">
        <v>2002</v>
      </c>
      <c r="H65" s="2944">
        <v>3</v>
      </c>
      <c r="I65" s="2991"/>
      <c r="J65" s="2991"/>
      <c r="K65" s="2991"/>
      <c r="L65" s="2991"/>
      <c r="X65" s="2983"/>
      <c r="Y65" s="2983"/>
      <c r="Z65" s="2983"/>
    </row>
    <row r="66" spans="1:26">
      <c r="A66" s="2914" t="s">
        <v>2780</v>
      </c>
      <c r="B66" s="2993">
        <f t="shared" si="54"/>
        <v>104</v>
      </c>
      <c r="C66" s="2993">
        <f t="shared" si="54"/>
        <v>105</v>
      </c>
      <c r="D66" s="2993">
        <f t="shared" si="16"/>
        <v>105</v>
      </c>
      <c r="E66" s="2993">
        <f t="shared" si="55"/>
        <v>104</v>
      </c>
      <c r="F66" s="2993">
        <f t="shared" si="55"/>
        <v>101</v>
      </c>
      <c r="G66" s="3728">
        <v>2002</v>
      </c>
      <c r="H66" s="2920">
        <v>2</v>
      </c>
      <c r="I66" s="2991"/>
      <c r="J66" s="2991"/>
      <c r="K66" s="2991"/>
      <c r="L66" s="2991"/>
      <c r="X66" s="2983"/>
      <c r="Y66" s="2983"/>
      <c r="Z66" s="2983"/>
    </row>
    <row r="67" spans="1:26" s="2955" customFormat="1" ht="13.5" thickBot="1">
      <c r="A67" s="2951" t="s">
        <v>2781</v>
      </c>
      <c r="B67" s="2997">
        <f t="shared" si="54"/>
        <v>103</v>
      </c>
      <c r="C67" s="2997">
        <f t="shared" si="54"/>
        <v>104</v>
      </c>
      <c r="D67" s="2997">
        <f t="shared" si="16"/>
        <v>104</v>
      </c>
      <c r="E67" s="2997">
        <f t="shared" si="55"/>
        <v>103.5</v>
      </c>
      <c r="F67" s="2997">
        <f t="shared" si="55"/>
        <v>100.5</v>
      </c>
      <c r="G67" s="3729">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2782</v>
      </c>
      <c r="G70" s="3007"/>
      <c r="N70" s="3007"/>
      <c r="S70" s="3007"/>
    </row>
    <row r="71" spans="1:26" s="3006" customFormat="1">
      <c r="A71" s="3006" t="s">
        <v>2783</v>
      </c>
      <c r="G71" s="3007"/>
      <c r="N71" s="3007"/>
      <c r="S71" s="3007"/>
    </row>
    <row r="72" spans="1:26" s="3006" customFormat="1">
      <c r="A72" s="3006" t="s">
        <v>2784</v>
      </c>
      <c r="G72" s="3007"/>
      <c r="I72" s="3008"/>
      <c r="J72" s="3008"/>
      <c r="K72" s="3008"/>
      <c r="L72" s="3008"/>
      <c r="N72" s="3009"/>
      <c r="O72" s="3008"/>
      <c r="P72" s="3008"/>
      <c r="Q72" s="3008"/>
      <c r="S72" s="3009"/>
      <c r="T72" s="3008"/>
      <c r="U72" s="3008"/>
      <c r="V72" s="3008"/>
    </row>
    <row r="73" spans="1:26" s="3006" customFormat="1">
      <c r="A73" s="3006" t="s">
        <v>2785</v>
      </c>
      <c r="G73" s="3007"/>
      <c r="N73" s="3007"/>
      <c r="S73" s="3007"/>
    </row>
    <row r="80" spans="1:26" ht="13.5" thickBot="1"/>
    <row r="81" spans="14:22" s="2928" customFormat="1">
      <c r="N81" s="2943"/>
      <c r="S81" s="3010" t="s">
        <v>2786</v>
      </c>
      <c r="T81" s="3011" t="s">
        <v>2787</v>
      </c>
      <c r="U81" s="3011" t="s">
        <v>2788</v>
      </c>
      <c r="V81" s="3011" t="s">
        <v>2789</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1"/>
    <col min="46" max="16384" width="9" style="470"/>
  </cols>
  <sheetData>
    <row r="1" spans="1:45" ht="14.25" customHeight="1" thickBot="1">
      <c r="A1" s="487"/>
      <c r="B1" s="2440" t="s">
        <v>2388</v>
      </c>
      <c r="C1" s="3740" t="s">
        <v>2389</v>
      </c>
      <c r="D1" s="3741"/>
      <c r="E1" s="3741"/>
      <c r="F1" s="3741"/>
      <c r="G1" s="3741"/>
      <c r="H1" s="3741"/>
      <c r="I1" s="3741"/>
      <c r="J1" s="3741"/>
      <c r="K1" s="3741"/>
      <c r="L1" s="3741"/>
      <c r="M1" s="3741"/>
      <c r="N1" s="3741"/>
      <c r="O1" s="3741"/>
      <c r="P1" s="3741"/>
      <c r="Q1" s="3741"/>
      <c r="R1" s="3741"/>
      <c r="S1" s="3742"/>
      <c r="T1" s="2440" t="s">
        <v>2390</v>
      </c>
    </row>
    <row r="2" spans="1:45" s="1114" customFormat="1">
      <c r="A2" s="2441"/>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5" t="s">
        <v>3035</v>
      </c>
      <c r="C5" s="2452"/>
      <c r="D5" s="2453"/>
      <c r="E5" s="2453"/>
      <c r="F5" s="3214"/>
      <c r="G5" s="3214"/>
      <c r="H5" s="3214"/>
      <c r="I5" s="3214"/>
      <c r="J5" s="3214"/>
      <c r="K5" s="3214"/>
      <c r="L5" s="3215"/>
      <c r="M5" s="3216"/>
      <c r="N5" s="3216"/>
      <c r="O5" s="3214"/>
      <c r="P5" s="3214"/>
      <c r="Q5" s="3214"/>
      <c r="R5" s="3214"/>
      <c r="S5" s="3217"/>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6" t="s">
        <v>3034</v>
      </c>
      <c r="C7" s="2207"/>
      <c r="D7" s="2201"/>
      <c r="E7" s="2201"/>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6" t="s">
        <v>3033</v>
      </c>
      <c r="C9" s="2207"/>
      <c r="D9" s="2201"/>
      <c r="E9" s="2201"/>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5" t="s">
        <v>3032</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5" t="s">
        <v>3031</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5" t="s">
        <v>3030</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9"/>
      <c r="B19" s="500"/>
      <c r="C19" s="500"/>
      <c r="D19" s="3356" t="s">
        <v>3068</v>
      </c>
      <c r="E19" s="3351"/>
      <c r="F19" s="3351"/>
      <c r="G19" s="3351"/>
      <c r="H19" s="2537"/>
      <c r="I19" s="500"/>
      <c r="J19" s="500"/>
      <c r="K19" s="500"/>
      <c r="L19" s="500"/>
      <c r="M19" s="500"/>
      <c r="N19" s="500"/>
      <c r="O19" s="500"/>
      <c r="P19" s="500"/>
      <c r="Q19" s="500"/>
      <c r="R19" s="1414"/>
      <c r="S19" s="469"/>
    </row>
    <row r="20" spans="1:45" ht="16.5" thickBot="1">
      <c r="A20" s="1122" t="s">
        <v>521</v>
      </c>
      <c r="B20" s="673" t="e">
        <f ca="1">IF(D20="——",S22,S22-F20)</f>
        <v>#REF!</v>
      </c>
      <c r="C20" s="500"/>
      <c r="D20" s="3352" t="s">
        <v>3069</v>
      </c>
      <c r="E20" s="3353"/>
      <c r="F20" s="2440" t="e">
        <f ca="1">SUMIF(INDIRECT("'"&amp;H20&amp;"'"&amp;"!A:A"),"承租人权益价值",INDIRECT("'"&amp;H20&amp;"'"&amp;"!c:c"))</f>
        <v>#REF!</v>
      </c>
      <c r="G20" s="3354" t="s">
        <v>3056</v>
      </c>
      <c r="H20" s="3355"/>
      <c r="I20" s="500"/>
      <c r="J20" s="500"/>
      <c r="K20" s="500"/>
      <c r="L20" s="500"/>
      <c r="M20" s="500"/>
      <c r="N20" s="500"/>
      <c r="O20" s="500"/>
      <c r="P20" s="500"/>
      <c r="Q20" s="500"/>
      <c r="R20" s="1414"/>
      <c r="S20" s="469"/>
    </row>
    <row r="21" spans="1:45" ht="15.75">
      <c r="A21" s="1122" t="s">
        <v>522</v>
      </c>
      <c r="B21" s="673">
        <f>R22</f>
        <v>10000</v>
      </c>
      <c r="C21" s="500"/>
      <c r="D21" s="500"/>
      <c r="E21" s="500"/>
      <c r="F21" s="500"/>
      <c r="G21" s="500"/>
      <c r="H21" s="500"/>
      <c r="I21" s="500"/>
      <c r="J21" s="500"/>
      <c r="K21" s="500"/>
      <c r="L21" s="500"/>
      <c r="M21" s="500"/>
      <c r="N21" s="500"/>
      <c r="O21" s="500"/>
      <c r="P21" s="500"/>
      <c r="Q21" s="500"/>
      <c r="R21" s="1414"/>
      <c r="S21" s="469"/>
    </row>
    <row r="22" spans="1:45">
      <c r="A22" s="698" t="s">
        <v>523</v>
      </c>
      <c r="B22" s="313">
        <f>SUM(B24:B10000)</f>
        <v>100</v>
      </c>
      <c r="C22" s="3737" t="s">
        <v>169</v>
      </c>
      <c r="D22" s="3738"/>
      <c r="E22" s="3738"/>
      <c r="F22" s="3738"/>
      <c r="G22" s="3738"/>
      <c r="H22" s="3738"/>
      <c r="I22" s="3738"/>
      <c r="J22" s="3738"/>
      <c r="K22" s="3738"/>
      <c r="L22" s="3738"/>
      <c r="M22" s="3738"/>
      <c r="N22" s="3738"/>
      <c r="O22" s="3738"/>
      <c r="P22" s="3738"/>
      <c r="Q22" s="3739"/>
      <c r="R22" s="1123">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529</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94575</v>
      </c>
      <c r="C2" s="85" t="s">
        <v>866</v>
      </c>
      <c r="D2" s="575"/>
      <c r="E2" s="575"/>
      <c r="F2" s="575"/>
      <c r="G2" s="575"/>
    </row>
    <row r="3" spans="1:7" s="576" customFormat="1" ht="18" customHeight="1" thickBot="1">
      <c r="A3" s="579" t="s">
        <v>818</v>
      </c>
      <c r="B3" s="580">
        <f ca="1">ROUND(B2*10000/'数据-汇总表'!E3,0)</f>
        <v>7682</v>
      </c>
      <c r="C3" s="85" t="s">
        <v>867</v>
      </c>
      <c r="D3" s="575"/>
      <c r="E3" s="575"/>
      <c r="F3" s="575"/>
      <c r="G3" s="575"/>
    </row>
    <row r="4" spans="1:7" s="584" customFormat="1" ht="15.75">
      <c r="A4" s="581" t="s">
        <v>819</v>
      </c>
      <c r="B4" s="582"/>
      <c r="C4" s="582"/>
      <c r="D4" s="582"/>
      <c r="E4" s="582"/>
      <c r="F4" s="582"/>
      <c r="G4" s="583"/>
    </row>
    <row r="5" spans="1:7" s="590" customFormat="1" ht="13.5" customHeight="1">
      <c r="A5" s="631" t="s">
        <v>2511</v>
      </c>
      <c r="B5" s="586" t="s">
        <v>820</v>
      </c>
      <c r="C5" s="587">
        <f>C6+C7+C8</f>
        <v>20610</v>
      </c>
      <c r="D5" s="587" t="s">
        <v>821</v>
      </c>
      <c r="E5" s="588" t="s">
        <v>822</v>
      </c>
      <c r="F5" s="588" t="s">
        <v>823</v>
      </c>
      <c r="G5" s="589"/>
    </row>
    <row r="6" spans="1:7" s="590" customFormat="1" ht="13.5" customHeight="1">
      <c r="A6" s="1802" t="s">
        <v>1922</v>
      </c>
      <c r="B6" s="591" t="s">
        <v>824</v>
      </c>
      <c r="C6" s="592">
        <v>20000</v>
      </c>
      <c r="D6" s="593"/>
      <c r="E6" s="594"/>
      <c r="F6" s="594"/>
      <c r="G6" s="595"/>
    </row>
    <row r="7" spans="1:7" s="590" customFormat="1" ht="13.5" customHeight="1">
      <c r="A7" s="1802" t="s">
        <v>1923</v>
      </c>
      <c r="B7" s="591" t="s">
        <v>347</v>
      </c>
      <c r="C7" s="596">
        <f>ROUND(C6*F7,0)</f>
        <v>610</v>
      </c>
      <c r="D7" s="596"/>
      <c r="E7" s="594"/>
      <c r="F7" s="597">
        <f>'数据-取费表'!B48+'数据-取费表'!B49</f>
        <v>3.0499999999999999E-2</v>
      </c>
      <c r="G7" s="595"/>
    </row>
    <row r="8" spans="1:7" s="599" customFormat="1">
      <c r="A8" s="1802" t="s">
        <v>1924</v>
      </c>
      <c r="B8" s="591" t="s">
        <v>825</v>
      </c>
      <c r="C8" s="596" t="str">
        <f>IF(G8="已包含在土地购买价格中","0",'数据-取费表'!B29)</f>
        <v>0</v>
      </c>
      <c r="D8" s="598"/>
      <c r="E8" s="596"/>
      <c r="F8" s="597"/>
      <c r="G8" s="84" t="s">
        <v>2689</v>
      </c>
    </row>
    <row r="9" spans="1:7" s="590" customFormat="1" ht="13.5" customHeight="1">
      <c r="A9" s="1803" t="s">
        <v>1931</v>
      </c>
      <c r="B9" s="600" t="s">
        <v>826</v>
      </c>
      <c r="C9" s="601">
        <f>ROUND(D9*E9/10000,0)</f>
        <v>0</v>
      </c>
      <c r="D9" s="1907">
        <f>'数据-汇总表'!E5</f>
        <v>0</v>
      </c>
      <c r="E9" s="601">
        <f>'数据-取费表'!B27</f>
        <v>0</v>
      </c>
      <c r="F9" s="597"/>
      <c r="G9" s="602"/>
    </row>
    <row r="10" spans="1:7" s="590" customFormat="1" ht="13.5" customHeight="1">
      <c r="A10" s="1803" t="s">
        <v>1932</v>
      </c>
      <c r="B10" s="600" t="s">
        <v>827</v>
      </c>
      <c r="C10" s="601">
        <f>ROUND(D10*E10/10000,0)</f>
        <v>2462</v>
      </c>
      <c r="D10" s="1907">
        <f>'数据-汇总表'!E6</f>
        <v>123111.63</v>
      </c>
      <c r="E10" s="601">
        <f>'数据-取费表'!B28</f>
        <v>200</v>
      </c>
      <c r="F10" s="597"/>
      <c r="G10" s="602"/>
    </row>
    <row r="11" spans="1:7" s="590" customFormat="1" ht="13.5" hidden="1" customHeight="1">
      <c r="A11" s="603" t="s">
        <v>42</v>
      </c>
      <c r="B11" s="591" t="s">
        <v>828</v>
      </c>
      <c r="C11" s="587"/>
      <c r="D11" s="1909"/>
      <c r="E11" s="594"/>
      <c r="F11" s="594"/>
      <c r="G11" s="595"/>
    </row>
    <row r="12" spans="1:7" s="590" customFormat="1" ht="13.5" hidden="1" customHeight="1">
      <c r="A12" s="603" t="s">
        <v>43</v>
      </c>
      <c r="B12" s="591" t="s">
        <v>829</v>
      </c>
      <c r="C12" s="587">
        <v>0</v>
      </c>
      <c r="D12" s="1909"/>
      <c r="E12" s="604"/>
      <c r="F12" s="597">
        <v>3.0499999999999999E-2</v>
      </c>
      <c r="G12" s="595"/>
    </row>
    <row r="13" spans="1:7" s="590" customFormat="1" ht="13.5" hidden="1" customHeight="1">
      <c r="A13" s="603" t="s">
        <v>44</v>
      </c>
      <c r="B13" s="591" t="s">
        <v>830</v>
      </c>
      <c r="C13" s="587"/>
      <c r="D13" s="1909"/>
      <c r="E13" s="594"/>
      <c r="F13" s="594"/>
      <c r="G13" s="595"/>
    </row>
    <row r="14" spans="1:7" s="590" customFormat="1" ht="13.5" hidden="1" customHeight="1">
      <c r="A14" s="603" t="s">
        <v>45</v>
      </c>
      <c r="B14" s="591" t="s">
        <v>825</v>
      </c>
      <c r="C14" s="587"/>
      <c r="D14" s="1909"/>
      <c r="E14" s="594"/>
      <c r="F14" s="594"/>
      <c r="G14" s="595" t="s">
        <v>831</v>
      </c>
    </row>
    <row r="15" spans="1:7" s="590" customFormat="1" ht="13.5" hidden="1" customHeight="1">
      <c r="A15" s="603" t="s">
        <v>46</v>
      </c>
      <c r="B15" s="591" t="s">
        <v>832</v>
      </c>
      <c r="C15" s="596"/>
      <c r="D15" s="1909"/>
      <c r="E15" s="594"/>
      <c r="F15" s="594"/>
      <c r="G15" s="595" t="s">
        <v>833</v>
      </c>
    </row>
    <row r="16" spans="1:7"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IF(G19="已包含在土地取得成本中","0",ROUND(D19*E19/10000,0))</f>
        <v>2462</v>
      </c>
      <c r="D19" s="1911">
        <f>'数据-汇总表'!E3</f>
        <v>123111.63</v>
      </c>
      <c r="E19" s="587">
        <f>'数据-取费表'!B31</f>
        <v>200</v>
      </c>
      <c r="F19" s="607"/>
      <c r="G19" s="84" t="s">
        <v>2534</v>
      </c>
    </row>
    <row r="20" spans="1:7" s="590" customFormat="1" ht="13.5" customHeight="1">
      <c r="A20" s="1801" t="s">
        <v>2514</v>
      </c>
      <c r="B20" s="586" t="s">
        <v>837</v>
      </c>
      <c r="C20" s="608">
        <f>ROUND((C5+C19)*F20,0)</f>
        <v>461</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2866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1925</v>
      </c>
      <c r="B23" s="591" t="s">
        <v>2518</v>
      </c>
      <c r="C23" s="2699">
        <f ca="1">ROUND(IF('数据-取费表'!B22&lt;=1,C5*F22*'数据-取费表'!B23,C5*(POWER((1+F22),'数据-取费表'!B23)-1)),0)</f>
        <v>2535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28</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C28</f>
        <v>5413</v>
      </c>
      <c r="D27" s="611">
        <f>C29</f>
        <v>4.5999999999999999E-3</v>
      </c>
      <c r="E27" s="612" t="s">
        <v>859</v>
      </c>
      <c r="F27" s="622">
        <f>'数据-取费表'!Q16</f>
        <v>0.23</v>
      </c>
      <c r="G27" s="623" t="s">
        <v>2526</v>
      </c>
    </row>
    <row r="28" spans="1:7" s="590" customFormat="1" ht="13.5" customHeight="1">
      <c r="A28" s="1804" t="s">
        <v>1925</v>
      </c>
      <c r="B28" s="624" t="s">
        <v>2519</v>
      </c>
      <c r="C28" s="625">
        <f>ROUND((C5+C19+C20)*F27*'数据-取费表'!B21/'数据-取费表'!B20,0)</f>
        <v>5413</v>
      </c>
      <c r="D28" s="611"/>
      <c r="E28" s="612"/>
      <c r="F28" s="622"/>
      <c r="G28" s="623"/>
    </row>
    <row r="29" spans="1:7" s="590" customFormat="1" ht="13.5" customHeight="1">
      <c r="A29" s="1804" t="s">
        <v>1923</v>
      </c>
      <c r="B29" s="624" t="s">
        <v>2520</v>
      </c>
      <c r="C29" s="614">
        <f>ROUND(C21*F27*'数据-取费表'!B21/'数据-取费表'!B20,4)</f>
        <v>4.5999999999999999E-3</v>
      </c>
      <c r="D29" s="611"/>
      <c r="E29" s="612"/>
      <c r="F29" s="622"/>
      <c r="G29" s="623"/>
    </row>
    <row r="30" spans="1:7" s="590" customFormat="1" ht="13.5" customHeight="1">
      <c r="A30" s="1801"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34510</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SUM(C34:C38)</f>
        <v>42818</v>
      </c>
      <c r="D33" s="608"/>
      <c r="E33" s="588"/>
      <c r="F33" s="617"/>
      <c r="G33" s="610"/>
    </row>
    <row r="34" spans="1:7" s="634" customFormat="1" ht="13.5" customHeight="1">
      <c r="A34" s="1804" t="s">
        <v>1925</v>
      </c>
      <c r="B34" s="591" t="s">
        <v>349</v>
      </c>
      <c r="C34" s="596">
        <f>IF(F34=100%,'数据-取费表'!M16-SUMIF('数据-取费表'!C:C,"公共配套",'数据-取费表'!M:M),'数据-取费表'!O16-SUMIF('数据-取费表'!C:C,"公共配套",'数据-取费表'!O:O))</f>
        <v>38618</v>
      </c>
      <c r="D34" s="593"/>
      <c r="E34" s="596"/>
      <c r="F34" s="633">
        <f>IF('数据-取费表'!B24=0,1,'数据-取费表'!N16)</f>
        <v>1</v>
      </c>
      <c r="G34" s="595" t="s">
        <v>849</v>
      </c>
    </row>
    <row r="35" spans="1:7" ht="13.5" customHeight="1">
      <c r="A35" s="1804" t="s">
        <v>1927</v>
      </c>
      <c r="B35" s="591" t="s">
        <v>350</v>
      </c>
      <c r="C35" s="596">
        <f>ROUND(C34*F35,0)</f>
        <v>1159</v>
      </c>
      <c r="D35" s="596"/>
      <c r="E35" s="596"/>
      <c r="F35" s="635">
        <f>'数据-取费表'!B33</f>
        <v>0.03</v>
      </c>
      <c r="G35" s="595" t="s">
        <v>850</v>
      </c>
    </row>
    <row r="36" spans="1:7" ht="24">
      <c r="A36" s="1804"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4" t="s">
        <v>1929</v>
      </c>
      <c r="B37" s="591" t="s">
        <v>851</v>
      </c>
      <c r="C37" s="625">
        <f>ROUND(E37*D37*F34/10000,0)</f>
        <v>2462</v>
      </c>
      <c r="D37" s="593">
        <f>'数据-汇总表'!E3</f>
        <v>123111.63</v>
      </c>
      <c r="E37" s="625">
        <f>'数据-取费表'!B35</f>
        <v>200</v>
      </c>
      <c r="F37" s="635"/>
      <c r="G37" s="637" t="s">
        <v>852</v>
      </c>
    </row>
    <row r="38" spans="1:7" ht="13.5" customHeight="1">
      <c r="A38" s="1804" t="s">
        <v>1930</v>
      </c>
      <c r="B38" s="591" t="s">
        <v>353</v>
      </c>
      <c r="C38" s="596">
        <f>ROUND(C34*F38,0)</f>
        <v>579</v>
      </c>
      <c r="D38" s="596"/>
      <c r="E38" s="596"/>
      <c r="F38" s="635">
        <f>'数据-取费表'!B36</f>
        <v>1.4999999999999999E-2</v>
      </c>
      <c r="G38" s="595" t="s">
        <v>850</v>
      </c>
    </row>
    <row r="39" spans="1:7" s="590" customFormat="1" ht="13.5" customHeight="1">
      <c r="A39" s="1801" t="s">
        <v>1914</v>
      </c>
      <c r="B39" s="586" t="s">
        <v>837</v>
      </c>
      <c r="C39" s="608">
        <f>ROUND(C33*F20,0)</f>
        <v>856</v>
      </c>
      <c r="D39" s="608"/>
      <c r="E39" s="608"/>
      <c r="F39" s="609"/>
      <c r="G39" s="2619" t="s">
        <v>2528</v>
      </c>
    </row>
    <row r="40" spans="1:7" s="590" customFormat="1" ht="13.5" customHeight="1">
      <c r="A40" s="1801" t="s">
        <v>1915</v>
      </c>
      <c r="B40" s="586" t="s">
        <v>838</v>
      </c>
      <c r="C40" s="638">
        <f>F21</f>
        <v>0.02</v>
      </c>
      <c r="D40" s="612" t="s">
        <v>862</v>
      </c>
      <c r="E40" s="608"/>
      <c r="F40" s="609"/>
      <c r="G40" s="610" t="s">
        <v>853</v>
      </c>
    </row>
    <row r="41" spans="1:7" s="590" customFormat="1" ht="13.5" customHeight="1">
      <c r="A41" s="1801" t="s">
        <v>1916</v>
      </c>
      <c r="B41" s="586" t="s">
        <v>840</v>
      </c>
      <c r="C41" s="608">
        <f ca="1">ROUND(SUM(C42:C43),0)</f>
        <v>2608</v>
      </c>
      <c r="D41" s="611">
        <f ca="1">C44</f>
        <v>1.1999999999999999E-3</v>
      </c>
      <c r="E41" s="612" t="s">
        <v>862</v>
      </c>
      <c r="F41" s="613"/>
      <c r="G41" s="2619" t="str">
        <f>IF('数据-取费表'!B22&lt;=1,"单利计息","复利计息")</f>
        <v>复利计息</v>
      </c>
    </row>
    <row r="42" spans="1:7" ht="13.5" customHeight="1">
      <c r="A42" s="1804" t="s">
        <v>1925</v>
      </c>
      <c r="B42" s="591" t="s">
        <v>2518</v>
      </c>
      <c r="C42" s="614">
        <f ca="1">ROUND(IF('数据-取费表'!B22&lt;=1,C33*F22*'数据-取费表'!B21/2,C33*(POWER((1+F22),'数据-取费表'!B21/2)-1)),0)</f>
        <v>2557</v>
      </c>
      <c r="D42" s="614"/>
      <c r="E42" s="614"/>
      <c r="F42" s="615"/>
      <c r="G42" s="3562" t="s">
        <v>854</v>
      </c>
    </row>
    <row r="43" spans="1:7" ht="13.5" customHeight="1">
      <c r="A43" s="1804" t="s">
        <v>1923</v>
      </c>
      <c r="B43" s="591" t="s">
        <v>2521</v>
      </c>
      <c r="C43" s="614">
        <f ca="1">ROUND(IF('数据-取费表'!B22&lt;=1,C39*F22*'数据-取费表'!B21/2,C39*(POWER((1+F22),'数据-取费表'!B21/2)-1)),0)</f>
        <v>51</v>
      </c>
      <c r="D43" s="614"/>
      <c r="E43" s="614"/>
      <c r="F43" s="615"/>
      <c r="G43" s="3563"/>
    </row>
    <row r="44" spans="1:7" ht="13.5" customHeight="1">
      <c r="A44" s="1804" t="s">
        <v>1924</v>
      </c>
      <c r="B44" s="591" t="s">
        <v>2523</v>
      </c>
      <c r="C44" s="614">
        <f ca="1">ROUND(IF('数据-取费表'!B22&lt;=1,C40*F22*'数据-取费表'!B21/2,C40*(POWER((1+F22),'数据-取费表'!B21/2)-1)),4)</f>
        <v>1.1999999999999999E-3</v>
      </c>
      <c r="D44" s="614"/>
      <c r="E44" s="614"/>
      <c r="F44" s="615"/>
      <c r="G44" s="3564"/>
    </row>
    <row r="45" spans="1:7" s="590" customFormat="1" ht="13.5" customHeight="1">
      <c r="A45" s="1801" t="s">
        <v>1917</v>
      </c>
      <c r="B45" s="620" t="s">
        <v>845</v>
      </c>
      <c r="C45" s="621">
        <f>C46</f>
        <v>10045</v>
      </c>
      <c r="D45" s="611">
        <f>C47</f>
        <v>4.5999999999999999E-3</v>
      </c>
      <c r="E45" s="612" t="s">
        <v>862</v>
      </c>
      <c r="F45" s="622"/>
      <c r="G45" s="623" t="s">
        <v>2529</v>
      </c>
    </row>
    <row r="46" spans="1:7" s="590" customFormat="1" ht="13.5" customHeight="1">
      <c r="A46" s="1804" t="s">
        <v>1925</v>
      </c>
      <c r="B46" s="624" t="s">
        <v>2522</v>
      </c>
      <c r="C46" s="625">
        <f>ROUND((C33+C39)*F27,0)</f>
        <v>10045</v>
      </c>
      <c r="D46" s="639"/>
      <c r="E46" s="612"/>
      <c r="F46" s="622"/>
      <c r="G46" s="623"/>
    </row>
    <row r="47" spans="1:7" s="590" customFormat="1" ht="13.5" customHeight="1">
      <c r="A47" s="1804" t="s">
        <v>1923</v>
      </c>
      <c r="B47" s="624" t="s">
        <v>2524</v>
      </c>
      <c r="C47" s="614">
        <f>ROUND(C40*F27,4)</f>
        <v>4.5999999999999999E-3</v>
      </c>
      <c r="D47" s="639"/>
      <c r="E47" s="612"/>
      <c r="F47" s="622"/>
      <c r="G47" s="623"/>
    </row>
    <row r="48" spans="1:7" s="590" customFormat="1" ht="13.5" customHeight="1">
      <c r="A48" s="1801" t="s">
        <v>1918</v>
      </c>
      <c r="B48" s="586" t="s">
        <v>855</v>
      </c>
      <c r="C48" s="638">
        <f>F30</f>
        <v>5.5000000000000007E-2</v>
      </c>
      <c r="D48" s="612" t="s">
        <v>863</v>
      </c>
      <c r="E48" s="608"/>
      <c r="F48" s="613"/>
      <c r="G48" s="610" t="s">
        <v>856</v>
      </c>
    </row>
    <row r="49" spans="1:7" ht="16.5" customHeight="1">
      <c r="A49" s="1801" t="s">
        <v>1919</v>
      </c>
      <c r="B49" s="586" t="s">
        <v>864</v>
      </c>
      <c r="C49" s="608">
        <f ca="1">ROUND((C33+C39+C41+C45)/(1-C40-D41-D45-C48/(1+'数据-取费表'!B42)),0)</f>
        <v>61104</v>
      </c>
      <c r="D49" s="608"/>
      <c r="E49" s="608"/>
      <c r="F49" s="640"/>
      <c r="G49" s="610" t="s">
        <v>2530</v>
      </c>
    </row>
    <row r="50" spans="1:7" s="634" customFormat="1" ht="24">
      <c r="A50" s="1801" t="s">
        <v>1920</v>
      </c>
      <c r="B50" s="586" t="s">
        <v>857</v>
      </c>
      <c r="C50" s="608"/>
      <c r="D50" s="608"/>
      <c r="E50" s="608"/>
      <c r="F50" s="640">
        <f>IF('数据-取费表'!B24=0,'数据-取费表'!N16,1)</f>
        <v>0.98299999999999998</v>
      </c>
      <c r="G50" s="623" t="s">
        <v>858</v>
      </c>
    </row>
    <row r="51" spans="1:7" ht="16.5" customHeight="1">
      <c r="A51" s="1801" t="s">
        <v>1921</v>
      </c>
      <c r="B51" s="586" t="s">
        <v>865</v>
      </c>
      <c r="C51" s="608">
        <f ca="1">ROUND(C49*F50,0)</f>
        <v>60065</v>
      </c>
      <c r="D51" s="608"/>
      <c r="E51" s="608"/>
      <c r="F51" s="640"/>
      <c r="G51" s="610" t="s">
        <v>354</v>
      </c>
    </row>
    <row r="52" spans="1:7" s="584" customFormat="1" ht="16.5" thickBot="1">
      <c r="A52" s="641" t="s">
        <v>355</v>
      </c>
      <c r="B52" s="642"/>
      <c r="C52" s="643">
        <f ca="1">C31+C51</f>
        <v>94575</v>
      </c>
      <c r="D52" s="642"/>
      <c r="E52" s="642"/>
      <c r="F52" s="642"/>
      <c r="G52" s="644"/>
    </row>
    <row r="55" spans="1:7" ht="15">
      <c r="B55" s="646" t="s">
        <v>356</v>
      </c>
      <c r="C55" s="647"/>
    </row>
    <row r="56" spans="1:7">
      <c r="B56" s="649" t="s">
        <v>357</v>
      </c>
      <c r="C56" s="650">
        <f ca="1">ROUND(C51/C52,3)</f>
        <v>0.63500000000000001</v>
      </c>
    </row>
    <row r="57" spans="1:7">
      <c r="B57" s="649" t="s">
        <v>358</v>
      </c>
      <c r="C57" s="651">
        <f ca="1">1-C56</f>
        <v>0.36499999999999999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43" t="s">
        <v>1171</v>
      </c>
      <c r="B1" s="3743"/>
      <c r="C1" s="3743"/>
      <c r="D1" s="3743"/>
      <c r="E1" s="3743"/>
      <c r="F1" s="3743"/>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44" t="s">
        <v>1184</v>
      </c>
      <c r="B2" s="3744"/>
      <c r="C2" s="3744"/>
      <c r="D2" s="3744"/>
      <c r="E2" s="3744"/>
      <c r="F2" s="3744"/>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45"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46"/>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2503</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2503</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43" t="s">
        <v>2139</v>
      </c>
      <c r="B1" s="3743"/>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9" t="s">
        <v>2146</v>
      </c>
      <c r="B5" s="1530" t="s">
        <v>2147</v>
      </c>
      <c r="C5" s="2116">
        <v>8.8999999999999996E-2</v>
      </c>
      <c r="D5" s="2116">
        <v>7.3999999999999996E-2</v>
      </c>
      <c r="E5" s="2116">
        <v>7.4999999999999997E-2</v>
      </c>
      <c r="F5" s="2117">
        <v>0.1</v>
      </c>
    </row>
    <row r="6" spans="1:6" ht="14.25" thickBot="1">
      <c r="A6" s="1529" t="s">
        <v>1227</v>
      </c>
      <c r="B6" s="1523" t="s">
        <v>2148</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2149</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2150</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2151</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2152</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2153</v>
      </c>
      <c r="C72" s="2131"/>
      <c r="D72" s="2131"/>
      <c r="E72" s="2131"/>
      <c r="F72" s="2119">
        <v>0.05</v>
      </c>
    </row>
    <row r="73" spans="1:6" ht="14.25" thickBot="1">
      <c r="A73" s="1529" t="s">
        <v>1138</v>
      </c>
      <c r="B73" s="1523" t="s">
        <v>2154</v>
      </c>
      <c r="C73" s="2131"/>
      <c r="D73" s="2131"/>
      <c r="E73" s="2131"/>
      <c r="F73" s="2119">
        <v>0.05</v>
      </c>
    </row>
    <row r="74" spans="1:6" ht="14.25" thickBot="1">
      <c r="A74" s="1529" t="s">
        <v>1138</v>
      </c>
      <c r="B74" s="1523" t="s">
        <v>2155</v>
      </c>
      <c r="C74" s="2131"/>
      <c r="D74" s="2131"/>
      <c r="E74" s="2131"/>
      <c r="F74" s="2119">
        <v>0.05</v>
      </c>
    </row>
    <row r="75" spans="1:6" ht="14.25" thickBot="1">
      <c r="A75" s="1539" t="s">
        <v>1138</v>
      </c>
      <c r="B75" s="1535" t="s">
        <v>2156</v>
      </c>
      <c r="C75" s="2128"/>
      <c r="D75" s="2128"/>
      <c r="E75" s="2128"/>
      <c r="F75" s="2121">
        <v>0.05</v>
      </c>
    </row>
    <row r="76" spans="1:6" ht="14.25" thickBot="1">
      <c r="A76" s="1529" t="s">
        <v>1538</v>
      </c>
      <c r="B76" s="1530" t="s">
        <v>2157</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2158</v>
      </c>
      <c r="C102" s="2131"/>
      <c r="D102" s="2131"/>
      <c r="E102" s="2131"/>
      <c r="F102" s="2119">
        <v>0.05</v>
      </c>
    </row>
    <row r="103" spans="1:6" ht="24.75" thickBot="1">
      <c r="A103" s="1529" t="s">
        <v>1538</v>
      </c>
      <c r="B103" s="1523" t="s">
        <v>2159</v>
      </c>
      <c r="C103" s="2131"/>
      <c r="D103" s="2131"/>
      <c r="E103" s="2131"/>
      <c r="F103" s="2119">
        <v>0.05</v>
      </c>
    </row>
    <row r="104" spans="1:6" ht="14.25" thickBot="1">
      <c r="A104" s="1529" t="s">
        <v>1538</v>
      </c>
      <c r="B104" s="1523" t="s">
        <v>2160</v>
      </c>
      <c r="C104" s="2131"/>
      <c r="D104" s="2131"/>
      <c r="E104" s="2131"/>
      <c r="F104" s="2119">
        <v>0.05</v>
      </c>
    </row>
    <row r="105" spans="1:6" ht="14.25" thickBot="1">
      <c r="A105" s="1529" t="s">
        <v>1538</v>
      </c>
      <c r="B105" s="1523" t="s">
        <v>2161</v>
      </c>
      <c r="C105" s="2131"/>
      <c r="D105" s="2131"/>
      <c r="E105" s="2131"/>
      <c r="F105" s="2119">
        <v>0.05</v>
      </c>
    </row>
    <row r="106" spans="1:6" ht="14.25" thickBot="1">
      <c r="A106" s="1529" t="s">
        <v>1538</v>
      </c>
      <c r="B106" s="1523" t="s">
        <v>2162</v>
      </c>
      <c r="C106" s="2131"/>
      <c r="D106" s="2131"/>
      <c r="E106" s="2131"/>
      <c r="F106" s="2119">
        <v>0.05</v>
      </c>
    </row>
    <row r="107" spans="1:6" ht="24.75" thickBot="1">
      <c r="A107" s="1529" t="s">
        <v>1538</v>
      </c>
      <c r="B107" s="1523" t="s">
        <v>2163</v>
      </c>
      <c r="C107" s="2131"/>
      <c r="D107" s="2131"/>
      <c r="E107" s="2131"/>
      <c r="F107" s="2119">
        <v>0.05</v>
      </c>
    </row>
    <row r="108" spans="1:6" ht="24.75" thickBot="1">
      <c r="A108" s="1529" t="s">
        <v>1538</v>
      </c>
      <c r="B108" s="1523" t="s">
        <v>2164</v>
      </c>
      <c r="C108" s="2131"/>
      <c r="D108" s="2131"/>
      <c r="E108" s="2131"/>
      <c r="F108" s="2119">
        <v>0.05</v>
      </c>
    </row>
    <row r="109" spans="1:6" ht="24.75" thickBot="1">
      <c r="A109" s="1539" t="s">
        <v>1538</v>
      </c>
      <c r="B109" s="1535" t="s">
        <v>2165</v>
      </c>
      <c r="C109" s="2128"/>
      <c r="D109" s="2128"/>
      <c r="E109" s="2128"/>
      <c r="F109" s="2121">
        <v>0.05</v>
      </c>
    </row>
    <row r="110" spans="1:6" ht="14.25" thickBot="1">
      <c r="A110" s="1529" t="s">
        <v>203</v>
      </c>
      <c r="B110" s="1530" t="s">
        <v>2166</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2167</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2168</v>
      </c>
      <c r="C138" s="2118">
        <v>0.105</v>
      </c>
      <c r="D138" s="2118">
        <v>0.125</v>
      </c>
      <c r="E138" s="2118">
        <v>0.112</v>
      </c>
      <c r="F138" s="2130"/>
    </row>
    <row r="139" spans="1:6" ht="14.25" thickBot="1">
      <c r="A139" s="1529" t="s">
        <v>203</v>
      </c>
      <c r="B139" s="1523" t="s">
        <v>2169</v>
      </c>
      <c r="C139" s="2118">
        <v>0.127</v>
      </c>
      <c r="D139" s="2118">
        <v>0.127</v>
      </c>
      <c r="E139" s="2118">
        <v>0.122</v>
      </c>
      <c r="F139" s="2119">
        <v>0.13</v>
      </c>
    </row>
    <row r="140" spans="1:6" ht="14.25" thickBot="1">
      <c r="A140" s="1529" t="s">
        <v>203</v>
      </c>
      <c r="B140" s="1523" t="s">
        <v>2170</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2171</v>
      </c>
      <c r="C144" s="2123">
        <v>0.126</v>
      </c>
      <c r="D144" s="2123">
        <v>0.126</v>
      </c>
      <c r="E144" s="2123">
        <v>0.121</v>
      </c>
      <c r="F144" s="2130"/>
    </row>
    <row r="145" spans="1:6" ht="14.25" thickBot="1">
      <c r="A145" s="1539" t="s">
        <v>203</v>
      </c>
      <c r="B145" s="2124" t="s">
        <v>2172</v>
      </c>
      <c r="C145" s="2132"/>
      <c r="D145" s="2132"/>
      <c r="E145" s="2132"/>
      <c r="F145" s="2125">
        <v>0.05</v>
      </c>
    </row>
    <row r="146" spans="1:6" ht="24.75" thickBot="1">
      <c r="A146" s="2126" t="s">
        <v>203</v>
      </c>
      <c r="B146" s="1533" t="s">
        <v>2173</v>
      </c>
      <c r="C146" s="2131"/>
      <c r="D146" s="2131"/>
      <c r="E146" s="2131"/>
      <c r="F146" s="2127">
        <v>0.05</v>
      </c>
    </row>
    <row r="147" spans="1:6" ht="24.75" thickBot="1">
      <c r="A147" s="1529" t="s">
        <v>203</v>
      </c>
      <c r="B147" s="1523" t="s">
        <v>2174</v>
      </c>
      <c r="C147" s="2131"/>
      <c r="D147" s="2131"/>
      <c r="E147" s="2131"/>
      <c r="F147" s="2119">
        <v>0.05</v>
      </c>
    </row>
    <row r="148" spans="1:6" ht="24.75" thickBot="1">
      <c r="A148" s="1529" t="s">
        <v>203</v>
      </c>
      <c r="B148" s="1523" t="s">
        <v>2175</v>
      </c>
      <c r="C148" s="2131"/>
      <c r="D148" s="2131"/>
      <c r="E148" s="2131"/>
      <c r="F148" s="2119">
        <v>0.05</v>
      </c>
    </row>
    <row r="149" spans="1:6" ht="24.75" thickBot="1">
      <c r="A149" s="1529" t="s">
        <v>203</v>
      </c>
      <c r="B149" s="1523" t="s">
        <v>2176</v>
      </c>
      <c r="C149" s="2131"/>
      <c r="D149" s="2131"/>
      <c r="E149" s="2131"/>
      <c r="F149" s="2119">
        <v>0.05</v>
      </c>
    </row>
    <row r="150" spans="1:6" ht="24.75" thickBot="1">
      <c r="A150" s="1529" t="s">
        <v>203</v>
      </c>
      <c r="B150" s="1523" t="s">
        <v>2177</v>
      </c>
      <c r="C150" s="2131"/>
      <c r="D150" s="2131"/>
      <c r="E150" s="2131"/>
      <c r="F150" s="2119">
        <v>0.05</v>
      </c>
    </row>
    <row r="151" spans="1:6" ht="24.75" thickBot="1">
      <c r="A151" s="1529" t="s">
        <v>203</v>
      </c>
      <c r="B151" s="1523" t="s">
        <v>2178</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2179</v>
      </c>
      <c r="C153" s="2131"/>
      <c r="D153" s="2131"/>
      <c r="E153" s="2131"/>
      <c r="F153" s="2119">
        <v>0.05</v>
      </c>
    </row>
    <row r="154" spans="1:6" ht="14.25" thickBot="1">
      <c r="A154" s="1529" t="s">
        <v>203</v>
      </c>
      <c r="B154" s="1523" t="s">
        <v>2180</v>
      </c>
      <c r="C154" s="2131"/>
      <c r="D154" s="2131"/>
      <c r="E154" s="2131"/>
      <c r="F154" s="2119">
        <v>0.05</v>
      </c>
    </row>
    <row r="155" spans="1:6" ht="24.75" thickBot="1">
      <c r="A155" s="1529" t="s">
        <v>203</v>
      </c>
      <c r="B155" s="1523" t="s">
        <v>2181</v>
      </c>
      <c r="C155" s="2131"/>
      <c r="D155" s="2131"/>
      <c r="E155" s="2131"/>
      <c r="F155" s="2119">
        <v>0.05</v>
      </c>
    </row>
    <row r="156" spans="1:6" ht="24.75" thickBot="1">
      <c r="A156" s="1529" t="s">
        <v>203</v>
      </c>
      <c r="B156" s="1523" t="s">
        <v>2182</v>
      </c>
      <c r="C156" s="2131"/>
      <c r="D156" s="2131"/>
      <c r="E156" s="2131"/>
      <c r="F156" s="2119">
        <v>0.05</v>
      </c>
    </row>
    <row r="157" spans="1:6" ht="14.25" thickBot="1">
      <c r="A157" s="1539" t="s">
        <v>203</v>
      </c>
      <c r="B157" s="1535" t="s">
        <v>2183</v>
      </c>
      <c r="C157" s="2128"/>
      <c r="D157" s="2128"/>
      <c r="E157" s="2128"/>
      <c r="F157" s="2121">
        <v>0.05</v>
      </c>
    </row>
    <row r="158" spans="1:6" ht="14.25" thickBot="1">
      <c r="A158" s="1529" t="s">
        <v>1541</v>
      </c>
      <c r="B158" s="1530" t="s">
        <v>2184</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2185</v>
      </c>
      <c r="C171" s="2118">
        <v>0.127</v>
      </c>
      <c r="D171" s="2118">
        <v>0.126</v>
      </c>
      <c r="E171" s="2118">
        <v>0.126</v>
      </c>
      <c r="F171" s="2119">
        <v>0.11799999999999999</v>
      </c>
    </row>
    <row r="172" spans="1:6" ht="14.25" thickBot="1">
      <c r="A172" s="1529" t="s">
        <v>1541</v>
      </c>
      <c r="B172" s="1523" t="s">
        <v>2186</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2187</v>
      </c>
      <c r="C174" s="2118">
        <v>0.13</v>
      </c>
      <c r="D174" s="2118">
        <v>0.13</v>
      </c>
      <c r="E174" s="2118">
        <v>0.13</v>
      </c>
      <c r="F174" s="2119">
        <v>0.13</v>
      </c>
    </row>
    <row r="175" spans="1:6" ht="14.25" thickBot="1">
      <c r="A175" s="1529" t="s">
        <v>1541</v>
      </c>
      <c r="B175" s="1523" t="s">
        <v>2188</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2189</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2190</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2191</v>
      </c>
      <c r="C185" s="2118">
        <v>0.127</v>
      </c>
      <c r="D185" s="2118">
        <v>0.127</v>
      </c>
      <c r="E185" s="2118">
        <v>0.128</v>
      </c>
      <c r="F185" s="2119">
        <v>0.13</v>
      </c>
    </row>
    <row r="186" spans="1:6" ht="24.75" thickBot="1">
      <c r="A186" s="1529" t="s">
        <v>1541</v>
      </c>
      <c r="B186" s="1523" t="s">
        <v>2192</v>
      </c>
      <c r="C186" s="2131"/>
      <c r="D186" s="2131"/>
      <c r="E186" s="2131"/>
      <c r="F186" s="2119">
        <v>0.05</v>
      </c>
    </row>
    <row r="187" spans="1:6" ht="14.25" thickBot="1">
      <c r="A187" s="1529" t="s">
        <v>1541</v>
      </c>
      <c r="B187" s="1523" t="s">
        <v>2193</v>
      </c>
      <c r="C187" s="2131"/>
      <c r="D187" s="2131"/>
      <c r="E187" s="2131"/>
      <c r="F187" s="2119">
        <v>0.05</v>
      </c>
    </row>
    <row r="188" spans="1:6" ht="14.25" thickBot="1">
      <c r="A188" s="1529" t="s">
        <v>1541</v>
      </c>
      <c r="B188" s="1523" t="s">
        <v>2194</v>
      </c>
      <c r="C188" s="2131"/>
      <c r="D188" s="2131"/>
      <c r="E188" s="2131"/>
      <c r="F188" s="2119">
        <v>0.05</v>
      </c>
    </row>
    <row r="189" spans="1:6" ht="24.75" thickBot="1">
      <c r="A189" s="1529" t="s">
        <v>1541</v>
      </c>
      <c r="B189" s="1523" t="s">
        <v>2195</v>
      </c>
      <c r="C189" s="2131"/>
      <c r="D189" s="2131"/>
      <c r="E189" s="2131"/>
      <c r="F189" s="2119">
        <v>0.05</v>
      </c>
    </row>
    <row r="190" spans="1:6" ht="24.75" thickBot="1">
      <c r="A190" s="1529" t="s">
        <v>1541</v>
      </c>
      <c r="B190" s="1523" t="s">
        <v>2196</v>
      </c>
      <c r="C190" s="2131"/>
      <c r="D190" s="2131"/>
      <c r="E190" s="2131"/>
      <c r="F190" s="2119">
        <v>0.05</v>
      </c>
    </row>
    <row r="191" spans="1:6" ht="24.75" thickBot="1">
      <c r="A191" s="1529" t="s">
        <v>1541</v>
      </c>
      <c r="B191" s="1523" t="s">
        <v>2197</v>
      </c>
      <c r="C191" s="2131"/>
      <c r="D191" s="2131"/>
      <c r="E191" s="2131"/>
      <c r="F191" s="2119">
        <v>0.05</v>
      </c>
    </row>
    <row r="192" spans="1:6" ht="24.75" thickBot="1">
      <c r="A192" s="1529" t="s">
        <v>1541</v>
      </c>
      <c r="B192" s="1523" t="s">
        <v>2198</v>
      </c>
      <c r="C192" s="2131"/>
      <c r="D192" s="2131"/>
      <c r="E192" s="2131"/>
      <c r="F192" s="2119">
        <v>0.05</v>
      </c>
    </row>
    <row r="193" spans="1:6" ht="24.75" thickBot="1">
      <c r="A193" s="1529" t="s">
        <v>1541</v>
      </c>
      <c r="B193" s="1523" t="s">
        <v>2199</v>
      </c>
      <c r="C193" s="2131"/>
      <c r="D193" s="2131"/>
      <c r="E193" s="2131"/>
      <c r="F193" s="2119">
        <v>0.05</v>
      </c>
    </row>
    <row r="194" spans="1:6" ht="24.75" thickBot="1">
      <c r="A194" s="1529" t="s">
        <v>1541</v>
      </c>
      <c r="B194" s="1523" t="s">
        <v>2200</v>
      </c>
      <c r="C194" s="2131"/>
      <c r="D194" s="2131"/>
      <c r="E194" s="2131"/>
      <c r="F194" s="2119">
        <v>0.05</v>
      </c>
    </row>
    <row r="195" spans="1:6" ht="14.25" thickBot="1">
      <c r="A195" s="1529" t="s">
        <v>1541</v>
      </c>
      <c r="B195" s="1523" t="s">
        <v>2201</v>
      </c>
      <c r="C195" s="2131"/>
      <c r="D195" s="2131"/>
      <c r="E195" s="2131"/>
      <c r="F195" s="2119">
        <v>0.05</v>
      </c>
    </row>
    <row r="196" spans="1:6" ht="24.75" thickBot="1">
      <c r="A196" s="1529" t="s">
        <v>1541</v>
      </c>
      <c r="B196" s="1523" t="s">
        <v>2202</v>
      </c>
      <c r="C196" s="2131"/>
      <c r="D196" s="2131"/>
      <c r="E196" s="2131"/>
      <c r="F196" s="2119">
        <v>0.05</v>
      </c>
    </row>
    <row r="197" spans="1:6" ht="24.75" thickBot="1">
      <c r="A197" s="1529" t="s">
        <v>1541</v>
      </c>
      <c r="B197" s="1523" t="s">
        <v>2203</v>
      </c>
      <c r="C197" s="2131"/>
      <c r="D197" s="2131"/>
      <c r="E197" s="2131"/>
      <c r="F197" s="2119">
        <v>0.05</v>
      </c>
    </row>
    <row r="198" spans="1:6" ht="24.75" thickBot="1">
      <c r="A198" s="1529" t="s">
        <v>1541</v>
      </c>
      <c r="B198" s="1523" t="s">
        <v>2204</v>
      </c>
      <c r="C198" s="2131"/>
      <c r="D198" s="2131"/>
      <c r="E198" s="2131"/>
      <c r="F198" s="2119">
        <v>0.05</v>
      </c>
    </row>
    <row r="199" spans="1:6" ht="24.75" thickBot="1">
      <c r="A199" s="1529" t="s">
        <v>1541</v>
      </c>
      <c r="B199" s="1523" t="s">
        <v>2205</v>
      </c>
      <c r="C199" s="2131"/>
      <c r="D199" s="2131"/>
      <c r="E199" s="2131"/>
      <c r="F199" s="2119">
        <v>0.05</v>
      </c>
    </row>
    <row r="200" spans="1:6" ht="24.75" thickBot="1">
      <c r="A200" s="1529" t="s">
        <v>1541</v>
      </c>
      <c r="B200" s="1523" t="s">
        <v>2206</v>
      </c>
      <c r="C200" s="2131"/>
      <c r="D200" s="2131"/>
      <c r="E200" s="2131"/>
      <c r="F200" s="2119">
        <v>0.05</v>
      </c>
    </row>
    <row r="201" spans="1:6" ht="24.75" thickBot="1">
      <c r="A201" s="1529" t="s">
        <v>1541</v>
      </c>
      <c r="B201" s="1523" t="s">
        <v>2207</v>
      </c>
      <c r="C201" s="2131"/>
      <c r="D201" s="2131"/>
      <c r="E201" s="2131"/>
      <c r="F201" s="2119">
        <v>0.05</v>
      </c>
    </row>
    <row r="202" spans="1:6" ht="24.75" thickBot="1">
      <c r="A202" s="1529" t="s">
        <v>1541</v>
      </c>
      <c r="B202" s="1523" t="s">
        <v>2208</v>
      </c>
      <c r="C202" s="2131"/>
      <c r="D202" s="2131"/>
      <c r="E202" s="2131"/>
      <c r="F202" s="2119">
        <v>0.05</v>
      </c>
    </row>
    <row r="203" spans="1:6" ht="24.75" thickBot="1">
      <c r="A203" s="1529" t="s">
        <v>1541</v>
      </c>
      <c r="B203" s="1523" t="s">
        <v>2209</v>
      </c>
      <c r="C203" s="2131"/>
      <c r="D203" s="2131"/>
      <c r="E203" s="2131"/>
      <c r="F203" s="2119">
        <v>0.05</v>
      </c>
    </row>
    <row r="204" spans="1:6" ht="14.25" thickBot="1">
      <c r="A204" s="1529" t="s">
        <v>1541</v>
      </c>
      <c r="B204" s="1523" t="s">
        <v>2210</v>
      </c>
      <c r="C204" s="2131"/>
      <c r="D204" s="2131"/>
      <c r="E204" s="2131"/>
      <c r="F204" s="2119">
        <v>0.05</v>
      </c>
    </row>
    <row r="205" spans="1:6" ht="14.25" thickBot="1">
      <c r="A205" s="1539" t="s">
        <v>1541</v>
      </c>
      <c r="B205" s="1535" t="s">
        <v>2211</v>
      </c>
      <c r="C205" s="2128"/>
      <c r="D205" s="2128"/>
      <c r="E205" s="2128"/>
      <c r="F205" s="2121">
        <v>0.05</v>
      </c>
    </row>
    <row r="206" spans="1:6" ht="14.25" thickBot="1">
      <c r="A206" s="1529" t="s">
        <v>1543</v>
      </c>
      <c r="B206" s="1530" t="s">
        <v>2212</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2213</v>
      </c>
      <c r="C210" s="2118">
        <v>0.15</v>
      </c>
      <c r="D210" s="2118">
        <v>0.15</v>
      </c>
      <c r="E210" s="2118">
        <v>0.15</v>
      </c>
      <c r="F210" s="2119">
        <v>0.13800000000000001</v>
      </c>
    </row>
    <row r="211" spans="1:6" ht="14.25" thickBot="1">
      <c r="A211" s="1529" t="s">
        <v>1543</v>
      </c>
      <c r="B211" s="1523" t="s">
        <v>2214</v>
      </c>
      <c r="C211" s="2118">
        <v>0.13700000000000001</v>
      </c>
      <c r="D211" s="2118">
        <v>0.13500000000000001</v>
      </c>
      <c r="E211" s="2118">
        <v>0.13600000000000001</v>
      </c>
      <c r="F211" s="2119">
        <v>0.1</v>
      </c>
    </row>
    <row r="212" spans="1:6" ht="14.25" thickBot="1">
      <c r="A212" s="1529" t="s">
        <v>1543</v>
      </c>
      <c r="B212" s="1523" t="s">
        <v>2215</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2216</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2217</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2218</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2219</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2220</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2221</v>
      </c>
      <c r="C231" s="2118">
        <v>0.128</v>
      </c>
      <c r="D231" s="2118">
        <v>0.125</v>
      </c>
      <c r="E231" s="2118">
        <v>0.13200000000000001</v>
      </c>
      <c r="F231" s="2130"/>
    </row>
    <row r="232" spans="1:6" ht="14.25" thickBot="1">
      <c r="A232" s="1529" t="s">
        <v>1543</v>
      </c>
      <c r="B232" s="1523" t="s">
        <v>2222</v>
      </c>
      <c r="C232" s="2118">
        <v>0.14499999999999999</v>
      </c>
      <c r="D232" s="2118">
        <v>0.14399999999999999</v>
      </c>
      <c r="E232" s="2118">
        <v>0.14599999999999999</v>
      </c>
      <c r="F232" s="2119">
        <v>0.13800000000000001</v>
      </c>
    </row>
    <row r="233" spans="1:6" ht="14.25" thickBot="1">
      <c r="A233" s="1529" t="s">
        <v>1543</v>
      </c>
      <c r="B233" s="1523" t="s">
        <v>2223</v>
      </c>
      <c r="C233" s="2118">
        <v>0.14499999999999999</v>
      </c>
      <c r="D233" s="2118">
        <v>0.14299999999999999</v>
      </c>
      <c r="E233" s="2118">
        <v>0.14199999999999999</v>
      </c>
      <c r="F233" s="2130"/>
    </row>
    <row r="234" spans="1:6" ht="14.25" thickBot="1">
      <c r="A234" s="1529" t="s">
        <v>1543</v>
      </c>
      <c r="B234" s="1523" t="s">
        <v>2224</v>
      </c>
      <c r="C234" s="2118">
        <v>0.14000000000000001</v>
      </c>
      <c r="D234" s="2118">
        <v>0.14000000000000001</v>
      </c>
      <c r="E234" s="2118">
        <v>0.14399999999999999</v>
      </c>
      <c r="F234" s="2130"/>
    </row>
    <row r="235" spans="1:6" ht="14.25" thickBot="1">
      <c r="A235" s="1529" t="s">
        <v>1543</v>
      </c>
      <c r="B235" s="1523" t="s">
        <v>2225</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2226</v>
      </c>
      <c r="C237" s="2131"/>
      <c r="D237" s="2131"/>
      <c r="E237" s="2131"/>
      <c r="F237" s="2119">
        <v>0.05</v>
      </c>
    </row>
    <row r="238" spans="1:6" ht="24.75" thickBot="1">
      <c r="A238" s="1529" t="s">
        <v>1543</v>
      </c>
      <c r="B238" s="1523" t="s">
        <v>2227</v>
      </c>
      <c r="C238" s="2131"/>
      <c r="D238" s="2131"/>
      <c r="E238" s="2131"/>
      <c r="F238" s="2119">
        <v>0.05</v>
      </c>
    </row>
    <row r="239" spans="1:6" ht="24.75" thickBot="1">
      <c r="A239" s="1529" t="s">
        <v>1543</v>
      </c>
      <c r="B239" s="1523" t="s">
        <v>2228</v>
      </c>
      <c r="C239" s="2131"/>
      <c r="D239" s="2131"/>
      <c r="E239" s="2131"/>
      <c r="F239" s="2119">
        <v>0.05</v>
      </c>
    </row>
    <row r="240" spans="1:6" ht="24.75" thickBot="1">
      <c r="A240" s="1529" t="s">
        <v>1543</v>
      </c>
      <c r="B240" s="1523" t="s">
        <v>2229</v>
      </c>
      <c r="C240" s="2131"/>
      <c r="D240" s="2131"/>
      <c r="E240" s="2131"/>
      <c r="F240" s="2119">
        <v>0.05</v>
      </c>
    </row>
    <row r="241" spans="1:6" ht="24.75" thickBot="1">
      <c r="A241" s="1529" t="s">
        <v>1543</v>
      </c>
      <c r="B241" s="1523" t="s">
        <v>2230</v>
      </c>
      <c r="C241" s="2131"/>
      <c r="D241" s="2131"/>
      <c r="E241" s="2131"/>
      <c r="F241" s="2119">
        <v>0.05</v>
      </c>
    </row>
    <row r="242" spans="1:6" ht="24.75" thickBot="1">
      <c r="A242" s="1529" t="s">
        <v>1543</v>
      </c>
      <c r="B242" s="1523" t="s">
        <v>2231</v>
      </c>
      <c r="C242" s="2131"/>
      <c r="D242" s="2131"/>
      <c r="E242" s="2131"/>
      <c r="F242" s="2119">
        <v>0.05</v>
      </c>
    </row>
    <row r="243" spans="1:6" ht="24.75" thickBot="1">
      <c r="A243" s="1529" t="s">
        <v>1543</v>
      </c>
      <c r="B243" s="1523" t="s">
        <v>2232</v>
      </c>
      <c r="C243" s="2131"/>
      <c r="D243" s="2131"/>
      <c r="E243" s="2131"/>
      <c r="F243" s="2119">
        <v>0.05</v>
      </c>
    </row>
    <row r="244" spans="1:6" ht="24.75" thickBot="1">
      <c r="A244" s="1539" t="s">
        <v>1543</v>
      </c>
      <c r="B244" s="1535" t="s">
        <v>2233</v>
      </c>
      <c r="C244" s="2128"/>
      <c r="D244" s="2128"/>
      <c r="E244" s="2128"/>
      <c r="F244" s="2121">
        <v>0.05</v>
      </c>
    </row>
    <row r="245" spans="1:6" ht="14.25" thickBot="1">
      <c r="A245" s="1529" t="s">
        <v>1545</v>
      </c>
      <c r="B245" s="1530" t="s">
        <v>2234</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2235</v>
      </c>
      <c r="C247" s="2118">
        <v>0.15</v>
      </c>
      <c r="D247" s="2118">
        <v>0.15</v>
      </c>
      <c r="E247" s="2118">
        <v>0.15</v>
      </c>
      <c r="F247" s="2119">
        <v>0.15</v>
      </c>
    </row>
    <row r="248" spans="1:6" ht="14.25" thickBot="1">
      <c r="A248" s="1529" t="s">
        <v>1545</v>
      </c>
      <c r="B248" s="1523" t="s">
        <v>2236</v>
      </c>
      <c r="C248" s="2118">
        <v>0.15</v>
      </c>
      <c r="D248" s="2118">
        <v>0.15</v>
      </c>
      <c r="E248" s="2118">
        <v>0.15</v>
      </c>
      <c r="F248" s="2119">
        <v>0.14000000000000001</v>
      </c>
    </row>
    <row r="249" spans="1:6" ht="14.25" thickBot="1">
      <c r="A249" s="1529" t="s">
        <v>1545</v>
      </c>
      <c r="B249" s="1523" t="s">
        <v>2237</v>
      </c>
      <c r="C249" s="2118">
        <v>0.15</v>
      </c>
      <c r="D249" s="2118">
        <v>0.14899999999999999</v>
      </c>
      <c r="E249" s="2118">
        <v>0.15</v>
      </c>
      <c r="F249" s="2119">
        <v>0.1</v>
      </c>
    </row>
    <row r="250" spans="1:6" ht="14.25" thickBot="1">
      <c r="A250" s="1529" t="s">
        <v>1545</v>
      </c>
      <c r="B250" s="1523" t="s">
        <v>2238</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2239</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2240</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2241</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2242</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2243</v>
      </c>
      <c r="C273" s="2118">
        <v>0.14199999999999999</v>
      </c>
      <c r="D273" s="2118">
        <v>0.14299999999999999</v>
      </c>
      <c r="E273" s="2118">
        <v>0.15</v>
      </c>
      <c r="F273" s="2119">
        <v>0.1</v>
      </c>
    </row>
    <row r="274" spans="1:6" ht="14.25" thickBot="1">
      <c r="A274" s="1529" t="s">
        <v>1545</v>
      </c>
      <c r="B274" s="1523" t="s">
        <v>2244</v>
      </c>
      <c r="C274" s="2118">
        <v>0.14799999999999999</v>
      </c>
      <c r="D274" s="2118">
        <v>0.14799999999999999</v>
      </c>
      <c r="E274" s="2118">
        <v>0.15</v>
      </c>
      <c r="F274" s="2119">
        <v>6.7000000000000004E-2</v>
      </c>
    </row>
    <row r="275" spans="1:6" ht="14.25" thickBot="1">
      <c r="A275" s="1529" t="s">
        <v>1545</v>
      </c>
      <c r="B275" s="1523" t="s">
        <v>2245</v>
      </c>
      <c r="C275" s="2118">
        <v>0.15</v>
      </c>
      <c r="D275" s="2118">
        <v>0.15</v>
      </c>
      <c r="E275" s="2118">
        <v>0.15</v>
      </c>
      <c r="F275" s="2119">
        <v>0.15</v>
      </c>
    </row>
    <row r="276" spans="1:6" ht="14.25" thickBot="1">
      <c r="A276" s="1529" t="s">
        <v>1545</v>
      </c>
      <c r="B276" s="1523" t="s">
        <v>2246</v>
      </c>
      <c r="C276" s="2118">
        <v>0.14499999999999999</v>
      </c>
      <c r="D276" s="2118">
        <v>0.14299999999999999</v>
      </c>
      <c r="E276" s="2118">
        <v>0.15</v>
      </c>
      <c r="F276" s="2119">
        <v>5.8999999999999997E-2</v>
      </c>
    </row>
    <row r="277" spans="1:6" ht="14.25" thickBot="1">
      <c r="A277" s="1529" t="s">
        <v>1545</v>
      </c>
      <c r="B277" s="1523" t="s">
        <v>2247</v>
      </c>
      <c r="C277" s="2118">
        <v>0.15</v>
      </c>
      <c r="D277" s="2118">
        <v>0.15</v>
      </c>
      <c r="E277" s="2118">
        <v>0.15</v>
      </c>
      <c r="F277" s="2119">
        <v>0.121</v>
      </c>
    </row>
    <row r="278" spans="1:6" ht="14.25" thickBot="1">
      <c r="A278" s="1529" t="s">
        <v>1545</v>
      </c>
      <c r="B278" s="1523" t="s">
        <v>2248</v>
      </c>
      <c r="C278" s="2118">
        <v>0.15</v>
      </c>
      <c r="D278" s="2118">
        <v>0.15</v>
      </c>
      <c r="E278" s="2118">
        <v>0.15</v>
      </c>
      <c r="F278" s="2119">
        <v>0.13800000000000001</v>
      </c>
    </row>
    <row r="279" spans="1:6" ht="24.75" thickBot="1">
      <c r="A279" s="1529" t="s">
        <v>1545</v>
      </c>
      <c r="B279" s="1523" t="s">
        <v>2249</v>
      </c>
      <c r="C279" s="2131"/>
      <c r="D279" s="2131"/>
      <c r="E279" s="2131"/>
      <c r="F279" s="2119">
        <v>0.05</v>
      </c>
    </row>
    <row r="280" spans="1:6" ht="24.75" thickBot="1">
      <c r="A280" s="1529" t="s">
        <v>1545</v>
      </c>
      <c r="B280" s="1523" t="s">
        <v>2250</v>
      </c>
      <c r="C280" s="2131"/>
      <c r="D280" s="2131"/>
      <c r="E280" s="2131"/>
      <c r="F280" s="2119">
        <v>0.05</v>
      </c>
    </row>
    <row r="281" spans="1:6" ht="24.75" thickBot="1">
      <c r="A281" s="1529" t="s">
        <v>1545</v>
      </c>
      <c r="B281" s="1523" t="s">
        <v>2251</v>
      </c>
      <c r="C281" s="2131"/>
      <c r="D281" s="2131"/>
      <c r="E281" s="2131"/>
      <c r="F281" s="2119">
        <v>0.05</v>
      </c>
    </row>
    <row r="282" spans="1:6" ht="24.75" thickBot="1">
      <c r="A282" s="1529" t="s">
        <v>1545</v>
      </c>
      <c r="B282" s="1523" t="s">
        <v>2252</v>
      </c>
      <c r="C282" s="2131"/>
      <c r="D282" s="2131"/>
      <c r="E282" s="2131"/>
      <c r="F282" s="2119">
        <v>0.05</v>
      </c>
    </row>
    <row r="283" spans="1:6" ht="24.75" thickBot="1">
      <c r="A283" s="1529" t="s">
        <v>1545</v>
      </c>
      <c r="B283" s="1523" t="s">
        <v>2253</v>
      </c>
      <c r="C283" s="2131"/>
      <c r="D283" s="2131"/>
      <c r="E283" s="2131"/>
      <c r="F283" s="2119">
        <v>0.05</v>
      </c>
    </row>
    <row r="284" spans="1:6" ht="24.75" thickBot="1">
      <c r="A284" s="1529" t="s">
        <v>1545</v>
      </c>
      <c r="B284" s="1523" t="s">
        <v>2254</v>
      </c>
      <c r="C284" s="2131"/>
      <c r="D284" s="2131"/>
      <c r="E284" s="2131"/>
      <c r="F284" s="2119">
        <v>0.05</v>
      </c>
    </row>
    <row r="285" spans="1:6" ht="24.75" thickBot="1">
      <c r="A285" s="1529" t="s">
        <v>1545</v>
      </c>
      <c r="B285" s="1523" t="s">
        <v>2255</v>
      </c>
      <c r="C285" s="2131"/>
      <c r="D285" s="2131"/>
      <c r="E285" s="2131"/>
      <c r="F285" s="2119">
        <v>0.05</v>
      </c>
    </row>
    <row r="286" spans="1:6" ht="24.75" thickBot="1">
      <c r="A286" s="1529" t="s">
        <v>1545</v>
      </c>
      <c r="B286" s="1523" t="s">
        <v>2256</v>
      </c>
      <c r="C286" s="2131"/>
      <c r="D286" s="2131"/>
      <c r="E286" s="2131"/>
      <c r="F286" s="2119">
        <v>0.05</v>
      </c>
    </row>
    <row r="287" spans="1:6" ht="24.75" thickBot="1">
      <c r="A287" s="1529" t="s">
        <v>1545</v>
      </c>
      <c r="B287" s="1523" t="s">
        <v>2257</v>
      </c>
      <c r="C287" s="2131"/>
      <c r="D287" s="2131"/>
      <c r="E287" s="2131"/>
      <c r="F287" s="2119">
        <v>0.05</v>
      </c>
    </row>
    <row r="288" spans="1:6" ht="24.75" thickBot="1">
      <c r="A288" s="1529" t="s">
        <v>1545</v>
      </c>
      <c r="B288" s="1523" t="s">
        <v>2258</v>
      </c>
      <c r="C288" s="2131"/>
      <c r="D288" s="2131"/>
      <c r="E288" s="2131"/>
      <c r="F288" s="2119">
        <v>0.05</v>
      </c>
    </row>
    <row r="289" spans="1:6" ht="24.75" thickBot="1">
      <c r="A289" s="1539" t="s">
        <v>1545</v>
      </c>
      <c r="B289" s="1535" t="s">
        <v>2259</v>
      </c>
      <c r="C289" s="2128"/>
      <c r="D289" s="2128"/>
      <c r="E289" s="2128"/>
      <c r="F289" s="2121">
        <v>0.05</v>
      </c>
    </row>
    <row r="290" spans="1:6" ht="14.25" thickBot="1">
      <c r="A290" s="1529" t="s">
        <v>1549</v>
      </c>
      <c r="B290" s="1530" t="s">
        <v>2260</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2261</v>
      </c>
      <c r="C292" s="2118">
        <v>0.15</v>
      </c>
      <c r="D292" s="2118">
        <v>0.15</v>
      </c>
      <c r="E292" s="2118">
        <v>0.15</v>
      </c>
      <c r="F292" s="2119">
        <v>0.14699999999999999</v>
      </c>
    </row>
    <row r="293" spans="1:6" ht="14.25" thickBot="1">
      <c r="A293" s="1529" t="s">
        <v>1549</v>
      </c>
      <c r="B293" s="1523" t="s">
        <v>2262</v>
      </c>
      <c r="C293" s="2131"/>
      <c r="D293" s="2131"/>
      <c r="E293" s="2131"/>
      <c r="F293" s="2119">
        <v>0.1</v>
      </c>
    </row>
    <row r="294" spans="1:6" ht="14.25" thickBot="1">
      <c r="A294" s="1529" t="s">
        <v>1549</v>
      </c>
      <c r="B294" s="1523" t="s">
        <v>2263</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2264</v>
      </c>
      <c r="C296" s="2118">
        <v>0.15</v>
      </c>
      <c r="D296" s="2118">
        <v>0.15</v>
      </c>
      <c r="E296" s="2118">
        <v>0.15</v>
      </c>
      <c r="F296" s="2119">
        <v>0.15</v>
      </c>
    </row>
    <row r="297" spans="1:6" ht="14.25" thickBot="1">
      <c r="A297" s="1529" t="s">
        <v>1549</v>
      </c>
      <c r="B297" s="1523" t="s">
        <v>2265</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2266</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2267</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2268</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2269</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2270</v>
      </c>
      <c r="C310" s="2118">
        <v>0.15</v>
      </c>
      <c r="D310" s="2118">
        <v>0.15</v>
      </c>
      <c r="E310" s="2118">
        <v>0.15</v>
      </c>
      <c r="F310" s="2119">
        <v>0.13700000000000001</v>
      </c>
    </row>
    <row r="311" spans="1:6" ht="14.25" thickBot="1">
      <c r="A311" s="1529" t="s">
        <v>1549</v>
      </c>
      <c r="B311" s="1523" t="s">
        <v>2271</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2272</v>
      </c>
      <c r="C313" s="2118">
        <v>0.15</v>
      </c>
      <c r="D313" s="2118">
        <v>0.15</v>
      </c>
      <c r="E313" s="2118">
        <v>0.15</v>
      </c>
      <c r="F313" s="2119">
        <v>0.15</v>
      </c>
    </row>
    <row r="314" spans="1:6" ht="24.75" thickBot="1">
      <c r="A314" s="1529" t="s">
        <v>1549</v>
      </c>
      <c r="B314" s="1523" t="s">
        <v>2273</v>
      </c>
      <c r="C314" s="2131"/>
      <c r="D314" s="2131"/>
      <c r="E314" s="2131"/>
      <c r="F314" s="2119">
        <v>0.05</v>
      </c>
    </row>
    <row r="315" spans="1:6" ht="24.75" thickBot="1">
      <c r="A315" s="1529" t="s">
        <v>1549</v>
      </c>
      <c r="B315" s="1523" t="s">
        <v>2274</v>
      </c>
      <c r="C315" s="2131"/>
      <c r="D315" s="2131"/>
      <c r="E315" s="2131"/>
      <c r="F315" s="2119">
        <v>0.05</v>
      </c>
    </row>
    <row r="316" spans="1:6" ht="24.75" thickBot="1">
      <c r="A316" s="1539" t="s">
        <v>1549</v>
      </c>
      <c r="B316" s="1535" t="s">
        <v>2275</v>
      </c>
      <c r="C316" s="2128"/>
      <c r="D316" s="2128"/>
      <c r="E316" s="2128"/>
      <c r="F316" s="2121">
        <v>0.05</v>
      </c>
    </row>
    <row r="317" spans="1:6" ht="14.25" thickBot="1">
      <c r="A317" s="1529" t="s">
        <v>2276</v>
      </c>
      <c r="B317" s="1530" t="s">
        <v>2277</v>
      </c>
      <c r="C317" s="2116">
        <v>0.15</v>
      </c>
      <c r="D317" s="2116">
        <v>0.15</v>
      </c>
      <c r="E317" s="2116">
        <v>0.15</v>
      </c>
      <c r="F317" s="2117">
        <v>0.15</v>
      </c>
    </row>
    <row r="318" spans="1:6" ht="14.25" thickBot="1">
      <c r="A318" s="1529" t="s">
        <v>2276</v>
      </c>
      <c r="B318" s="1523" t="s">
        <v>2278</v>
      </c>
      <c r="C318" s="2118">
        <v>0.107</v>
      </c>
      <c r="D318" s="2118">
        <v>0.11</v>
      </c>
      <c r="E318" s="2118">
        <v>0.112</v>
      </c>
      <c r="F318" s="2130"/>
    </row>
    <row r="319" spans="1:6" ht="14.25" thickBot="1">
      <c r="A319" s="1529" t="s">
        <v>2276</v>
      </c>
      <c r="B319" s="1523" t="s">
        <v>2279</v>
      </c>
      <c r="C319" s="2118">
        <v>0.15</v>
      </c>
      <c r="D319" s="2118">
        <v>0.15</v>
      </c>
      <c r="E319" s="2118">
        <v>0.15</v>
      </c>
      <c r="F319" s="2119">
        <v>0.15</v>
      </c>
    </row>
    <row r="320" spans="1:6" ht="14.25" thickBot="1">
      <c r="A320" s="1529" t="s">
        <v>2276</v>
      </c>
      <c r="B320" s="1523" t="s">
        <v>1238</v>
      </c>
      <c r="C320" s="2118">
        <v>0.15</v>
      </c>
      <c r="D320" s="2118">
        <v>0.15</v>
      </c>
      <c r="E320" s="2118">
        <v>0.15</v>
      </c>
      <c r="F320" s="2130"/>
    </row>
    <row r="321" spans="1:6" ht="14.25" thickBot="1">
      <c r="A321" s="1529" t="s">
        <v>2276</v>
      </c>
      <c r="B321" s="1523" t="s">
        <v>2280</v>
      </c>
      <c r="C321" s="2118">
        <v>0.15</v>
      </c>
      <c r="D321" s="2118">
        <v>0.15</v>
      </c>
      <c r="E321" s="2118">
        <v>0.15</v>
      </c>
      <c r="F321" s="2130"/>
    </row>
    <row r="322" spans="1:6" ht="14.25" thickBot="1">
      <c r="A322" s="1529" t="s">
        <v>2276</v>
      </c>
      <c r="B322" s="1523" t="s">
        <v>2281</v>
      </c>
      <c r="C322" s="2118">
        <v>0.15</v>
      </c>
      <c r="D322" s="2118">
        <v>0.15</v>
      </c>
      <c r="E322" s="2118">
        <v>0.15</v>
      </c>
      <c r="F322" s="2119">
        <v>0.15</v>
      </c>
    </row>
    <row r="323" spans="1:6" ht="14.25" thickBot="1">
      <c r="A323" s="1529" t="s">
        <v>2276</v>
      </c>
      <c r="B323" s="1523" t="s">
        <v>2282</v>
      </c>
      <c r="C323" s="2118">
        <v>0.15</v>
      </c>
      <c r="D323" s="2118">
        <v>0.15</v>
      </c>
      <c r="E323" s="2118">
        <v>0.15</v>
      </c>
      <c r="F323" s="2130"/>
    </row>
    <row r="324" spans="1:6" ht="14.25" thickBot="1">
      <c r="A324" s="1529" t="s">
        <v>2276</v>
      </c>
      <c r="B324" s="1523" t="s">
        <v>2283</v>
      </c>
      <c r="C324" s="2118">
        <v>0.15</v>
      </c>
      <c r="D324" s="2118">
        <v>0.15</v>
      </c>
      <c r="E324" s="2118">
        <v>0.15</v>
      </c>
      <c r="F324" s="2130"/>
    </row>
    <row r="325" spans="1:6" ht="14.25" thickBot="1">
      <c r="A325" s="1529" t="s">
        <v>2276</v>
      </c>
      <c r="B325" s="1523" t="s">
        <v>2284</v>
      </c>
      <c r="C325" s="2118">
        <v>0.15</v>
      </c>
      <c r="D325" s="2118">
        <v>0.15</v>
      </c>
      <c r="E325" s="2118">
        <v>0.15</v>
      </c>
      <c r="F325" s="2119">
        <v>0.14699999999999999</v>
      </c>
    </row>
    <row r="326" spans="1:6" ht="14.25" thickBot="1">
      <c r="A326" s="1529" t="s">
        <v>2276</v>
      </c>
      <c r="B326" s="1523" t="s">
        <v>1305</v>
      </c>
      <c r="C326" s="2118">
        <v>0.15</v>
      </c>
      <c r="D326" s="2118">
        <v>0.15</v>
      </c>
      <c r="E326" s="2118">
        <v>0.15</v>
      </c>
      <c r="F326" s="2130"/>
    </row>
    <row r="327" spans="1:6" ht="14.25" thickBot="1">
      <c r="A327" s="1529" t="s">
        <v>2276</v>
      </c>
      <c r="B327" s="1523" t="s">
        <v>2285</v>
      </c>
      <c r="C327" s="2118">
        <v>0.15</v>
      </c>
      <c r="D327" s="2118">
        <v>0.15</v>
      </c>
      <c r="E327" s="2118">
        <v>0.15</v>
      </c>
      <c r="F327" s="2119">
        <v>0.15</v>
      </c>
    </row>
    <row r="328" spans="1:6" ht="14.25" thickBot="1">
      <c r="A328" s="1529" t="s">
        <v>2276</v>
      </c>
      <c r="B328" s="1523" t="s">
        <v>1325</v>
      </c>
      <c r="C328" s="2118">
        <v>0.15</v>
      </c>
      <c r="D328" s="2118">
        <v>0.15</v>
      </c>
      <c r="E328" s="2118">
        <v>0.15</v>
      </c>
      <c r="F328" s="2119">
        <v>0.14099999999999999</v>
      </c>
    </row>
    <row r="329" spans="1:6" ht="14.25" thickBot="1">
      <c r="A329" s="1529" t="s">
        <v>2276</v>
      </c>
      <c r="B329" s="1523" t="s">
        <v>1335</v>
      </c>
      <c r="C329" s="2118">
        <v>0.15</v>
      </c>
      <c r="D329" s="2118">
        <v>0.15</v>
      </c>
      <c r="E329" s="2118">
        <v>0.15</v>
      </c>
      <c r="F329" s="2119">
        <v>0.15</v>
      </c>
    </row>
    <row r="330" spans="1:6" ht="14.25" thickBot="1">
      <c r="A330" s="1529" t="s">
        <v>2276</v>
      </c>
      <c r="B330" s="1523" t="s">
        <v>1346</v>
      </c>
      <c r="C330" s="2118">
        <v>0.15</v>
      </c>
      <c r="D330" s="2118">
        <v>0.15</v>
      </c>
      <c r="E330" s="2118">
        <v>0.15</v>
      </c>
      <c r="F330" s="2130"/>
    </row>
    <row r="331" spans="1:6" ht="14.25" thickBot="1">
      <c r="A331" s="1529" t="s">
        <v>2276</v>
      </c>
      <c r="B331" s="1523" t="s">
        <v>2286</v>
      </c>
      <c r="C331" s="2118">
        <v>0.15</v>
      </c>
      <c r="D331" s="2118">
        <v>0.15</v>
      </c>
      <c r="E331" s="2118">
        <v>0.15</v>
      </c>
      <c r="F331" s="2119">
        <v>0.15</v>
      </c>
    </row>
    <row r="332" spans="1:6" ht="14.25" thickBot="1">
      <c r="A332" s="1529" t="s">
        <v>2276</v>
      </c>
      <c r="B332" s="1523" t="s">
        <v>1367</v>
      </c>
      <c r="C332" s="2118">
        <v>0.15</v>
      </c>
      <c r="D332" s="2118">
        <v>0.15</v>
      </c>
      <c r="E332" s="2118">
        <v>0.15</v>
      </c>
      <c r="F332" s="2119">
        <v>0.15</v>
      </c>
    </row>
    <row r="333" spans="1:6" ht="14.25" thickBot="1">
      <c r="A333" s="1529" t="s">
        <v>2276</v>
      </c>
      <c r="B333" s="1523" t="s">
        <v>2287</v>
      </c>
      <c r="C333" s="2118">
        <v>0.15</v>
      </c>
      <c r="D333" s="2118">
        <v>0.15</v>
      </c>
      <c r="E333" s="2118">
        <v>0.15</v>
      </c>
      <c r="F333" s="2119">
        <v>0.14099999999999999</v>
      </c>
    </row>
    <row r="334" spans="1:6" ht="14.25" thickBot="1">
      <c r="A334" s="1529" t="s">
        <v>2276</v>
      </c>
      <c r="B334" s="1523" t="s">
        <v>1387</v>
      </c>
      <c r="C334" s="2118">
        <v>0.15</v>
      </c>
      <c r="D334" s="2118">
        <v>0.15</v>
      </c>
      <c r="E334" s="2118">
        <v>0.15</v>
      </c>
      <c r="F334" s="2119">
        <v>0.15</v>
      </c>
    </row>
    <row r="335" spans="1:6" ht="14.25" thickBot="1">
      <c r="A335" s="1529" t="s">
        <v>2276</v>
      </c>
      <c r="B335" s="1523" t="s">
        <v>1397</v>
      </c>
      <c r="C335" s="2118">
        <v>0.15</v>
      </c>
      <c r="D335" s="2118">
        <v>0.15</v>
      </c>
      <c r="E335" s="2118">
        <v>0.15</v>
      </c>
      <c r="F335" s="2130"/>
    </row>
    <row r="336" spans="1:6" ht="14.25" thickBot="1">
      <c r="A336" s="1529" t="s">
        <v>2276</v>
      </c>
      <c r="B336" s="1523" t="s">
        <v>2288</v>
      </c>
      <c r="C336" s="2118">
        <v>0.15</v>
      </c>
      <c r="D336" s="2118">
        <v>0.15</v>
      </c>
      <c r="E336" s="2118">
        <v>0.15</v>
      </c>
      <c r="F336" s="2119">
        <v>0.11799999999999999</v>
      </c>
    </row>
    <row r="337" spans="1:6" ht="14.25" thickBot="1">
      <c r="A337" s="1539" t="s">
        <v>2276</v>
      </c>
      <c r="B337" s="1535" t="s">
        <v>1415</v>
      </c>
      <c r="C337" s="2128"/>
      <c r="D337" s="2128"/>
      <c r="E337" s="2128"/>
      <c r="F337" s="2121">
        <v>0.14299999999999999</v>
      </c>
    </row>
    <row r="338" spans="1:6" ht="14.25" thickBot="1">
      <c r="A338" s="1529" t="s">
        <v>2289</v>
      </c>
      <c r="B338" s="1530" t="s">
        <v>2290</v>
      </c>
      <c r="C338" s="2116">
        <v>0.15</v>
      </c>
      <c r="D338" s="2116">
        <v>0.15</v>
      </c>
      <c r="E338" s="2116">
        <v>0.15</v>
      </c>
      <c r="F338" s="2133"/>
    </row>
    <row r="339" spans="1:6" ht="14.25" thickBot="1">
      <c r="A339" s="1529" t="s">
        <v>2289</v>
      </c>
      <c r="B339" s="1523" t="s">
        <v>2291</v>
      </c>
      <c r="C339" s="2118">
        <v>0.15</v>
      </c>
      <c r="D339" s="2118">
        <v>0.15</v>
      </c>
      <c r="E339" s="2118">
        <v>0.15</v>
      </c>
      <c r="F339" s="2130"/>
    </row>
    <row r="340" spans="1:6" ht="14.25" thickBot="1">
      <c r="A340" s="1529" t="s">
        <v>2289</v>
      </c>
      <c r="B340" s="1523" t="s">
        <v>2292</v>
      </c>
      <c r="C340" s="2118">
        <v>0.15</v>
      </c>
      <c r="D340" s="2118">
        <v>0.15</v>
      </c>
      <c r="E340" s="2118">
        <v>0.15</v>
      </c>
      <c r="F340" s="2130"/>
    </row>
    <row r="341" spans="1:6" ht="14.25" thickBot="1">
      <c r="A341" s="1529" t="s">
        <v>2289</v>
      </c>
      <c r="B341" s="1523" t="s">
        <v>2293</v>
      </c>
      <c r="C341" s="2118">
        <v>0.15</v>
      </c>
      <c r="D341" s="2118">
        <v>0.15</v>
      </c>
      <c r="E341" s="2118">
        <v>0.15</v>
      </c>
      <c r="F341" s="2119">
        <v>0.15</v>
      </c>
    </row>
    <row r="342" spans="1:6" ht="14.25" thickBot="1">
      <c r="A342" s="1529" t="s">
        <v>2289</v>
      </c>
      <c r="B342" s="1523" t="s">
        <v>2294</v>
      </c>
      <c r="C342" s="2118">
        <v>0.15</v>
      </c>
      <c r="D342" s="2118">
        <v>0.15</v>
      </c>
      <c r="E342" s="2118">
        <v>0.15</v>
      </c>
      <c r="F342" s="2119">
        <v>0.15</v>
      </c>
    </row>
    <row r="343" spans="1:6" ht="14.25" thickBot="1">
      <c r="A343" s="1529" t="s">
        <v>2289</v>
      </c>
      <c r="B343" s="1523" t="s">
        <v>2295</v>
      </c>
      <c r="C343" s="2118">
        <v>0.15</v>
      </c>
      <c r="D343" s="2118">
        <v>0.15</v>
      </c>
      <c r="E343" s="2118">
        <v>0.15</v>
      </c>
      <c r="F343" s="2119">
        <v>0.15</v>
      </c>
    </row>
    <row r="344" spans="1:6" ht="14.25" thickBot="1">
      <c r="A344" s="1539" t="s">
        <v>2289</v>
      </c>
      <c r="B344" s="1535"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2912</v>
      </c>
      <c r="C1" s="3196">
        <f>项目基本情况!D3</f>
        <v>42962</v>
      </c>
      <c r="D1" s="3202" t="s">
        <v>2913</v>
      </c>
      <c r="E1" s="3197">
        <f>'数据-取费表'!B22</f>
        <v>2.5</v>
      </c>
      <c r="F1" s="3202" t="s">
        <v>2914</v>
      </c>
      <c r="G1" s="3198">
        <f ca="1">INDIRECT("d"&amp;$K$1)/100</f>
        <v>4.7500000000000001E-2</v>
      </c>
      <c r="H1" s="3202" t="s">
        <v>2944</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2915</v>
      </c>
      <c r="E2" s="3138"/>
      <c r="F2" s="3138" t="s">
        <v>2916</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2917</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2918</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2919</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2920</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2921</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2922</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2923</v>
      </c>
      <c r="C10" s="3166"/>
      <c r="D10" s="3166"/>
      <c r="E10" s="3166"/>
      <c r="F10" s="3166"/>
      <c r="G10" s="3166"/>
      <c r="H10" s="3166"/>
      <c r="I10" s="3140"/>
      <c r="J10" s="3140"/>
      <c r="K10" s="3166"/>
      <c r="L10" s="3167" t="s">
        <v>2924</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2925</v>
      </c>
      <c r="C11" s="3171" t="s">
        <v>2926</v>
      </c>
      <c r="D11" s="3172" t="s">
        <v>2927</v>
      </c>
      <c r="E11" s="3173"/>
      <c r="F11" s="3172" t="s">
        <v>2928</v>
      </c>
      <c r="G11" s="3174"/>
      <c r="H11" s="3173"/>
      <c r="I11" s="3172" t="s">
        <v>2929</v>
      </c>
      <c r="J11" s="3173"/>
      <c r="K11" s="3169"/>
      <c r="L11" s="3170" t="s">
        <v>2925</v>
      </c>
      <c r="M11" s="3171" t="s">
        <v>2926</v>
      </c>
      <c r="N11" s="3170" t="s">
        <v>2930</v>
      </c>
      <c r="O11" s="3172" t="s">
        <v>2931</v>
      </c>
      <c r="P11" s="3174"/>
      <c r="Q11" s="3174"/>
      <c r="R11" s="3174"/>
      <c r="S11" s="3174"/>
      <c r="T11" s="3173"/>
      <c r="U11" s="3172" t="s">
        <v>2932</v>
      </c>
      <c r="V11" s="3174"/>
      <c r="W11" s="3173"/>
      <c r="X11" s="3170" t="s">
        <v>2933</v>
      </c>
      <c r="Y11" s="3170" t="s">
        <v>2934</v>
      </c>
      <c r="Z11" s="3170" t="s">
        <v>2935</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2936</v>
      </c>
      <c r="E12" s="3179" t="s">
        <v>2937</v>
      </c>
      <c r="F12" s="3179" t="s">
        <v>2938</v>
      </c>
      <c r="G12" s="3179" t="s">
        <v>2939</v>
      </c>
      <c r="H12" s="3179" t="s">
        <v>2921</v>
      </c>
      <c r="I12" s="3180" t="s">
        <v>2940</v>
      </c>
      <c r="J12" s="3180" t="s">
        <v>2940</v>
      </c>
      <c r="K12" s="3176"/>
      <c r="L12" s="3177"/>
      <c r="M12" s="3178"/>
      <c r="N12" s="3177"/>
      <c r="O12" s="3180" t="s">
        <v>2941</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2942</v>
      </c>
      <c r="C13" s="3184">
        <v>42301</v>
      </c>
      <c r="D13" s="3185">
        <v>4.3499999999999996</v>
      </c>
      <c r="E13" s="3185">
        <v>4.3499999999999996</v>
      </c>
      <c r="F13" s="3185">
        <v>4.75</v>
      </c>
      <c r="G13" s="3185">
        <v>4.75</v>
      </c>
      <c r="H13" s="3185">
        <v>4.9000000000000004</v>
      </c>
      <c r="I13" s="3185">
        <v>2.75</v>
      </c>
      <c r="J13" s="3185">
        <v>3.25</v>
      </c>
      <c r="K13" s="3182"/>
      <c r="L13" s="3183" t="s">
        <v>2942</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2943</v>
      </c>
      <c r="Y42" s="3189" t="s">
        <v>2943</v>
      </c>
      <c r="Z42" s="3189" t="s">
        <v>2943</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2943</v>
      </c>
      <c r="Y43" s="3189" t="s">
        <v>2943</v>
      </c>
      <c r="Z43" s="3189" t="s">
        <v>2943</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2943</v>
      </c>
      <c r="Y44" s="3189" t="s">
        <v>2943</v>
      </c>
      <c r="Z44" s="3189" t="s">
        <v>2943</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2943</v>
      </c>
      <c r="Y45" s="3189" t="s">
        <v>2943</v>
      </c>
      <c r="Z45" s="3189" t="s">
        <v>2943</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2943</v>
      </c>
      <c r="Y46" s="3189" t="s">
        <v>2943</v>
      </c>
      <c r="Z46" s="3189" t="s">
        <v>2943</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2943</v>
      </c>
      <c r="Y47" s="3189" t="s">
        <v>2943</v>
      </c>
      <c r="Z47" s="3189" t="s">
        <v>2943</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2943</v>
      </c>
      <c r="Y48" s="3189" t="s">
        <v>2943</v>
      </c>
      <c r="Z48" s="3189" t="s">
        <v>2943</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2943</v>
      </c>
      <c r="Y49" s="3189" t="s">
        <v>2943</v>
      </c>
      <c r="Z49" s="3189" t="s">
        <v>2943</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2943</v>
      </c>
      <c r="Y50" s="3189" t="s">
        <v>2943</v>
      </c>
      <c r="Z50" s="3189" t="s">
        <v>2943</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2943</v>
      </c>
      <c r="V51" s="3189" t="s">
        <v>2943</v>
      </c>
      <c r="W51" s="3189" t="s">
        <v>2943</v>
      </c>
      <c r="X51" s="3189" t="s">
        <v>2943</v>
      </c>
      <c r="Y51" s="3189" t="s">
        <v>2943</v>
      </c>
      <c r="Z51" s="3189" t="s">
        <v>2943</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2943</v>
      </c>
      <c r="J55" s="3189" t="s">
        <v>2943</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1" t="s">
        <v>3042</v>
      </c>
      <c r="E1" s="3325" t="s">
        <v>3046</v>
      </c>
      <c r="F1" s="3326" t="s">
        <v>3050</v>
      </c>
    </row>
    <row r="2" spans="1:13" ht="20.25">
      <c r="A2" s="3332" t="s">
        <v>3043</v>
      </c>
    </row>
    <row r="3" spans="1:13" ht="16.5">
      <c r="A3" s="3333" t="s">
        <v>3044</v>
      </c>
    </row>
    <row r="4" spans="1:13" ht="14.25">
      <c r="A4" s="3323" t="s">
        <v>3045</v>
      </c>
      <c r="B4" s="3328" t="s">
        <v>3047</v>
      </c>
      <c r="C4" s="3329"/>
      <c r="D4" s="3330"/>
      <c r="E4" s="3328" t="s">
        <v>141</v>
      </c>
      <c r="F4" s="3329"/>
      <c r="G4" s="3330"/>
      <c r="H4" s="3328" t="s">
        <v>3048</v>
      </c>
      <c r="I4" s="3329"/>
      <c r="J4" s="3330"/>
      <c r="K4" s="3328" t="s">
        <v>39</v>
      </c>
      <c r="L4" s="3329"/>
      <c r="M4" s="3330"/>
    </row>
    <row r="5" spans="1:13" ht="14.25">
      <c r="A5" s="3324" t="s">
        <v>3049</v>
      </c>
      <c r="B5" s="3323" t="s">
        <v>3051</v>
      </c>
      <c r="C5" s="3323" t="s">
        <v>3052</v>
      </c>
      <c r="D5" s="3323" t="s">
        <v>3053</v>
      </c>
      <c r="E5" s="3323" t="s">
        <v>3051</v>
      </c>
      <c r="F5" s="3323" t="s">
        <v>3052</v>
      </c>
      <c r="G5" s="3323" t="s">
        <v>3053</v>
      </c>
      <c r="H5" s="3323" t="s">
        <v>3051</v>
      </c>
      <c r="I5" s="3323" t="s">
        <v>3052</v>
      </c>
      <c r="J5" s="3323" t="s">
        <v>3053</v>
      </c>
      <c r="K5" s="3323" t="s">
        <v>3051</v>
      </c>
      <c r="L5" s="3323" t="s">
        <v>3052</v>
      </c>
      <c r="M5" s="3323" t="s">
        <v>3053</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90" t="s">
        <v>2043</v>
      </c>
      <c r="B1" s="3390"/>
      <c r="C1" s="3390"/>
      <c r="D1" s="3390"/>
      <c r="E1" s="3390"/>
      <c r="F1" s="3390"/>
      <c r="G1" s="3390"/>
      <c r="H1" s="3390"/>
      <c r="I1" s="3390"/>
    </row>
    <row r="2" spans="1:9" ht="30" customHeight="1" thickTop="1">
      <c r="A2" s="3391" t="s">
        <v>2881</v>
      </c>
      <c r="B2" s="3391" t="s">
        <v>2044</v>
      </c>
      <c r="C2" s="3391" t="s">
        <v>2045</v>
      </c>
      <c r="D2" s="3391" t="str">
        <f>结果表!D116</f>
        <v>出让国有建设用地使用权价值</v>
      </c>
      <c r="E2" s="3391"/>
      <c r="F2" s="3391" t="str">
        <f>结果表!F116</f>
        <v>在建建筑物价值</v>
      </c>
      <c r="G2" s="3391"/>
      <c r="H2" s="3391" t="s">
        <v>6</v>
      </c>
      <c r="I2" s="3391"/>
    </row>
    <row r="3" spans="1:9" ht="14.25">
      <c r="A3" s="3385"/>
      <c r="B3" s="3385"/>
      <c r="C3" s="3385"/>
      <c r="D3" s="1912" t="s">
        <v>7</v>
      </c>
      <c r="E3" s="1912" t="s">
        <v>2046</v>
      </c>
      <c r="F3" s="1912" t="s">
        <v>7</v>
      </c>
      <c r="G3" s="1912" t="s">
        <v>8</v>
      </c>
      <c r="H3" s="1912" t="s">
        <v>7</v>
      </c>
      <c r="I3" s="1912" t="s">
        <v>8</v>
      </c>
    </row>
    <row r="4" spans="1:9" ht="15">
      <c r="A4" s="1982" t="str">
        <f>项目基本情况!S2</f>
        <v>北京市房地产</v>
      </c>
      <c r="B4" s="1976">
        <f>项目基本情况!C17</f>
        <v>123111.63</v>
      </c>
      <c r="C4" s="1976">
        <f>项目基本情况!C18</f>
        <v>22211.31</v>
      </c>
      <c r="D4" s="1976">
        <f ca="1">结果表!D118</f>
        <v>185473</v>
      </c>
      <c r="E4" s="1976">
        <f ca="1">结果表!E118</f>
        <v>15065</v>
      </c>
      <c r="F4" s="1976">
        <f ca="1">结果表!F118</f>
        <v>74293</v>
      </c>
      <c r="G4" s="1976">
        <f ca="1">结果表!G118</f>
        <v>6035</v>
      </c>
      <c r="H4" s="1976">
        <f ca="1">结果表!H118</f>
        <v>259766</v>
      </c>
      <c r="I4" s="1976">
        <f ca="1">结果表!I118</f>
        <v>21100</v>
      </c>
    </row>
    <row r="5" spans="1:9" ht="30" customHeight="1">
      <c r="A5" s="3385" t="s">
        <v>9</v>
      </c>
      <c r="B5" s="3385"/>
      <c r="C5" s="3385"/>
      <c r="D5" s="3386" t="str">
        <f ca="1">结果表!D119</f>
        <v>壹拾捌亿伍仟肆佰柒拾叁万元整</v>
      </c>
      <c r="E5" s="3386"/>
      <c r="F5" s="3386" t="str">
        <f ca="1">结果表!F119</f>
        <v>柒亿肆仟贰佰玖拾叁万元整</v>
      </c>
      <c r="G5" s="3386"/>
      <c r="H5" s="3386" t="str">
        <f ca="1">结果表!H119</f>
        <v>贰拾伍亿玖仟柒佰陆拾陆万元整</v>
      </c>
      <c r="I5" s="3386"/>
    </row>
    <row r="6" spans="1:9" ht="15.75">
      <c r="A6" s="3383" t="str">
        <f>结果表!A120</f>
        <v>估价师知悉的法定优先受偿款</v>
      </c>
      <c r="B6" s="3383"/>
      <c r="C6" s="3383"/>
      <c r="D6" s="3384">
        <f>结果表!D120</f>
        <v>0</v>
      </c>
      <c r="E6" s="3384"/>
      <c r="F6" s="3384"/>
      <c r="G6" s="3384"/>
      <c r="H6" s="3384"/>
      <c r="I6" s="3384"/>
    </row>
    <row r="7" spans="1:9" ht="14.25">
      <c r="A7" s="3385" t="s">
        <v>9</v>
      </c>
      <c r="B7" s="3385"/>
      <c r="C7" s="3385"/>
      <c r="D7" s="3387" t="str">
        <f>结果表!D121</f>
        <v>零元整</v>
      </c>
      <c r="E7" s="3388"/>
      <c r="F7" s="3388"/>
      <c r="G7" s="3388"/>
      <c r="H7" s="3388"/>
      <c r="I7" s="3389"/>
    </row>
    <row r="8" spans="1:9" ht="15.75">
      <c r="A8" s="3383" t="str">
        <f>结果表!A122</f>
        <v>房地产抵押价值</v>
      </c>
      <c r="B8" s="3383"/>
      <c r="C8" s="3383"/>
      <c r="D8" s="3384">
        <f ca="1">结果表!D122</f>
        <v>259766</v>
      </c>
      <c r="E8" s="3384"/>
      <c r="F8" s="3384"/>
      <c r="G8" s="3384"/>
      <c r="H8" s="3384"/>
      <c r="I8" s="3384"/>
    </row>
    <row r="9" spans="1:9" ht="14.25">
      <c r="A9" s="3385" t="s">
        <v>9</v>
      </c>
      <c r="B9" s="3385"/>
      <c r="C9" s="3385"/>
      <c r="D9" s="3386" t="str">
        <f ca="1">结果表!D123</f>
        <v>贰拾伍亿玖仟柒佰陆拾陆万元整</v>
      </c>
      <c r="E9" s="3386"/>
      <c r="F9" s="3386"/>
      <c r="G9" s="3386"/>
      <c r="H9" s="3386"/>
      <c r="I9" s="3386"/>
    </row>
    <row r="10" spans="1:9" ht="15.75">
      <c r="A10" s="3383" t="str">
        <f>结果表!A124</f>
        <v/>
      </c>
      <c r="B10" s="3383"/>
      <c r="C10" s="3383"/>
      <c r="D10" s="3384" t="str">
        <f>结果表!D124</f>
        <v>——</v>
      </c>
      <c r="E10" s="3384"/>
      <c r="F10" s="3384"/>
      <c r="G10" s="3384"/>
      <c r="H10" s="3384"/>
      <c r="I10" s="3384"/>
    </row>
    <row r="11" spans="1:9" ht="14.25">
      <c r="A11" s="3385" t="s">
        <v>9</v>
      </c>
      <c r="B11" s="3385"/>
      <c r="C11" s="3385"/>
      <c r="D11" s="3386" t="e">
        <f>结果表!D125</f>
        <v>#VALUE!</v>
      </c>
      <c r="E11" s="3386"/>
      <c r="F11" s="3386"/>
      <c r="G11" s="3386"/>
      <c r="H11" s="3386"/>
      <c r="I11" s="3386"/>
    </row>
    <row r="12" spans="1:9" ht="15.75">
      <c r="A12" s="3383" t="str">
        <f>结果表!A126</f>
        <v/>
      </c>
      <c r="B12" s="3383"/>
      <c r="C12" s="3383"/>
      <c r="D12" s="3384" t="str">
        <f>结果表!D126</f>
        <v>——</v>
      </c>
      <c r="E12" s="3384"/>
      <c r="F12" s="3384"/>
      <c r="G12" s="3384"/>
      <c r="H12" s="3384"/>
      <c r="I12" s="3384"/>
    </row>
    <row r="13" spans="1:9" ht="15" thickBot="1">
      <c r="A13" s="3380" t="s">
        <v>9</v>
      </c>
      <c r="B13" s="3380"/>
      <c r="C13" s="3380"/>
      <c r="D13" s="3381" t="e">
        <f>结果表!D127</f>
        <v>#VALUE!</v>
      </c>
      <c r="E13" s="3381"/>
      <c r="F13" s="3381"/>
      <c r="G13" s="3381"/>
      <c r="H13" s="3381"/>
      <c r="I13" s="3381"/>
    </row>
    <row r="14" spans="1:9" ht="14.25" thickTop="1">
      <c r="A14" s="3382" t="s">
        <v>2047</v>
      </c>
      <c r="B14" s="3382"/>
      <c r="C14" s="3382"/>
      <c r="D14" s="3382"/>
      <c r="E14" s="3382"/>
      <c r="F14" s="3382"/>
      <c r="G14" s="3382"/>
      <c r="H14" s="3382"/>
      <c r="I14" s="3382"/>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8" t="s">
        <v>2857</v>
      </c>
      <c r="B1" s="3398"/>
      <c r="C1" s="3398"/>
      <c r="D1" s="3398"/>
    </row>
    <row r="2" spans="1:4" ht="18.75">
      <c r="A2" s="3399" t="s">
        <v>2118</v>
      </c>
      <c r="B2" s="3399"/>
      <c r="C2" s="3399"/>
      <c r="D2" s="3399"/>
    </row>
    <row r="3" spans="1:4" ht="18.75">
      <c r="A3" s="2611" t="s">
        <v>2119</v>
      </c>
      <c r="B3" s="2611" t="s">
        <v>2120</v>
      </c>
      <c r="C3" s="2611" t="s">
        <v>2121</v>
      </c>
      <c r="D3" s="2611" t="s">
        <v>2122</v>
      </c>
    </row>
    <row r="4" spans="1:4" ht="56.25" customHeight="1">
      <c r="A4" s="2617" t="str">
        <f>项目基本情况!B4</f>
        <v>刘梅</v>
      </c>
      <c r="B4" s="2612">
        <f ca="1">项目基本情况!C4</f>
        <v>0</v>
      </c>
      <c r="C4" s="2615"/>
      <c r="D4" s="2613" t="s">
        <v>2123</v>
      </c>
    </row>
    <row r="5" spans="1:4" ht="56.25" customHeight="1">
      <c r="A5" s="2617" t="str">
        <f>项目基本情况!D4</f>
        <v>吴薇</v>
      </c>
      <c r="B5" s="2612">
        <f ca="1">项目基本情况!E4</f>
        <v>1419970001</v>
      </c>
      <c r="C5" s="2616"/>
      <c r="D5" s="2613" t="s">
        <v>2123</v>
      </c>
    </row>
    <row r="6" spans="1:4" ht="18.75">
      <c r="A6" s="3399" t="s">
        <v>2619</v>
      </c>
      <c r="B6" s="3399"/>
      <c r="C6" s="3399"/>
      <c r="D6" s="3399"/>
    </row>
    <row r="7" spans="1:4" ht="18.75">
      <c r="A7" s="2611" t="s">
        <v>2119</v>
      </c>
      <c r="B7" s="2612" t="s">
        <v>2124</v>
      </c>
      <c r="C7" s="2611" t="s">
        <v>2121</v>
      </c>
      <c r="D7" s="2611" t="s">
        <v>2122</v>
      </c>
    </row>
    <row r="8" spans="1:4" ht="56.25" customHeight="1">
      <c r="A8" s="2614" t="s">
        <v>2125</v>
      </c>
      <c r="B8" s="2614" t="s">
        <v>23</v>
      </c>
      <c r="C8" s="2615"/>
      <c r="D8" s="2613" t="s">
        <v>2123</v>
      </c>
    </row>
    <row r="9" spans="1:4">
      <c r="A9" s="1495"/>
      <c r="B9" s="1495"/>
      <c r="C9" s="1495"/>
      <c r="D9" s="1495"/>
    </row>
    <row r="10" spans="1:4" ht="18.75">
      <c r="A10" s="2093" t="s">
        <v>2126</v>
      </c>
      <c r="B10" s="1495"/>
      <c r="C10" s="1495"/>
      <c r="D10" s="1495"/>
    </row>
    <row r="11" spans="1:4" ht="30" customHeight="1">
      <c r="A11" s="3400" t="s">
        <v>2712</v>
      </c>
      <c r="B11" s="3392"/>
      <c r="C11" s="3392"/>
      <c r="D11" s="3392"/>
    </row>
    <row r="12" spans="1:4" ht="14.25">
      <c r="A12" s="3392" t="str">
        <f>IF(项目基本情况!B8="抵押","2.本《评估意见函》仅供金融机构进行内部审核使用，不做其他目的之用。","")</f>
        <v/>
      </c>
      <c r="B12" s="3397"/>
      <c r="C12" s="3397"/>
      <c r="D12" s="3397"/>
    </row>
    <row r="13" spans="1:4" ht="30" customHeight="1">
      <c r="A13" s="3392" t="str">
        <f>IF(项目基本情况!B8="抵押","3.抵押双方在办理抵押登记手续时，应使用本公司出具的正式《房地产评估报告》，特提醒报告使用者注意。","")</f>
        <v/>
      </c>
      <c r="B13" s="3397"/>
      <c r="C13" s="3397"/>
      <c r="D13" s="3397"/>
    </row>
    <row r="14" spans="1:4" ht="15.75" customHeight="1">
      <c r="A14" s="3392" t="str">
        <f>IF(项目基本情况!B8="抵押","4.本次评估估价师所知悉的法定优先受偿款情况说明如下：","")</f>
        <v/>
      </c>
      <c r="B14" s="3397"/>
      <c r="C14" s="3397"/>
      <c r="D14" s="3397"/>
    </row>
    <row r="15" spans="1:4" ht="42" customHeight="1">
      <c r="A15" s="3392" t="str">
        <f>IF(项目基本情况!B8="抵押","（1）"&amp;CONCATENATE(项目基本情况!L20,项目基本情况!L21,项目基本情况!L22),"")</f>
        <v/>
      </c>
      <c r="B15" s="3392"/>
      <c r="C15" s="3392"/>
      <c r="D15" s="3392"/>
    </row>
    <row r="16" spans="1:4" ht="30" customHeight="1">
      <c r="A16" s="3394" t="s">
        <v>2130</v>
      </c>
      <c r="B16" s="3394"/>
      <c r="C16" s="3394"/>
      <c r="D16" s="3394"/>
    </row>
    <row r="17" spans="1:4" ht="144" customHeight="1">
      <c r="A17" s="3394" t="s">
        <v>2131</v>
      </c>
      <c r="B17" s="3394"/>
      <c r="C17" s="3394"/>
      <c r="D17" s="3394"/>
    </row>
    <row r="18" spans="1:4" ht="15.75" customHeight="1">
      <c r="A18" s="3392" t="str">
        <f>IF(项目基本情况!B8="抵押",结果表!K120,"")</f>
        <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2"/>
      <c r="C20" s="3392"/>
      <c r="D20" s="3392"/>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5"/>
      <c r="C21" s="3395"/>
      <c r="D21" s="3395"/>
    </row>
    <row r="22" spans="1:4" ht="18.75" customHeight="1">
      <c r="A22" s="3396" t="s">
        <v>2879</v>
      </c>
      <c r="B22" s="3396"/>
      <c r="C22" s="3396"/>
      <c r="D22" s="3396"/>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393">
        <v>42551</v>
      </c>
      <c r="D31" s="339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2134</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578</v>
      </c>
    </row>
    <row r="3" spans="1:7">
      <c r="A3" s="1138" t="s">
        <v>551</v>
      </c>
      <c r="B3" s="1139" t="s">
        <v>552</v>
      </c>
      <c r="G3" s="1140"/>
    </row>
    <row r="4" spans="1:7">
      <c r="G4" s="1140"/>
    </row>
    <row r="5" spans="1:7">
      <c r="A5" s="1142" t="s">
        <v>542</v>
      </c>
      <c r="B5" s="1139" t="s">
        <v>553</v>
      </c>
      <c r="G5" s="1140"/>
    </row>
    <row r="6" spans="1:7">
      <c r="G6" s="1140"/>
    </row>
    <row r="7" spans="1:7">
      <c r="A7" s="1143" t="s">
        <v>1135</v>
      </c>
      <c r="B7" s="1139" t="s">
        <v>554</v>
      </c>
      <c r="G7" s="1140"/>
    </row>
    <row r="8" spans="1:7">
      <c r="G8" s="1140"/>
    </row>
    <row r="9" spans="1:7">
      <c r="A9" s="1144" t="s">
        <v>543</v>
      </c>
      <c r="B9" s="1139" t="s">
        <v>555</v>
      </c>
    </row>
    <row r="11" spans="1:7">
      <c r="A11" s="1145" t="s">
        <v>544</v>
      </c>
      <c r="B11" s="1146" t="s">
        <v>541</v>
      </c>
    </row>
    <row r="13" spans="1:7">
      <c r="A13" s="1147" t="s">
        <v>556</v>
      </c>
    </row>
    <row r="15" spans="1:7" ht="13.5">
      <c r="A15" s="3406" t="s">
        <v>557</v>
      </c>
      <c r="B15" s="3401" t="s">
        <v>1136</v>
      </c>
      <c r="C15" s="3402"/>
    </row>
    <row r="16" spans="1:7" ht="13.5">
      <c r="A16" s="3407"/>
      <c r="B16" s="3401" t="s">
        <v>530</v>
      </c>
      <c r="C16" s="3402"/>
    </row>
    <row r="17" spans="1:3" ht="13.5">
      <c r="A17" s="3407"/>
      <c r="B17" s="3404" t="s">
        <v>558</v>
      </c>
      <c r="C17" s="1148" t="s">
        <v>557</v>
      </c>
    </row>
    <row r="18" spans="1:3" ht="13.5">
      <c r="A18" s="3407"/>
      <c r="B18" s="3404"/>
      <c r="C18" s="1148" t="s">
        <v>559</v>
      </c>
    </row>
    <row r="19" spans="1:3" ht="13.5">
      <c r="A19" s="3407"/>
      <c r="B19" s="3404"/>
      <c r="C19" s="1148" t="s">
        <v>560</v>
      </c>
    </row>
    <row r="20" spans="1:3" ht="13.5">
      <c r="A20" s="3408"/>
      <c r="B20" s="3403" t="s">
        <v>561</v>
      </c>
      <c r="C20" s="3402"/>
    </row>
    <row r="21" spans="1:3" ht="13.5">
      <c r="A21" s="1149" t="s">
        <v>562</v>
      </c>
      <c r="B21" s="1150"/>
      <c r="C21" s="1151"/>
    </row>
    <row r="22" spans="1:3" ht="13.5">
      <c r="A22" s="3405" t="s">
        <v>563</v>
      </c>
      <c r="B22" s="3403" t="s">
        <v>564</v>
      </c>
      <c r="C22" s="3402"/>
    </row>
    <row r="23" spans="1:3" ht="13.5">
      <c r="A23" s="3405"/>
      <c r="B23" s="3403" t="s">
        <v>565</v>
      </c>
      <c r="C23" s="3402"/>
    </row>
    <row r="24" spans="1:3" ht="13.5">
      <c r="A24" s="3405"/>
      <c r="B24" s="3403" t="s">
        <v>566</v>
      </c>
      <c r="C24" s="3402"/>
    </row>
    <row r="25" spans="1:3" ht="13.5">
      <c r="A25" s="3405"/>
      <c r="B25" s="3404" t="s">
        <v>567</v>
      </c>
      <c r="C25" s="1148" t="s">
        <v>568</v>
      </c>
    </row>
    <row r="26" spans="1:3" ht="13.5">
      <c r="A26" s="3405"/>
      <c r="B26" s="3404"/>
      <c r="C26" s="1148" t="s">
        <v>569</v>
      </c>
    </row>
    <row r="27" spans="1:3" ht="13.5">
      <c r="A27" s="3405"/>
      <c r="B27" s="3404"/>
      <c r="C27" s="1148" t="s">
        <v>570</v>
      </c>
    </row>
    <row r="28" spans="1:3" ht="13.5">
      <c r="A28" s="3405"/>
      <c r="B28" s="3404"/>
      <c r="C28" s="1148" t="s">
        <v>571</v>
      </c>
    </row>
    <row r="29" spans="1:3" ht="13.5">
      <c r="A29" s="3405"/>
      <c r="B29" s="3404"/>
      <c r="C29" s="1148" t="s">
        <v>572</v>
      </c>
    </row>
    <row r="30" spans="1:3" ht="13.5">
      <c r="A30" s="3405"/>
      <c r="B30" s="3404"/>
      <c r="C30" s="1148" t="s">
        <v>573</v>
      </c>
    </row>
    <row r="31" spans="1:3" ht="13.5">
      <c r="A31" s="3405"/>
      <c r="B31" s="3404"/>
      <c r="C31" s="1148" t="s">
        <v>574</v>
      </c>
    </row>
    <row r="32" spans="1:3" ht="13.5">
      <c r="A32" s="3405"/>
      <c r="B32" s="3404"/>
      <c r="C32" s="1148" t="s">
        <v>575</v>
      </c>
    </row>
    <row r="33" spans="1:3" ht="13.5">
      <c r="A33" s="3405"/>
      <c r="B33" s="3404"/>
      <c r="C33" s="1148" t="s">
        <v>576</v>
      </c>
    </row>
    <row r="34" spans="1:3">
      <c r="A34" s="1152" t="s">
        <v>545</v>
      </c>
    </row>
    <row r="37" spans="1:3">
      <c r="A37" s="1152" t="s">
        <v>577</v>
      </c>
    </row>
    <row r="38" spans="1:3" ht="13.5">
      <c r="A38" s="1153" t="s">
        <v>546</v>
      </c>
    </row>
    <row r="39" spans="1:3" ht="13.5">
      <c r="A39" s="1153" t="s">
        <v>547</v>
      </c>
    </row>
    <row r="40" spans="1:3" ht="13.5">
      <c r="A40" s="1153" t="s">
        <v>548</v>
      </c>
    </row>
    <row r="41" spans="1:3" ht="13.5">
      <c r="A41" s="1154" t="s">
        <v>549</v>
      </c>
    </row>
    <row r="42" spans="1:3" ht="13.5">
      <c r="A42" s="1153"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43025</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2710</v>
      </c>
      <c r="B15" s="1895">
        <v>1120070085</v>
      </c>
      <c r="C15" s="3205">
        <v>43814</v>
      </c>
      <c r="D15" s="3206" t="s">
        <v>2710</v>
      </c>
      <c r="E15" s="1895">
        <v>2004110128</v>
      </c>
      <c r="F15" s="1896">
        <v>47118</v>
      </c>
    </row>
    <row r="16" spans="1:6" ht="24" customHeight="1">
      <c r="A16" s="3204" t="s">
        <v>1987</v>
      </c>
      <c r="B16" s="1895" t="str">
        <f ca="1">IF(C16&lt;B2,"已过期",1120140022)</f>
        <v>已过期</v>
      </c>
      <c r="C16" s="3205">
        <v>42987</v>
      </c>
      <c r="D16" s="3204" t="s">
        <v>1987</v>
      </c>
      <c r="E16" s="1895">
        <f ca="1">IF(F16&lt;B2,"已过期",2008110059)</f>
        <v>2008110059</v>
      </c>
      <c r="F16" s="1904">
        <v>47177</v>
      </c>
    </row>
    <row r="17" spans="1:7" ht="24" customHeight="1">
      <c r="A17" s="3204" t="s">
        <v>1988</v>
      </c>
      <c r="B17" s="1895" t="str">
        <f ca="1">IF(C17&lt;B2,"已过期",1120140020)</f>
        <v>已过期</v>
      </c>
      <c r="C17" s="3205">
        <v>42987</v>
      </c>
      <c r="D17" s="3204"/>
      <c r="E17" s="1895"/>
      <c r="F17" s="1904"/>
    </row>
    <row r="18" spans="1:7" ht="24" customHeight="1">
      <c r="A18" s="3204" t="s">
        <v>1989</v>
      </c>
      <c r="B18" s="1895" t="str">
        <f ca="1">IF(C18&lt;B2,"已过期",1120140024)</f>
        <v>已过期</v>
      </c>
      <c r="C18" s="3205">
        <v>42987</v>
      </c>
      <c r="D18" s="3204" t="s">
        <v>1989</v>
      </c>
      <c r="E18" s="1895">
        <f ca="1">IF(F18&lt;B2,"已过期",2011110048)</f>
        <v>2011110048</v>
      </c>
      <c r="F18" s="1904">
        <v>48302</v>
      </c>
    </row>
    <row r="19" spans="1:7" ht="24" customHeight="1">
      <c r="A19" s="3204" t="s">
        <v>1990</v>
      </c>
      <c r="B19" s="1895" t="str">
        <f ca="1">IF(C19&lt;B2,"已过期",1120140019)</f>
        <v>已过期</v>
      </c>
      <c r="C19" s="3205">
        <v>42987</v>
      </c>
      <c r="D19" s="3204"/>
      <c r="E19" s="1895"/>
      <c r="F19" s="1895"/>
    </row>
    <row r="20" spans="1:7" ht="24" customHeight="1">
      <c r="A20" s="3204" t="s">
        <v>1991</v>
      </c>
      <c r="B20" s="1895" t="str">
        <f ca="1">IF(C20&lt;B2,"已过期",1120140023)</f>
        <v>已过期</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2945</v>
      </c>
      <c r="B24" s="3206" t="s">
        <v>2945</v>
      </c>
      <c r="C24" s="3206" t="s">
        <v>2945</v>
      </c>
      <c r="D24" s="3206" t="s">
        <v>2945</v>
      </c>
      <c r="E24" s="3206" t="s">
        <v>2945</v>
      </c>
      <c r="F24" s="3206" t="s">
        <v>2945</v>
      </c>
    </row>
    <row r="25" spans="1:7" ht="24" customHeight="1">
      <c r="A25" s="3409" t="s">
        <v>1995</v>
      </c>
      <c r="B25" s="3409"/>
      <c r="C25" s="3409"/>
      <c r="D25" s="3409"/>
      <c r="E25" s="3409"/>
      <c r="F25" s="3409"/>
      <c r="G25" s="3409"/>
    </row>
    <row r="26" spans="1:7" s="1899" customFormat="1" ht="24" customHeight="1">
      <c r="A26" s="3410" t="s">
        <v>1996</v>
      </c>
      <c r="B26" s="3410"/>
      <c r="C26" s="3410"/>
      <c r="D26" s="1898"/>
      <c r="E26" s="3410" t="s">
        <v>1997</v>
      </c>
      <c r="F26" s="3410"/>
      <c r="G26" s="3410"/>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3054</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198" priority="55">
      <formula>AND($C28-TODAY()&lt;30,TODAY()&lt;$C28)</formula>
    </cfRule>
  </conditionalFormatting>
  <conditionalFormatting sqref="C28:D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G28">
    <cfRule type="expression" dxfId="162" priority="12">
      <formula>AND($F28-TODAY()&lt;30,TODAY()&lt;$F28)</formula>
    </cfRule>
  </conditionalFormatting>
  <conditionalFormatting sqref="G28">
    <cfRule type="cellIs" dxfId="161" priority="13" stopIfTrue="1" operator="lessThan">
      <formula>$B$2</formula>
    </cfRule>
  </conditionalFormatting>
  <conditionalFormatting sqref="G29">
    <cfRule type="expression" dxfId="160" priority="8" stopIfTrue="1">
      <formula>AND($F29-TODAY()&lt;30,TODAY()&lt;$F29)</formula>
    </cfRule>
  </conditionalFormatting>
  <conditionalFormatting sqref="G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Sheet1</vt:lpstr>
      <vt:lpstr>收益法（汇总）</vt:lpstr>
      <vt:lpstr>收益法</vt:lpstr>
      <vt:lpstr>收益法 (元)</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2017-10-17T13:40:32Z</dcterms:modified>
</cp:coreProperties>
</file>